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iCost" sheetId="1" state="visible" r:id="rId2"/>
  </sheets>
  <definedNames>
    <definedName function="false" hidden="false" name="BoardQty" vbProcedure="false">KiCost!$I$1</definedName>
    <definedName function="false" hidden="false" name="digikey_part_data" vbProcedure="false">KiCost!$J$5:$O$15</definedName>
    <definedName function="false" hidden="false" name="global_part_data" vbProcedure="false">KiCost!$A$5:$I$15</definedName>
    <definedName function="false" hidden="false" name="mouser_part_data" vbProcedure="false">KiCost!$P$5:$U$15</definedName>
    <definedName function="false" hidden="false" name="newark_part_data" vbProcedure="false">KiCost!$V$5:$AA$15</definedName>
    <definedName function="false" hidden="false" name="TotalCost" vbProcedure="false">KiCost!$I$2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1"/>
            <color rgb="FF000000"/>
            <rFont val="Calibri"/>
            <family val="2"/>
            <charset val="1"/>
          </rPr>
          <t>Schematic identifier for each part.</t>
        </r>
      </text>
    </comment>
    <comment ref="B6" authorId="0">
      <text>
        <r>
          <rPr>
            <sz val="11"/>
            <color rgb="FF000000"/>
            <rFont val="Calibri"/>
            <family val="2"/>
            <charset val="1"/>
          </rPr>
          <t>Value of each part.</t>
        </r>
      </text>
    </comment>
    <comment ref="C6" authorId="0">
      <text>
        <r>
          <rPr>
            <sz val="11"/>
            <color rgb="FF000000"/>
            <rFont val="Calibri"/>
            <family val="2"/>
            <charset val="1"/>
          </rPr>
          <t>Description of each part.</t>
        </r>
      </text>
    </comment>
    <comment ref="D6" authorId="0">
      <text>
        <r>
          <rPr>
            <sz val="11"/>
            <color rgb="FF000000"/>
            <rFont val="Calibri"/>
            <family val="2"/>
            <charset val="1"/>
          </rPr>
          <t>PCB footprint for each part.</t>
        </r>
      </text>
    </comment>
    <comment ref="E6" authorId="0">
      <text>
        <r>
          <rPr>
            <sz val="11"/>
            <color rgb="FF000000"/>
            <rFont val="Calibri"/>
            <family val="2"/>
            <charset val="1"/>
          </rPr>
          <t>Manufacturer of each part.</t>
        </r>
      </text>
    </comment>
    <comment ref="F6" authorId="0">
      <text>
        <r>
          <rPr>
            <sz val="11"/>
            <color rgb="FF000000"/>
            <rFont val="Calibri"/>
            <family val="2"/>
            <charset val="1"/>
          </rPr>
          <t>Manufacturer number for each part.</t>
        </r>
      </text>
    </comment>
    <comment ref="G6" authorId="0">
      <text>
        <r>
          <rPr>
            <sz val="11"/>
            <color rgb="FF000000"/>
            <rFont val="Calibri"/>
            <family val="2"/>
            <charset val="1"/>
          </rPr>
          <t>Total number of each part needed to assemble the board.</t>
        </r>
      </text>
    </comment>
    <comment ref="H6" authorId="0">
      <text>
        <r>
          <rPr>
            <sz val="11"/>
            <color rgb="FF000000"/>
            <rFont val="Calibri"/>
            <family val="2"/>
            <charset val="1"/>
          </rPr>
          <t>Minimum unit price for each part across all distributors.</t>
        </r>
      </text>
    </comment>
    <comment ref="I6" authorId="0">
      <text>
        <r>
          <rPr>
            <sz val="11"/>
            <color rgb="FF000000"/>
            <rFont val="Calibri"/>
            <family val="2"/>
            <charset val="1"/>
          </rPr>
          <t>Minimum extended price for each part across all distributors.</t>
        </r>
      </text>
    </comment>
    <comment ref="J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K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L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M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N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O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P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Q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R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S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T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U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  <comment ref="V6" authorId="0">
      <text>
        <r>
          <rPr>
            <sz val="11"/>
            <color rgb="FF000000"/>
            <rFont val="Calibri"/>
            <family val="2"/>
            <charset val="1"/>
          </rPr>
          <t>Available quantity of each part at the distributor.</t>
        </r>
      </text>
    </comment>
    <comment ref="W6" authorId="0">
      <text>
        <r>
          <rPr>
            <sz val="11"/>
            <color rgb="FF000000"/>
            <rFont val="Calibri"/>
            <family val="2"/>
            <charset val="1"/>
          </rPr>
          <t>Purchase quantity of each part from this distributor.</t>
        </r>
      </text>
    </comment>
    <comment ref="X6" authorId="0">
      <text>
        <r>
          <rPr>
            <sz val="11"/>
            <color rgb="FF000000"/>
            <rFont val="Calibri"/>
            <family val="2"/>
            <charset val="1"/>
          </rPr>
          <t>Unit price of each part from this distributor.</t>
        </r>
      </text>
    </comment>
    <comment ref="Y6" authorId="0">
      <text>
        <r>
          <rPr>
            <sz val="11"/>
            <color rgb="FF000000"/>
            <rFont val="Calibri"/>
            <family val="2"/>
            <charset val="1"/>
          </rPr>
          <t>(Unit Price) x (Purchase Qty) of each part from this distributor.</t>
        </r>
      </text>
    </comment>
    <comment ref="Z6" authorId="0">
      <text>
        <r>
          <rPr>
            <sz val="11"/>
            <color rgb="FF000000"/>
            <rFont val="Calibri"/>
            <family val="2"/>
            <charset val="1"/>
          </rPr>
          <t>Distributor-assigned part number for each part.</t>
        </r>
      </text>
    </comment>
    <comment ref="AA6" authorId="0">
      <text>
        <r>
          <rPr>
            <sz val="11"/>
            <color rgb="FF000000"/>
            <rFont val="Calibri"/>
            <family val="2"/>
            <charset val="1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<sst xmlns="http://schemas.openxmlformats.org/spreadsheetml/2006/main" count="109" uniqueCount="75">
  <si>
    <t>Board Qty:</t>
  </si>
  <si>
    <t>Total Cost:</t>
  </si>
  <si>
    <t>Unit Cost:</t>
  </si>
  <si>
    <t>Global Part Info</t>
  </si>
  <si>
    <t>Digi-Key</t>
  </si>
  <si>
    <t>Mouser</t>
  </si>
  <si>
    <t>Newark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</si>
  <si>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</si>
  <si>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</si>
  <si>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</si>
  <si>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</si>
  <si>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</si>
  <si>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</si>
  <si>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</si>
  <si>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</si>
  <si>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</si>
  <si>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</si>
  <si>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</si>
  <si>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</si>
  <si>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</si>
  <si>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C2</t>
  </si>
  <si>
    <t>10 nF</t>
  </si>
  <si>
    <t>Capacitors_SMD:C_0805_HandSoldering</t>
  </si>
  <si>
    <t>C0805C103K5RACTU</t>
  </si>
  <si>
    <t>399-1158-1-ND</t>
  </si>
  <si>
    <t>Link</t>
  </si>
  <si>
    <t>80-C0805C103K5R</t>
  </si>
  <si>
    <t>L1</t>
  </si>
  <si>
    <t>6.5 uH, 18 mOhm</t>
  </si>
  <si>
    <t>PowerPackages:SRR1208</t>
  </si>
  <si>
    <t>SRR1208-6R5ML</t>
  </si>
  <si>
    <t>SRR1208-6R5MLCT-ND</t>
  </si>
  <si>
    <t>652-SRR1208-6R5ML</t>
  </si>
  <si>
    <t>83T0041</t>
  </si>
  <si>
    <t>D1</t>
  </si>
  <si>
    <t>ZENER</t>
  </si>
  <si>
    <t>PowerPackages:DPAK_TO252AA_CUSTOM</t>
  </si>
  <si>
    <t>50WQ04FNPBF</t>
  </si>
  <si>
    <t>VS-50WQ04FNPBF-ND</t>
  </si>
  <si>
    <t>73K9904</t>
  </si>
  <si>
    <t>C1</t>
  </si>
  <si>
    <t>10 uF</t>
  </si>
  <si>
    <t>Capacitors_SMD:C_1210_HandSoldering</t>
  </si>
  <si>
    <t>GRM32ER7YA106KA12L</t>
  </si>
  <si>
    <t>490-5314-1-ND</t>
  </si>
  <si>
    <t>81-GRM32ER7YA106KA2L</t>
  </si>
  <si>
    <t>24R2634</t>
  </si>
  <si>
    <t>C5</t>
  </si>
  <si>
    <t>39 nF</t>
  </si>
  <si>
    <t>08055C393KAT2A</t>
  </si>
  <si>
    <t>478-1390-1-ND</t>
  </si>
  <si>
    <t>581-08055C393K</t>
  </si>
  <si>
    <t>96M1413</t>
  </si>
  <si>
    <t>U1</t>
  </si>
  <si>
    <t>LM22679</t>
  </si>
  <si>
    <t>PowerPackages:TI_TO-263</t>
  </si>
  <si>
    <t>LM22679TJ-5.0/NOPB</t>
  </si>
  <si>
    <t>LM22679TJE-5.0/NOPBCT-ND</t>
  </si>
  <si>
    <t>926-LM22679TJ50NOPB</t>
  </si>
  <si>
    <t>C3</t>
  </si>
  <si>
    <t>1 uF</t>
  </si>
  <si>
    <t>Capacitors_SMD:C_0603_HandSoldering</t>
  </si>
  <si>
    <t>GRM188R61E105KA12D</t>
  </si>
  <si>
    <t>490-3897-1-ND</t>
  </si>
  <si>
    <t>81-GRM188R61E105KA12</t>
  </si>
  <si>
    <t>14T3309</t>
  </si>
  <si>
    <t>C4</t>
  </si>
  <si>
    <t>120 uF</t>
  </si>
  <si>
    <t>capacitors:Radial_SMD_8mm</t>
  </si>
  <si>
    <t>APXE100ARA121MF61G</t>
  </si>
  <si>
    <t>661-APXE100ARA121MF6</t>
  </si>
  <si>
    <t>72R7330</t>
  </si>
  <si>
    <t>TH1-TH3</t>
  </si>
  <si>
    <t>PTH</t>
  </si>
  <si>
    <t>mechanical:PTH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</si>
</sst>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product-detail/en/kemet/C0805C103K5RACTU/399-1158-1-ND/411433" TargetMode="External"/><Relationship Id="rId3" Type="http://schemas.openxmlformats.org/officeDocument/2006/relationships/hyperlink" Target="http://www.mouser.com/ProductDetail/Kemet/C0805C103K5RACTU/?qs=sGAEpiMZZMs0AnBnWHyRQAmsl0Dsa%252bd15ll2ADzHKHQ%3D" TargetMode="External"/><Relationship Id="rId4" Type="http://schemas.openxmlformats.org/officeDocument/2006/relationships/hyperlink" Target="http://www.digikey.com/product-detail/en/bourns-inc/SRR1208-6R5ML/SRR1208-6R5MLCT-ND/2353029" TargetMode="External"/><Relationship Id="rId5" Type="http://schemas.openxmlformats.org/officeDocument/2006/relationships/hyperlink" Target="http://www.mouser.com/Search/Refine.aspx?Keyword=SRR1208-6R5ML" TargetMode="External"/><Relationship Id="rId6" Type="http://schemas.openxmlformats.org/officeDocument/2006/relationships/hyperlink" Target="http://www.newark.com/bourns/srr1208-6r5ml/inductor-shielded-6-5uh-8-4a-smd/dp/83T0041" TargetMode="External"/><Relationship Id="rId7" Type="http://schemas.openxmlformats.org/officeDocument/2006/relationships/hyperlink" Target="http://www.digikey.com/scripts/DkSearch/dksus.dll?WT.z_header=search_go&amp;lang=en&amp;keywords=50WQ04FNPBF" TargetMode="External"/><Relationship Id="rId8" Type="http://schemas.openxmlformats.org/officeDocument/2006/relationships/hyperlink" Target="http://www.newark.com/vishay/vs-50wq04fnpbf/schottky-rectifier-5-5a-40v-dpak/dp/73K9904" TargetMode="External"/><Relationship Id="rId9" Type="http://schemas.openxmlformats.org/officeDocument/2006/relationships/hyperlink" Target="http://www.digikey.com/product-detail/en/murata-electronics-north-america/GRM32ER7YA106KA12L/490-5314-1-ND/2039093" TargetMode="External"/><Relationship Id="rId10" Type="http://schemas.openxmlformats.org/officeDocument/2006/relationships/hyperlink" Target="http://www.mouser.com/Search/Refine.aspx?Keyword=GRM32ER7YA106KA12L" TargetMode="External"/><Relationship Id="rId11" Type="http://schemas.openxmlformats.org/officeDocument/2006/relationships/hyperlink" Target="http://www.newark.com/webapp/wcs/stores/servlet/Search?catalogId=15003&amp;langId=-1&amp;storeId=10194&amp;gs=true&amp;st=GRM32ER7YA106KA12L" TargetMode="External"/><Relationship Id="rId12" Type="http://schemas.openxmlformats.org/officeDocument/2006/relationships/hyperlink" Target="http://www.digikey.com/product-detail/en/avx-corporation/08055C393KAT2A/478-1390-1-ND/564422" TargetMode="External"/><Relationship Id="rId13" Type="http://schemas.openxmlformats.org/officeDocument/2006/relationships/hyperlink" Target="http://www.mouser.com/Search/Refine.aspx?Keyword=08055C393KAT2A" TargetMode="External"/><Relationship Id="rId14" Type="http://schemas.openxmlformats.org/officeDocument/2006/relationships/hyperlink" Target="http://www.newark.com/avx/08055c393kat2a/ceramic-capacitor-0-039uf-50v/dp/96M1413" TargetMode="External"/><Relationship Id="rId15" Type="http://schemas.openxmlformats.org/officeDocument/2006/relationships/hyperlink" Target="http://www.digikey.com/product-detail/en/texas-instruments/LM22679TJE-5.0%2FNOPB/LM22679TJE-5.0%2FNOPBCT-ND/1950805" TargetMode="External"/><Relationship Id="rId16" Type="http://schemas.openxmlformats.org/officeDocument/2006/relationships/hyperlink" Target="http://www.mouser.com/Search/Refine.aspx?Keyword=LM22679TJ-5.0%2FNOPB" TargetMode="External"/><Relationship Id="rId17" Type="http://schemas.openxmlformats.org/officeDocument/2006/relationships/hyperlink" Target="http://www.digikey.com/product-detail/en/murata-electronics-north-america/GRM188R61E105KA12D/490-3897-1-ND/965939" TargetMode="External"/><Relationship Id="rId18" Type="http://schemas.openxmlformats.org/officeDocument/2006/relationships/hyperlink" Target="http://www.mouser.com/Search/Refine.aspx?Keyword=GRM188R61E105KA12D" TargetMode="External"/><Relationship Id="rId19" Type="http://schemas.openxmlformats.org/officeDocument/2006/relationships/hyperlink" Target="http://www.newark.com/murata/grm188r61e105ka12d/ceramic-capacitor-1uf-25v-x5r/dp/14T3309" TargetMode="External"/><Relationship Id="rId20" Type="http://schemas.openxmlformats.org/officeDocument/2006/relationships/hyperlink" Target="http://www.mouser.com/Search/Refine.aspx?Keyword=APXE100ARA121MF61G" TargetMode="External"/><Relationship Id="rId21" Type="http://schemas.openxmlformats.org/officeDocument/2006/relationships/hyperlink" Target="http://www.newark.com/webapp/wcs/stores/servlet/Search?catalogId=15003&amp;langId=-1&amp;storeId=10194&amp;gs=true&amp;st=APXE100ARA121MF61G" TargetMode="External"/><Relationship Id="rId2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W8" activePane="bottomRight" state="frozen"/>
      <selection pane="topLeft" activeCell="A1" activeCellId="0" sqref="A1"/>
      <selection pane="topRight" activeCell="W1" activeCellId="0" sqref="W1"/>
      <selection pane="bottomLeft" activeCell="A8" activeCellId="0" sqref="A8"/>
      <selection pane="bottomRight" activeCell="J14" activeCellId="0" sqref="J14"/>
    </sheetView>
  </sheetViews>
  <sheetFormatPr defaultRowHeight="15"/>
  <cols>
    <col collapsed="false" hidden="false" max="1" min="1" style="0" width="10.9109311740891"/>
    <col collapsed="false" hidden="false" max="2" min="2" style="0" width="8.70445344129555"/>
    <col collapsed="false" hidden="false" max="8" min="3" style="0" width="10.9109311740891"/>
    <col collapsed="false" hidden="false" max="9" min="9" style="0" width="11.2267206477733"/>
    <col collapsed="false" hidden="false" max="12" min="10" style="0" width="10.9109311740891"/>
    <col collapsed="false" hidden="false" max="13" min="13" style="0" width="18.8866396761134"/>
    <col collapsed="false" hidden="false" max="18" min="14" style="0" width="10.9109311740891"/>
    <col collapsed="false" hidden="false" max="19" min="19" style="0" width="18.8866396761134"/>
    <col collapsed="false" hidden="false" max="24" min="20" style="0" width="10.9109311740891"/>
    <col collapsed="false" hidden="false" max="25" min="25" style="0" width="18.8866396761134"/>
    <col collapsed="false" hidden="false" max="27" min="26" style="0" width="10.9109311740891"/>
    <col collapsed="false" hidden="false" max="1025" min="28" style="0" width="10.0769230769231"/>
  </cols>
  <sheetData>
    <row r="1" customFormat="false" ht="15" hidden="false" customHeight="false" outlineLevel="0" collapsed="false">
      <c r="H1" s="1" t="s">
        <v>0</v>
      </c>
      <c r="I1" s="1" t="n">
        <v>5</v>
      </c>
    </row>
    <row r="2" customFormat="false" ht="15" hidden="false" customHeight="false" outlineLevel="0" collapsed="false">
      <c r="H2" s="2" t="s">
        <v>1</v>
      </c>
      <c r="I2" s="3" t="n">
        <f aca="false">SUM(I7:I15)</f>
        <v>43.84</v>
      </c>
      <c r="M2" s="3" t="n">
        <f aca="false">SUM(M7:M15)</f>
        <v>52.05</v>
      </c>
      <c r="S2" s="3" t="n">
        <f aca="false">SUM(S7:S15)</f>
        <v>44.715</v>
      </c>
      <c r="Y2" s="3" t="n">
        <f aca="false">SUM(Y7:Y15)</f>
        <v>16.72</v>
      </c>
    </row>
    <row r="3" customFormat="false" ht="15" hidden="false" customHeight="false" outlineLevel="0" collapsed="false">
      <c r="H3" s="2" t="s">
        <v>2</v>
      </c>
      <c r="I3" s="4" t="n">
        <f aca="false">TotalCost/BoardQty</f>
        <v>8.768</v>
      </c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6" t="s">
        <v>4</v>
      </c>
      <c r="K5" s="6"/>
      <c r="L5" s="6"/>
      <c r="M5" s="6"/>
      <c r="N5" s="6"/>
      <c r="O5" s="6"/>
      <c r="P5" s="7" t="s">
        <v>5</v>
      </c>
      <c r="Q5" s="7"/>
      <c r="R5" s="7"/>
      <c r="S5" s="7"/>
      <c r="T5" s="7"/>
      <c r="U5" s="7"/>
      <c r="V5" s="8" t="s">
        <v>6</v>
      </c>
      <c r="W5" s="8"/>
      <c r="X5" s="8"/>
      <c r="Y5" s="8"/>
      <c r="Z5" s="8"/>
      <c r="AA5" s="8"/>
    </row>
    <row r="6" customFormat="false" ht="15" hidden="false" customHeight="false" outlineLevel="0" collapsed="false">
      <c r="A6" s="9" t="s">
        <v>7</v>
      </c>
      <c r="B6" s="9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14</v>
      </c>
      <c r="M6" s="9" t="s">
        <v>15</v>
      </c>
      <c r="N6" s="9" t="s">
        <v>18</v>
      </c>
      <c r="O6" s="9" t="s">
        <v>19</v>
      </c>
      <c r="P6" s="9" t="s">
        <v>16</v>
      </c>
      <c r="Q6" s="9" t="s">
        <v>17</v>
      </c>
      <c r="R6" s="9" t="s">
        <v>14</v>
      </c>
      <c r="S6" s="9" t="s">
        <v>15</v>
      </c>
      <c r="T6" s="9" t="s">
        <v>18</v>
      </c>
      <c r="U6" s="9" t="s">
        <v>19</v>
      </c>
      <c r="V6" s="9" t="s">
        <v>16</v>
      </c>
      <c r="W6" s="9" t="s">
        <v>17</v>
      </c>
      <c r="X6" s="9" t="s">
        <v>14</v>
      </c>
      <c r="Y6" s="9" t="s">
        <v>15</v>
      </c>
      <c r="Z6" s="9" t="s">
        <v>18</v>
      </c>
      <c r="AA6" s="9" t="s">
        <v>19</v>
      </c>
    </row>
    <row r="7" customFormat="false" ht="16.3" hidden="false" customHeight="false" outlineLevel="0" collapsed="false">
      <c r="A7" s="0" t="s">
        <v>20</v>
      </c>
      <c r="B7" s="0" t="s">
        <v>21</v>
      </c>
      <c r="D7" s="0" t="s">
        <v>22</v>
      </c>
      <c r="F7" s="0" t="s">
        <v>23</v>
      </c>
      <c r="G7" s="0" t="n">
        <f aca="false">BoardQty*1</f>
        <v>5</v>
      </c>
      <c r="H7" s="10" t="n">
        <f aca="true">MINA(INDIRECT(ADDRESS(ROW(),COLUMN(digikey_part_data)+2)),INDIRECT(ADDRESS(ROW(),COLUMN(mouser_part_data)+2)),INDIRECT(ADDRESS(ROW(),COLUMN(newark_part_data)+2)))</f>
        <v>0.099</v>
      </c>
      <c r="I7" s="10" t="n">
        <f aca="false">IFERROR(G7*H7,"")</f>
        <v>0.495</v>
      </c>
      <c r="J7" s="0" t="n">
        <v>1290391</v>
      </c>
      <c r="L7" s="10" t="n">
        <f aca="false">IFERROR(LOOKUP(IF(K7="",G7,K7),{0,1,10,50,100,250,500,1000,4000,8000,12000,28000,100000},{0,0.1,0.034,0.0182,0.0154,0.0126,0.01078,0.0084,0.00644,0.00588,0.0056,0.00532,0.00385}),"")</f>
        <v>0.1</v>
      </c>
      <c r="M7" s="10" t="n">
        <f aca="false">IFERROR(IF(K7="",G7,K7)*L7,"")</f>
        <v>0.5</v>
      </c>
      <c r="N7" s="0" t="s">
        <v>24</v>
      </c>
      <c r="O7" s="11" t="s">
        <v>25</v>
      </c>
      <c r="P7" s="0" t="n">
        <v>67602</v>
      </c>
      <c r="Q7" s="0" t="n">
        <v>5</v>
      </c>
      <c r="R7" s="10" t="n">
        <f aca="false">IFERROR(LOOKUP(IF(Q7="",G7,Q7),{0,1,10,100,1000,4000,8000,100000},{0,0.099,0.019,0.011,0.009,0.007,0.005,0.004}),"")</f>
        <v>0.099</v>
      </c>
      <c r="S7" s="10" t="n">
        <f aca="false">IFERROR(IF(Q7="",G7,Q7)*R7,"")</f>
        <v>0.495</v>
      </c>
      <c r="T7" s="0" t="s">
        <v>26</v>
      </c>
      <c r="U7" s="11" t="s">
        <v>25</v>
      </c>
    </row>
    <row r="8" customFormat="false" ht="16.3" hidden="false" customHeight="false" outlineLevel="0" collapsed="false">
      <c r="A8" s="0" t="s">
        <v>27</v>
      </c>
      <c r="B8" s="0" t="s">
        <v>28</v>
      </c>
      <c r="D8" s="0" t="s">
        <v>29</v>
      </c>
      <c r="F8" s="0" t="s">
        <v>30</v>
      </c>
      <c r="G8" s="0" t="n">
        <f aca="false">BoardQty*1</f>
        <v>5</v>
      </c>
      <c r="H8" s="10" t="n">
        <f aca="true">MINA(INDIRECT(ADDRESS(ROW(),COLUMN(digikey_part_data)+2)),INDIRECT(ADDRESS(ROW(),COLUMN(mouser_part_data)+2)),INDIRECT(ADDRESS(ROW(),COLUMN(newark_part_data)+2)))</f>
        <v>0.894</v>
      </c>
      <c r="I8" s="10" t="n">
        <f aca="false">IFERROR(G8*H8,"")</f>
        <v>4.47</v>
      </c>
      <c r="J8" s="0" t="n">
        <v>1868</v>
      </c>
      <c r="L8" s="10" t="n">
        <f aca="false">IFERROR(LOOKUP(IF(K8="",G8,K8),{0,1,10,25,50,100,400,800,1200},{0,0.9,0.84,0.784,0.672,0.6384,0.4704,0.3808,0.3724}),"")</f>
        <v>0.9</v>
      </c>
      <c r="M8" s="10" t="n">
        <f aca="false">IFERROR(IF(K8="",G8,K8)*L8,"")</f>
        <v>4.5</v>
      </c>
      <c r="N8" s="0" t="s">
        <v>31</v>
      </c>
      <c r="O8" s="11" t="s">
        <v>25</v>
      </c>
      <c r="P8" s="0" t="n">
        <v>2847</v>
      </c>
      <c r="R8" s="10" t="n">
        <f aca="false">IFERROR(LOOKUP(IF(Q8="",G8,Q8),{0,1,10,50,100,250,400,800},{0,0.929,0.809,0.693,0.659,0.564,0.486,0.397}),"")</f>
        <v>0.929</v>
      </c>
      <c r="S8" s="10" t="n">
        <f aca="false">IFERROR(IF(Q8="",G8,Q8)*R8,"")</f>
        <v>4.645</v>
      </c>
      <c r="T8" s="0" t="s">
        <v>32</v>
      </c>
      <c r="U8" s="11" t="s">
        <v>25</v>
      </c>
      <c r="V8" s="0" t="n">
        <v>554</v>
      </c>
      <c r="W8" s="0" t="n">
        <v>5</v>
      </c>
      <c r="X8" s="10" t="n">
        <f aca="false">IFERROR(LOOKUP(IF(W8="",G8,W8),{0,1,10,50,100,250},{0,0.894,0.784,0.672,0.639,0.546}),"")</f>
        <v>0.894</v>
      </c>
      <c r="Y8" s="10" t="n">
        <f aca="false">IFERROR(IF(W8="",G8,W8)*X8,"")</f>
        <v>4.47</v>
      </c>
      <c r="Z8" s="0" t="s">
        <v>33</v>
      </c>
      <c r="AA8" s="11" t="s">
        <v>25</v>
      </c>
    </row>
    <row r="9" customFormat="false" ht="16.3" hidden="false" customHeight="false" outlineLevel="0" collapsed="false">
      <c r="A9" s="0" t="s">
        <v>34</v>
      </c>
      <c r="B9" s="0" t="s">
        <v>35</v>
      </c>
      <c r="D9" s="0" t="s">
        <v>36</v>
      </c>
      <c r="F9" s="0" t="s">
        <v>37</v>
      </c>
      <c r="G9" s="0" t="n">
        <f aca="false">BoardQty*1</f>
        <v>5</v>
      </c>
      <c r="H9" s="10" t="n">
        <f aca="true">MINA(INDIRECT(ADDRESS(ROW(),COLUMN(digikey_part_data)+2)),INDIRECT(ADDRESS(ROW(),COLUMN(mouser_part_data)+2)),INDIRECT(ADDRESS(ROW(),COLUMN(newark_part_data)+2)))</f>
        <v>1.02</v>
      </c>
      <c r="I9" s="10" t="n">
        <f aca="false">IFERROR(G9*H9,"")</f>
        <v>5.1</v>
      </c>
      <c r="J9" s="0" t="n">
        <v>2362</v>
      </c>
      <c r="L9" s="10" t="n">
        <f aca="false">IFERROR(LOOKUP(IF(K9="",G9,K9),{0,1,10,100,500,1000,2500,5000},{0,1.39,1.239,0.966,0.798,0.63,0.588,0.5586}),"")</f>
        <v>1.39</v>
      </c>
      <c r="M9" s="10" t="n">
        <f aca="false">IFERROR(IF(K9="",G9,K9)*L9,"")</f>
        <v>6.95</v>
      </c>
      <c r="N9" s="0" t="s">
        <v>38</v>
      </c>
      <c r="O9" s="11" t="s">
        <v>25</v>
      </c>
      <c r="V9" s="0" t="n">
        <v>6935</v>
      </c>
      <c r="W9" s="0" t="n">
        <v>5</v>
      </c>
      <c r="X9" s="10" t="n">
        <f aca="false">IFERROR(LOOKUP(IF(W9="",G9,W9),{0,1,10,25,100,250,500},{0,1.02,0.983,0.786,0.639,0.63,0.626}),"")</f>
        <v>1.02</v>
      </c>
      <c r="Y9" s="10" t="n">
        <f aca="false">IFERROR(IF(W9="",G9,W9)*X9,"")</f>
        <v>5.1</v>
      </c>
      <c r="Z9" s="0" t="s">
        <v>39</v>
      </c>
      <c r="AA9" s="11" t="s">
        <v>25</v>
      </c>
    </row>
    <row r="10" customFormat="false" ht="16.3" hidden="false" customHeight="false" outlineLevel="0" collapsed="false">
      <c r="A10" s="0" t="s">
        <v>40</v>
      </c>
      <c r="B10" s="0" t="s">
        <v>41</v>
      </c>
      <c r="D10" s="0" t="s">
        <v>42</v>
      </c>
      <c r="F10" s="0" t="s">
        <v>43</v>
      </c>
      <c r="G10" s="0" t="n">
        <f aca="false">BoardQty*1</f>
        <v>5</v>
      </c>
      <c r="H10" s="10" t="n">
        <f aca="true">MINA(INDIRECT(ADDRESS(ROW(),COLUMN(digikey_part_data)+2)),INDIRECT(ADDRESS(ROW(),COLUMN(mouser_part_data)+2)),INDIRECT(ADDRESS(ROW(),COLUMN(newark_part_data)+2)))</f>
        <v>0.977</v>
      </c>
      <c r="I10" s="10" t="n">
        <f aca="false">IFERROR(G10*H10,"")</f>
        <v>4.885</v>
      </c>
      <c r="J10" s="0" t="n">
        <v>38626</v>
      </c>
      <c r="L10" s="10" t="n">
        <f aca="false">IFERROR(LOOKUP(IF(K10="",G10,K10),{0,1,10,50,100,250,500,1000,2000,4000,5000,10000,25000,50000,100000},{0,0.99,0.84,0.6182,0.4914,0.41212,0.37248,0.2536,0.23775,0.2219,0.2219,0.21398,0.20605,0.20209,0.19416}),"")</f>
        <v>0.99</v>
      </c>
      <c r="M10" s="10" t="n">
        <f aca="false">IFERROR(IF(K10="",G10,K10)*L10,"")</f>
        <v>4.95</v>
      </c>
      <c r="N10" s="0" t="s">
        <v>44</v>
      </c>
      <c r="O10" s="11" t="s">
        <v>25</v>
      </c>
      <c r="P10" s="0" t="n">
        <v>57130</v>
      </c>
      <c r="Q10" s="0" t="n">
        <v>5</v>
      </c>
      <c r="R10" s="10" t="n">
        <f aca="false">IFERROR(LOOKUP(IF(Q10="",G10,Q10),{0,1,10,100,1000,2000,10000,25000,50000},{0,0.977,0.61,0.368,0.251,0.219,0.211,0.204,0.203}),"")</f>
        <v>0.977</v>
      </c>
      <c r="S10" s="10" t="n">
        <f aca="false">IFERROR(IF(Q10="",G10,Q10)*R10,"")</f>
        <v>4.885</v>
      </c>
      <c r="T10" s="0" t="s">
        <v>45</v>
      </c>
      <c r="U10" s="11" t="s">
        <v>25</v>
      </c>
      <c r="V10" s="0" t="n">
        <v>2697</v>
      </c>
      <c r="X10" s="10" t="n">
        <f aca="false">IFERROR(LOOKUP(IF(W10="",G10,W10),{0,1,250,500,1000,5000},{0,1.14,1.02,0.907,0.818,0.56}),"")</f>
        <v>1.14</v>
      </c>
      <c r="Y10" s="10" t="n">
        <f aca="false">IFERROR(IF(W10="",G10,W10)*X10,"")</f>
        <v>5.7</v>
      </c>
      <c r="Z10" s="0" t="s">
        <v>46</v>
      </c>
      <c r="AA10" s="11" t="s">
        <v>25</v>
      </c>
    </row>
    <row r="11" customFormat="false" ht="16.3" hidden="false" customHeight="false" outlineLevel="0" collapsed="false">
      <c r="A11" s="0" t="s">
        <v>47</v>
      </c>
      <c r="B11" s="0" t="s">
        <v>48</v>
      </c>
      <c r="D11" s="0" t="s">
        <v>22</v>
      </c>
      <c r="F11" s="0" t="s">
        <v>49</v>
      </c>
      <c r="G11" s="0" t="n">
        <f aca="false">BoardQty*1</f>
        <v>5</v>
      </c>
      <c r="H11" s="10" t="n">
        <f aca="true">MINA(INDIRECT(ADDRESS(ROW(),COLUMN(digikey_part_data)+2)),INDIRECT(ADDRESS(ROW(),COLUMN(mouser_part_data)+2)),INDIRECT(ADDRESS(ROW(),COLUMN(newark_part_data)+2)))</f>
        <v>0.099</v>
      </c>
      <c r="I11" s="10" t="n">
        <f aca="false">IFERROR(G11*H11,"")</f>
        <v>0.495</v>
      </c>
      <c r="J11" s="0" t="n">
        <v>18283</v>
      </c>
      <c r="L11" s="10" t="n">
        <f aca="false">IFERROR(LOOKUP(IF(K11="",G11,K11),{0,1,10,100,250,500,1000,4000,8000,12000,28000,100000},{0,0.15,0.1,0.0475,0.04,0.0335,0.0275,0.0215,0.02,0.019,0.018,0.01363}),"")</f>
        <v>0.15</v>
      </c>
      <c r="M11" s="10" t="n">
        <f aca="false">IFERROR(IF(K11="",G11,K11)*L11,"")</f>
        <v>0.75</v>
      </c>
      <c r="N11" s="0" t="s">
        <v>50</v>
      </c>
      <c r="O11" s="11" t="s">
        <v>25</v>
      </c>
      <c r="P11" s="0" t="n">
        <v>9597</v>
      </c>
      <c r="Q11" s="0" t="n">
        <v>5</v>
      </c>
      <c r="R11" s="10" t="n">
        <f aca="false">IFERROR(LOOKUP(IF(Q11="",G11,Q11),{0,1,50,100,500,1000,4000,8000,12000},{0,0.099,0.07,0.04,0.034,0.028,0.022,0.02,0.019}),"")</f>
        <v>0.099</v>
      </c>
      <c r="S11" s="10" t="n">
        <f aca="false">IFERROR(IF(Q11="",G11,Q11)*R11,"")</f>
        <v>0.495</v>
      </c>
      <c r="T11" s="0" t="s">
        <v>51</v>
      </c>
      <c r="U11" s="11" t="s">
        <v>25</v>
      </c>
      <c r="V11" s="0" t="n">
        <v>6796</v>
      </c>
      <c r="X11" s="10" t="n">
        <f aca="false">IFERROR(LOOKUP(IF(W11="",G11,W11),{0,1,10,100,250,500,1000},{0,0.261,0.192,0.096,0.074,0.065,0.057}),"")</f>
        <v>0.261</v>
      </c>
      <c r="Y11" s="10" t="n">
        <f aca="false">IFERROR(IF(W11="",G11,W11)*X11,"")</f>
        <v>1.305</v>
      </c>
      <c r="Z11" s="0" t="s">
        <v>52</v>
      </c>
      <c r="AA11" s="11" t="s">
        <v>25</v>
      </c>
    </row>
    <row r="12" customFormat="false" ht="16.3" hidden="false" customHeight="false" outlineLevel="0" collapsed="false">
      <c r="A12" s="0" t="s">
        <v>53</v>
      </c>
      <c r="B12" s="0" t="s">
        <v>54</v>
      </c>
      <c r="D12" s="0" t="s">
        <v>55</v>
      </c>
      <c r="F12" s="0" t="s">
        <v>56</v>
      </c>
      <c r="G12" s="0" t="n">
        <f aca="false">BoardQty*1</f>
        <v>5</v>
      </c>
      <c r="H12" s="10" t="n">
        <f aca="true">MINA(INDIRECT(ADDRESS(ROW(),COLUMN(digikey_part_data)+2)),INDIRECT(ADDRESS(ROW(),COLUMN(mouser_part_data)+2)),INDIRECT(ADDRESS(ROW(),COLUMN(newark_part_data)+2)))</f>
        <v>5.65</v>
      </c>
      <c r="I12" s="10" t="n">
        <f aca="false">IFERROR(G12*H12,"")</f>
        <v>28.25</v>
      </c>
      <c r="J12" s="0" t="n">
        <v>897</v>
      </c>
      <c r="L12" s="10" t="n">
        <f aca="false">IFERROR(LOOKUP(IF(K12="",G12,K12),{0,1,10,100,250,500,1000,1250},{0,6.78,6.086,4.9928,4.5954,4.12344,2.7,3.105}),"")</f>
        <v>6.78</v>
      </c>
      <c r="M12" s="10" t="n">
        <f aca="false">IFERROR(IF(K12="",G12,K12)*L12,"")</f>
        <v>33.9</v>
      </c>
      <c r="N12" s="0" t="s">
        <v>57</v>
      </c>
      <c r="O12" s="11" t="s">
        <v>25</v>
      </c>
      <c r="P12" s="0" t="n">
        <v>211</v>
      </c>
      <c r="Q12" s="0" t="n">
        <v>5</v>
      </c>
      <c r="R12" s="10" t="n">
        <f aca="false">IFERROR(LOOKUP(IF(Q12="",G12,Q12),{0,1,10,25,50,100,250,500,1000},{0,5.65,5.07,4.72,4.47,4.15,3.93,3.53,2.75}),"")</f>
        <v>5.65</v>
      </c>
      <c r="S12" s="10" t="n">
        <f aca="false">IFERROR(IF(Q12="",G12,Q12)*R12,"")</f>
        <v>28.25</v>
      </c>
      <c r="T12" s="0" t="s">
        <v>58</v>
      </c>
      <c r="U12" s="11" t="s">
        <v>25</v>
      </c>
    </row>
    <row r="13" customFormat="false" ht="16.3" hidden="false" customHeight="false" outlineLevel="0" collapsed="false">
      <c r="A13" s="0" t="s">
        <v>59</v>
      </c>
      <c r="B13" s="0" t="s">
        <v>60</v>
      </c>
      <c r="D13" s="0" t="s">
        <v>61</v>
      </c>
      <c r="F13" s="0" t="s">
        <v>62</v>
      </c>
      <c r="G13" s="0" t="n">
        <f aca="false">BoardQty*1</f>
        <v>5</v>
      </c>
      <c r="H13" s="10" t="n">
        <f aca="true">MINA(INDIRECT(ADDRESS(ROW(),COLUMN(digikey_part_data)+2)),INDIRECT(ADDRESS(ROW(),COLUMN(mouser_part_data)+2)),INDIRECT(ADDRESS(ROW(),COLUMN(newark_part_data)+2)))</f>
        <v>0.029</v>
      </c>
      <c r="I13" s="10" t="n">
        <f aca="false">IFERROR(G13*H13,"")</f>
        <v>0.145</v>
      </c>
      <c r="J13" s="0" t="n">
        <v>2310933</v>
      </c>
      <c r="L13" s="10" t="n">
        <f aca="false">IFERROR(LOOKUP(IF(K13="",G13,K13),{0,1,10,50,100,250,500,1000,4000,8000,12000,28000,100000},{0,0.1,0.044,0.0238,0.0202,0.01652,0.01412,0.01101,0.00844,0.00771,0.00734,0.00697,0.00505}),"")</f>
        <v>0.1</v>
      </c>
      <c r="M13" s="10" t="n">
        <f aca="false">IFERROR(IF(K13="",G13,K13)*L13,"")</f>
        <v>0.5</v>
      </c>
      <c r="N13" s="0" t="s">
        <v>63</v>
      </c>
      <c r="O13" s="11" t="s">
        <v>25</v>
      </c>
      <c r="P13" s="0" t="n">
        <v>378523</v>
      </c>
      <c r="R13" s="10" t="n">
        <f aca="false">IFERROR(LOOKUP(IF(Q13="",G13,Q13),{0,1,10,100,1000,4000},{0,0.099,0.024,0.015,0.012,0.011}),"")</f>
        <v>0.099</v>
      </c>
      <c r="S13" s="10" t="n">
        <f aca="false">IFERROR(IF(Q13="",G13,Q13)*R13,"")</f>
        <v>0.495</v>
      </c>
      <c r="T13" s="0" t="s">
        <v>64</v>
      </c>
      <c r="U13" s="11" t="s">
        <v>25</v>
      </c>
      <c r="V13" s="0" t="n">
        <v>2791</v>
      </c>
      <c r="W13" s="0" t="n">
        <v>5</v>
      </c>
      <c r="X13" s="10" t="n">
        <f aca="false">IFERROR(LOOKUP(IF(W13="",G13,W13),{0,1,250,500,1000,5000},{0,0.029,0.026,0.023,0.021,0.015}),"")</f>
        <v>0.029</v>
      </c>
      <c r="Y13" s="10" t="n">
        <f aca="false">IFERROR(IF(W13="",G13,W13)*X13,"")</f>
        <v>0.145</v>
      </c>
      <c r="Z13" s="0" t="s">
        <v>65</v>
      </c>
      <c r="AA13" s="11" t="s">
        <v>25</v>
      </c>
    </row>
    <row r="14" customFormat="false" ht="16.3" hidden="false" customHeight="false" outlineLevel="0" collapsed="false">
      <c r="A14" s="0" t="s">
        <v>66</v>
      </c>
      <c r="B14" s="0" t="s">
        <v>67</v>
      </c>
      <c r="D14" s="0" t="s">
        <v>68</v>
      </c>
      <c r="F14" s="0" t="s">
        <v>69</v>
      </c>
      <c r="G14" s="0" t="n">
        <f aca="false">BoardQty*1</f>
        <v>5</v>
      </c>
      <c r="H14" s="10" t="n">
        <f aca="true">MINA(INDIRECT(ADDRESS(ROW(),COLUMN(digikey_part_data)+2)),INDIRECT(ADDRESS(ROW(),COLUMN(mouser_part_data)+2)),INDIRECT(ADDRESS(ROW(),COLUMN(newark_part_data)+2)))</f>
        <v>0</v>
      </c>
      <c r="I14" s="10" t="n">
        <f aca="false">IFERROR(G14*H14,"")</f>
        <v>0</v>
      </c>
      <c r="P14" s="0" t="n">
        <v>1896</v>
      </c>
      <c r="Q14" s="0" t="n">
        <v>5</v>
      </c>
      <c r="R14" s="10" t="n">
        <f aca="false">IFERROR(LOOKUP(IF(Q14="",G14,Q14),{0,1,10,100,500,1000,2000,5000,10000,25000},{0,1.09,0.864,0.577,0.489,0.432,0.403,0.389,0.375,0.367}),"")</f>
        <v>1.09</v>
      </c>
      <c r="S14" s="10" t="n">
        <f aca="false">IFERROR(IF(Q14="",G14,Q14)*R14,"")</f>
        <v>5.45</v>
      </c>
      <c r="T14" s="0" t="s">
        <v>70</v>
      </c>
      <c r="U14" s="11" t="s">
        <v>25</v>
      </c>
      <c r="V14" s="0" t="n">
        <v>0</v>
      </c>
      <c r="X14" s="10" t="n">
        <f aca="false">IFERROR(LOOKUP(IF(W14="",G14,W14),{0},{0}),"")</f>
        <v>0</v>
      </c>
      <c r="Y14" s="10" t="n">
        <f aca="false">IFERROR(IF(W14="",G14,W14)*X14,"")</f>
        <v>0</v>
      </c>
      <c r="Z14" s="0" t="s">
        <v>71</v>
      </c>
      <c r="AA14" s="11" t="s">
        <v>25</v>
      </c>
    </row>
    <row r="15" customFormat="false" ht="15" hidden="false" customHeight="false" outlineLevel="0" collapsed="false">
      <c r="A15" s="0" t="s">
        <v>72</v>
      </c>
      <c r="B15" s="0" t="s">
        <v>73</v>
      </c>
      <c r="D15" s="0" t="s">
        <v>74</v>
      </c>
      <c r="G15" s="0" t="n">
        <f aca="false">BoardQty*3</f>
        <v>15</v>
      </c>
      <c r="H15" s="10" t="n">
        <f aca="true">MINA(INDIRECT(ADDRESS(ROW(),COLUMN(digikey_part_data)+2)),INDIRECT(ADDRESS(ROW(),COLUMN(mouser_part_data)+2)),INDIRECT(ADDRESS(ROW(),COLUMN(newark_part_data)+2)))</f>
        <v>0</v>
      </c>
      <c r="I15" s="10" t="n">
        <f aca="false">IFERROR(G15*H15,"")</f>
        <v>0</v>
      </c>
    </row>
    <row r="17" customFormat="false" ht="15" hidden="false" customHeight="false" outlineLevel="0" collapsed="false">
      <c r="K17" s="0" t="str">
        <f aca="false" t="array" ref="K17:K17">IFERROR(CONCATENATE(TEXT(INDEX($K$7:$K$15,SMALL(IF($N$7:$N$15&lt;&gt;"",IF($K$7:$K$15&lt;&gt;"",ROW($K$7:$K$15)-MIN(ROW($K$7:$K$15))+1,""),""),ROW()-ROW(A$17)+1)),"##0"),","),"")</f>
        <v/>
      </c>
      <c r="L17" s="0" t="str">
        <f aca="false" t="array" ref="L17:L17">IFERROR(CONCATENATE((INDEX($N$7:$N$15,SMALL(IF($N$7:$N$15&lt;&gt;"",IF($K$7:$K$15&lt;&gt;"",ROW($K$7:$K$15)-MIN(ROW($K$7:$K$15))+1,""),""),ROW()-ROW(A$17)+1))),","),"")</f>
        <v/>
      </c>
      <c r="M17" s="0" t="str">
        <f aca="false" t="array" ref="M17:M17">IFERROR(CONCATENATE((INDEX($A$7:$A$15,SMALL(IF($N$7:$N$15&lt;&gt;"",IF($K$7:$K$15&lt;&gt;"",ROW($K$7:$K$15)-MIN(ROW($K$7:$K$15))+1,""),""),ROW()-ROW(A$17)+1))),),"")</f>
        <v/>
      </c>
      <c r="Q17" s="0" t="str">
        <f aca="false" t="array" ref="Q17:Q17">IFERROR(CONCATENATE((INDEX($T$7:$T$15,SMALL(IF($T$7:$T$15&lt;&gt;"",IF($Q$7:$Q$15&lt;&gt;"",ROW($Q$7:$Q$15)-MIN(ROW($Q$7:$Q$15))+1,""),""),ROW()-ROW(A$17)+1)))," "),"")</f>
        <v>80-C0805C103K5R </v>
      </c>
      <c r="R17" s="0" t="str">
        <f aca="false" t="array" ref="R17:R17">IFERROR(CONCATENATE(TEXT(INDEX($Q$7:$Q$15,SMALL(IF($T$7:$T$15&lt;&gt;"",IF($Q$7:$Q$15&lt;&gt;"",ROW($Q$7:$Q$15)-MIN(ROW($Q$7:$Q$15))+1,""),""),ROW()-ROW(A$17)+1)),"##0")," "),"")</f>
        <v>5 </v>
      </c>
      <c r="S17" s="0" t="str">
        <f aca="false" t="array" ref="S17:S17">IFERROR(CONCATENATE((INDEX($A$7:$A$15,SMALL(IF($T$7:$T$15&lt;&gt;"",IF($Q$7:$Q$15&lt;&gt;"",ROW($Q$7:$Q$15)-MIN(ROW($Q$7:$Q$15))+1,""),""),ROW()-ROW(A$17)+1))),),"")</f>
        <v>C2</v>
      </c>
      <c r="W17" s="0" t="str">
        <f aca="false" t="array" ref="W17:W17">IFERROR(CONCATENATE((INDEX($Z$7:$Z$15,SMALL(IF($Z$7:$Z$15&lt;&gt;"",IF($W$7:$W$15&lt;&gt;"",ROW($W$7:$W$15)-MIN(ROW($W$7:$W$15))+1,""),""),ROW()-ROW(A$17)+1))),","),"")</f>
        <v>83T0041,</v>
      </c>
      <c r="X17" s="0" t="str">
        <f aca="false" t="array" ref="X17:X17">IFERROR(CONCATENATE(TEXT(INDEX($W$7:$W$15,SMALL(IF($Z$7:$Z$15&lt;&gt;"",IF($W$7:$W$15&lt;&gt;"",ROW($W$7:$W$15)-MIN(ROW($W$7:$W$15))+1,""),""),ROW()-ROW(A$17)+1)),"##0"),","),"")</f>
        <v>5,</v>
      </c>
      <c r="Y17" s="0" t="str">
        <f aca="false" t="array" ref="Y17:Y17">IFERROR(CONCATENATE((INDEX($A$7:$A$15,SMALL(IF($Z$7:$Z$15&lt;&gt;"",IF($W$7:$W$15&lt;&gt;"",ROW($W$7:$W$15)-MIN(ROW($W$7:$W$15))+1,""),""),ROW()-ROW(A$17)+1))),),"")</f>
        <v>L1</v>
      </c>
    </row>
    <row r="18" customFormat="false" ht="15" hidden="false" customHeight="false" outlineLevel="0" collapsed="false">
      <c r="K18" s="0" t="str">
        <f aca="false" t="array" ref="K18:K18">IFERROR(CONCATENATE(TEXT(INDEX($K$7:$K$15,SMALL(IF($N$7:$N$15&lt;&gt;"",IF($K$7:$K$15&lt;&gt;"",ROW($K$7:$K$15)-MIN(ROW($K$7:$K$15))+1,""),""),ROW()-ROW(A$17)+1)),"##0"),","),"")</f>
        <v/>
      </c>
      <c r="L18" s="0" t="str">
        <f aca="false" t="array" ref="L18:L18">IFERROR(CONCATENATE((INDEX($N$7:$N$15,SMALL(IF($N$7:$N$15&lt;&gt;"",IF($K$7:$K$15&lt;&gt;"",ROW($K$7:$K$15)-MIN(ROW($K$7:$K$15))+1,""),""),ROW()-ROW(A$17)+1))),","),"")</f>
        <v/>
      </c>
      <c r="M18" s="0" t="str">
        <f aca="false" t="array" ref="M18:M18">IFERROR(CONCATENATE((INDEX($A$7:$A$15,SMALL(IF($N$7:$N$15&lt;&gt;"",IF($K$7:$K$15&lt;&gt;"",ROW($K$7:$K$15)-MIN(ROW($K$7:$K$15))+1,""),""),ROW()-ROW(A$17)+1))),),"")</f>
        <v/>
      </c>
      <c r="Q18" s="0" t="str">
        <f aca="false" t="array" ref="Q18:Q18">IFERROR(CONCATENATE((INDEX($T$7:$T$15,SMALL(IF($T$7:$T$15&lt;&gt;"",IF($Q$7:$Q$15&lt;&gt;"",ROW($Q$7:$Q$15)-MIN(ROW($Q$7:$Q$15))+1,""),""),ROW()-ROW(A$17)+1)))," "),"")</f>
        <v>81-GRM32ER7YA106KA2L </v>
      </c>
      <c r="R18" s="0" t="str">
        <f aca="false" t="array" ref="R18:R18">IFERROR(CONCATENATE(TEXT(INDEX($Q$7:$Q$15,SMALL(IF($T$7:$T$15&lt;&gt;"",IF($Q$7:$Q$15&lt;&gt;"",ROW($Q$7:$Q$15)-MIN(ROW($Q$7:$Q$15))+1,""),""),ROW()-ROW(A$17)+1)),"##0")," "),"")</f>
        <v>5 </v>
      </c>
      <c r="S18" s="0" t="str">
        <f aca="false" t="array" ref="S18:S18">IFERROR(CONCATENATE((INDEX($A$7:$A$15,SMALL(IF($T$7:$T$15&lt;&gt;"",IF($Q$7:$Q$15&lt;&gt;"",ROW($Q$7:$Q$15)-MIN(ROW($Q$7:$Q$15))+1,""),""),ROW()-ROW(A$17)+1))),),"")</f>
        <v>C1</v>
      </c>
      <c r="W18" s="0" t="str">
        <f aca="false" t="array" ref="W18:W18">IFERROR(CONCATENATE((INDEX($Z$7:$Z$15,SMALL(IF($Z$7:$Z$15&lt;&gt;"",IF($W$7:$W$15&lt;&gt;"",ROW($W$7:$W$15)-MIN(ROW($W$7:$W$15))+1,""),""),ROW()-ROW(A$17)+1))),","),"")</f>
        <v>73K9904,</v>
      </c>
      <c r="X18" s="0" t="str">
        <f aca="false" t="array" ref="X18:X18">IFERROR(CONCATENATE(TEXT(INDEX($W$7:$W$15,SMALL(IF($Z$7:$Z$15&lt;&gt;"",IF($W$7:$W$15&lt;&gt;"",ROW($W$7:$W$15)-MIN(ROW($W$7:$W$15))+1,""),""),ROW()-ROW(A$17)+1)),"##0"),","),"")</f>
        <v>5,</v>
      </c>
      <c r="Y18" s="0" t="str">
        <f aca="false" t="array" ref="Y18:Y18">IFERROR(CONCATENATE((INDEX($A$7:$A$15,SMALL(IF($Z$7:$Z$15&lt;&gt;"",IF($W$7:$W$15&lt;&gt;"",ROW($W$7:$W$15)-MIN(ROW($W$7:$W$15))+1,""),""),ROW()-ROW(A$17)+1))),),"")</f>
        <v>D1</v>
      </c>
    </row>
    <row r="19" customFormat="false" ht="15" hidden="false" customHeight="false" outlineLevel="0" collapsed="false">
      <c r="K19" s="0" t="str">
        <f aca="false" t="array" ref="K19:K19">IFERROR(CONCATENATE(TEXT(INDEX($K$7:$K$15,SMALL(IF($N$7:$N$15&lt;&gt;"",IF($K$7:$K$15&lt;&gt;"",ROW($K$7:$K$15)-MIN(ROW($K$7:$K$15))+1,""),""),ROW()-ROW(A$17)+1)),"##0"),","),"")</f>
        <v/>
      </c>
      <c r="L19" s="0" t="str">
        <f aca="false" t="array" ref="L19:L19">IFERROR(CONCATENATE((INDEX($N$7:$N$15,SMALL(IF($N$7:$N$15&lt;&gt;"",IF($K$7:$K$15&lt;&gt;"",ROW($K$7:$K$15)-MIN(ROW($K$7:$K$15))+1,""),""),ROW()-ROW(A$17)+1))),","),"")</f>
        <v/>
      </c>
      <c r="M19" s="0" t="str">
        <f aca="false" t="array" ref="M19:M19">IFERROR(CONCATENATE((INDEX($A$7:$A$15,SMALL(IF($N$7:$N$15&lt;&gt;"",IF($K$7:$K$15&lt;&gt;"",ROW($K$7:$K$15)-MIN(ROW($K$7:$K$15))+1,""),""),ROW()-ROW(A$17)+1))),),"")</f>
        <v/>
      </c>
      <c r="Q19" s="0" t="str">
        <f aca="false" t="array" ref="Q19:Q19">IFERROR(CONCATENATE((INDEX($T$7:$T$15,SMALL(IF($T$7:$T$15&lt;&gt;"",IF($Q$7:$Q$15&lt;&gt;"",ROW($Q$7:$Q$15)-MIN(ROW($Q$7:$Q$15))+1,""),""),ROW()-ROW(A$17)+1)))," "),"")</f>
        <v>581-08055C393K </v>
      </c>
      <c r="R19" s="0" t="str">
        <f aca="false" t="array" ref="R19:R19">IFERROR(CONCATENATE(TEXT(INDEX($Q$7:$Q$15,SMALL(IF($T$7:$T$15&lt;&gt;"",IF($Q$7:$Q$15&lt;&gt;"",ROW($Q$7:$Q$15)-MIN(ROW($Q$7:$Q$15))+1,""),""),ROW()-ROW(A$17)+1)),"##0")," "),"")</f>
        <v>5 </v>
      </c>
      <c r="S19" s="0" t="str">
        <f aca="false" t="array" ref="S19:S19">IFERROR(CONCATENATE((INDEX($A$7:$A$15,SMALL(IF($T$7:$T$15&lt;&gt;"",IF($Q$7:$Q$15&lt;&gt;"",ROW($Q$7:$Q$15)-MIN(ROW($Q$7:$Q$15))+1,""),""),ROW()-ROW(A$17)+1))),),"")</f>
        <v>C5</v>
      </c>
      <c r="W19" s="0" t="str">
        <f aca="false" t="array" ref="W19:W19">IFERROR(CONCATENATE((INDEX($Z$7:$Z$15,SMALL(IF($Z$7:$Z$15&lt;&gt;"",IF($W$7:$W$15&lt;&gt;"",ROW($W$7:$W$15)-MIN(ROW($W$7:$W$15))+1,""),""),ROW()-ROW(A$17)+1))),","),"")</f>
        <v>14T3309,</v>
      </c>
      <c r="X19" s="0" t="str">
        <f aca="false" t="array" ref="X19:X19">IFERROR(CONCATENATE(TEXT(INDEX($W$7:$W$15,SMALL(IF($Z$7:$Z$15&lt;&gt;"",IF($W$7:$W$15&lt;&gt;"",ROW($W$7:$W$15)-MIN(ROW($W$7:$W$15))+1,""),""),ROW()-ROW(A$17)+1)),"##0"),","),"")</f>
        <v>5,</v>
      </c>
      <c r="Y19" s="0" t="str">
        <f aca="false" t="array" ref="Y19:Y19">IFERROR(CONCATENATE((INDEX($A$7:$A$15,SMALL(IF($Z$7:$Z$15&lt;&gt;"",IF($W$7:$W$15&lt;&gt;"",ROW($W$7:$W$15)-MIN(ROW($W$7:$W$15))+1,""),""),ROW()-ROW(A$17)+1))),),"")</f>
        <v>C3</v>
      </c>
    </row>
    <row r="20" customFormat="false" ht="15" hidden="false" customHeight="false" outlineLevel="0" collapsed="false">
      <c r="K20" s="0" t="str">
        <f aca="false" t="array" ref="K20:K20">IFERROR(CONCATENATE(TEXT(INDEX($K$7:$K$15,SMALL(IF($N$7:$N$15&lt;&gt;"",IF($K$7:$K$15&lt;&gt;"",ROW($K$7:$K$15)-MIN(ROW($K$7:$K$15))+1,""),""),ROW()-ROW(A$17)+1)),"##0"),","),"")</f>
        <v/>
      </c>
      <c r="L20" s="0" t="str">
        <f aca="false" t="array" ref="L20:L20">IFERROR(CONCATENATE((INDEX($N$7:$N$15,SMALL(IF($N$7:$N$15&lt;&gt;"",IF($K$7:$K$15&lt;&gt;"",ROW($K$7:$K$15)-MIN(ROW($K$7:$K$15))+1,""),""),ROW()-ROW(A$17)+1))),","),"")</f>
        <v/>
      </c>
      <c r="M20" s="0" t="str">
        <f aca="false" t="array" ref="M20:M20">IFERROR(CONCATENATE((INDEX($A$7:$A$15,SMALL(IF($N$7:$N$15&lt;&gt;"",IF($K$7:$K$15&lt;&gt;"",ROW($K$7:$K$15)-MIN(ROW($K$7:$K$15))+1,""),""),ROW()-ROW(A$17)+1))),),"")</f>
        <v/>
      </c>
      <c r="Q20" s="0" t="str">
        <f aca="false" t="array" ref="Q20:Q20">IFERROR(CONCATENATE((INDEX($T$7:$T$15,SMALL(IF($T$7:$T$15&lt;&gt;"",IF($Q$7:$Q$15&lt;&gt;"",ROW($Q$7:$Q$15)-MIN(ROW($Q$7:$Q$15))+1,""),""),ROW()-ROW(A$17)+1)))," "),"")</f>
        <v>926-LM22679TJ50NOPB </v>
      </c>
      <c r="R20" s="0" t="str">
        <f aca="false" t="array" ref="R20:R20">IFERROR(CONCATENATE(TEXT(INDEX($Q$7:$Q$15,SMALL(IF($T$7:$T$15&lt;&gt;"",IF($Q$7:$Q$15&lt;&gt;"",ROW($Q$7:$Q$15)-MIN(ROW($Q$7:$Q$15))+1,""),""),ROW()-ROW(A$17)+1)),"##0")," "),"")</f>
        <v>5 </v>
      </c>
      <c r="S20" s="0" t="str">
        <f aca="false" t="array" ref="S20:S20">IFERROR(CONCATENATE((INDEX($A$7:$A$15,SMALL(IF($T$7:$T$15&lt;&gt;"",IF($Q$7:$Q$15&lt;&gt;"",ROW($Q$7:$Q$15)-MIN(ROW($Q$7:$Q$15))+1,""),""),ROW()-ROW(A$17)+1))),),"")</f>
        <v>U1</v>
      </c>
      <c r="W20" s="0" t="str">
        <f aca="false" t="array" ref="W20:W20">IFERROR(CONCATENATE((INDEX($Z$7:$Z$15,SMALL(IF($Z$7:$Z$15&lt;&gt;"",IF($W$7:$W$15&lt;&gt;"",ROW($W$7:$W$15)-MIN(ROW($W$7:$W$15))+1,""),""),ROW()-ROW(A$17)+1))),","),"")</f>
        <v/>
      </c>
      <c r="X20" s="0" t="str">
        <f aca="false" t="array" ref="X20:X20">IFERROR(CONCATENATE(TEXT(INDEX($W$7:$W$15,SMALL(IF($Z$7:$Z$15&lt;&gt;"",IF($W$7:$W$15&lt;&gt;"",ROW($W$7:$W$15)-MIN(ROW($W$7:$W$15))+1,""),""),ROW()-ROW(A$17)+1)),"##0"),","),"")</f>
        <v/>
      </c>
      <c r="Y20" s="0" t="str">
        <f aca="false" t="array" ref="Y20:Y20">IFERROR(CONCATENATE((INDEX($A$7:$A$15,SMALL(IF($Z$7:$Z$15&lt;&gt;"",IF($W$7:$W$15&lt;&gt;"",ROW($W$7:$W$15)-MIN(ROW($W$7:$W$15))+1,""),""),ROW()-ROW(A$17)+1))),),"")</f>
        <v/>
      </c>
    </row>
    <row r="21" customFormat="false" ht="15" hidden="false" customHeight="false" outlineLevel="0" collapsed="false">
      <c r="K21" s="0" t="str">
        <f aca="false" t="array" ref="K21:K21">IFERROR(CONCATENATE(TEXT(INDEX($K$7:$K$15,SMALL(IF($N$7:$N$15&lt;&gt;"",IF($K$7:$K$15&lt;&gt;"",ROW($K$7:$K$15)-MIN(ROW($K$7:$K$15))+1,""),""),ROW()-ROW(A$17)+1)),"##0"),","),"")</f>
        <v/>
      </c>
      <c r="L21" s="0" t="str">
        <f aca="false" t="array" ref="L21:L21">IFERROR(CONCATENATE((INDEX($N$7:$N$15,SMALL(IF($N$7:$N$15&lt;&gt;"",IF($K$7:$K$15&lt;&gt;"",ROW($K$7:$K$15)-MIN(ROW($K$7:$K$15))+1,""),""),ROW()-ROW(A$17)+1))),","),"")</f>
        <v/>
      </c>
      <c r="M21" s="0" t="str">
        <f aca="false" t="array" ref="M21:M21">IFERROR(CONCATENATE((INDEX($A$7:$A$15,SMALL(IF($N$7:$N$15&lt;&gt;"",IF($K$7:$K$15&lt;&gt;"",ROW($K$7:$K$15)-MIN(ROW($K$7:$K$15))+1,""),""),ROW()-ROW(A$17)+1))),),"")</f>
        <v/>
      </c>
      <c r="Q21" s="0" t="str">
        <f aca="false" t="array" ref="Q21:Q21">IFERROR(CONCATENATE((INDEX($T$7:$T$15,SMALL(IF($T$7:$T$15&lt;&gt;"",IF($Q$7:$Q$15&lt;&gt;"",ROW($Q$7:$Q$15)-MIN(ROW($Q$7:$Q$15))+1,""),""),ROW()-ROW(A$17)+1)))," "),"")</f>
        <v>661-APXE100ARA121MF6 </v>
      </c>
      <c r="R21" s="0" t="str">
        <f aca="false" t="array" ref="R21:R21">IFERROR(CONCATENATE(TEXT(INDEX($Q$7:$Q$15,SMALL(IF($T$7:$T$15&lt;&gt;"",IF($Q$7:$Q$15&lt;&gt;"",ROW($Q$7:$Q$15)-MIN(ROW($Q$7:$Q$15))+1,""),""),ROW()-ROW(A$17)+1)),"##0")," "),"")</f>
        <v>5 </v>
      </c>
      <c r="S21" s="0" t="str">
        <f aca="false" t="array" ref="S21:S21">IFERROR(CONCATENATE((INDEX($A$7:$A$15,SMALL(IF($T$7:$T$15&lt;&gt;"",IF($Q$7:$Q$15&lt;&gt;"",ROW($Q$7:$Q$15)-MIN(ROW($Q$7:$Q$15))+1,""),""),ROW()-ROW(A$17)+1))),),"")</f>
        <v>C4</v>
      </c>
      <c r="W21" s="0" t="str">
        <f aca="false" t="array" ref="W21:W21">IFERROR(CONCATENATE((INDEX($Z$7:$Z$15,SMALL(IF($Z$7:$Z$15&lt;&gt;"",IF($W$7:$W$15&lt;&gt;"",ROW($W$7:$W$15)-MIN(ROW($W$7:$W$15))+1,""),""),ROW()-ROW(A$17)+1))),","),"")</f>
        <v/>
      </c>
      <c r="X21" s="0" t="str">
        <f aca="false" t="array" ref="X21:X21">IFERROR(CONCATENATE(TEXT(INDEX($W$7:$W$15,SMALL(IF($Z$7:$Z$15&lt;&gt;"",IF($W$7:$W$15&lt;&gt;"",ROW($W$7:$W$15)-MIN(ROW($W$7:$W$15))+1,""),""),ROW()-ROW(A$17)+1)),"##0"),","),"")</f>
        <v/>
      </c>
      <c r="Y21" s="0" t="str">
        <f aca="false" t="array" ref="Y21:Y21">IFERROR(CONCATENATE((INDEX($A$7:$A$15,SMALL(IF($Z$7:$Z$15&lt;&gt;"",IF($W$7:$W$15&lt;&gt;"",ROW($W$7:$W$15)-MIN(ROW($W$7:$W$15))+1,""),""),ROW()-ROW(A$17)+1))),),"")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IFERROR(CONCATENATE(TEXT(INDEX($K$7:$K$15,SMALL(IF($N$7:$N$15&lt;&gt;"",IF($K$7:$K$15&lt;&gt;"",ROW($K$7:$K$15)-MIN(ROW($K$7:$K$15))+1,""),""),ROW()-ROW(A$17)+1)),"##0"),","),"")</f>
        <v/>
      </c>
      <c r="L22" s="0" t="str">
        <f aca="false" t="array" ref="L22:L22">IFERROR(CONCATENATE((INDEX($N$7:$N$15,SMALL(IF($N$7:$N$15&lt;&gt;"",IF($K$7:$K$15&lt;&gt;"",ROW($K$7:$K$15)-MIN(ROW($K$7:$K$15))+1,""),""),ROW()-ROW(A$17)+1))),","),"")</f>
        <v/>
      </c>
      <c r="M22" s="0" t="str">
        <f aca="false" t="array" ref="M22:M22">IFERROR(CONCATENATE((INDEX($A$7:$A$15,SMALL(IF($N$7:$N$15&lt;&gt;"",IF($K$7:$K$15&lt;&gt;"",ROW($K$7:$K$15)-MIN(ROW($K$7:$K$15))+1,""),""),ROW()-ROW(A$17)+1))),),"")</f>
        <v/>
      </c>
      <c r="Q22" s="0" t="str">
        <f aca="false" t="array" ref="Q22:Q22">IFERROR(CONCATENATE((INDEX($T$7:$T$15,SMALL(IF($T$7:$T$15&lt;&gt;"",IF($Q$7:$Q$15&lt;&gt;"",ROW($Q$7:$Q$15)-MIN(ROW($Q$7:$Q$15))+1,""),""),ROW()-ROW(A$17)+1)))," "),"")</f>
        <v/>
      </c>
      <c r="R22" s="0" t="str">
        <f aca="false" t="array" ref="R22:R22">IFERROR(CONCATENATE(TEXT(INDEX($Q$7:$Q$15,SMALL(IF($T$7:$T$15&lt;&gt;"",IF($Q$7:$Q$15&lt;&gt;"",ROW($Q$7:$Q$15)-MIN(ROW($Q$7:$Q$15))+1,""),""),ROW()-ROW(A$17)+1)),"##0")," "),"")</f>
        <v/>
      </c>
      <c r="S22" s="0" t="str">
        <f aca="false" t="array" ref="S22:S22">IFERROR(CONCATENATE((INDEX($A$7:$A$15,SMALL(IF($T$7:$T$15&lt;&gt;"",IF($Q$7:$Q$15&lt;&gt;"",ROW($Q$7:$Q$15)-MIN(ROW($Q$7:$Q$15))+1,""),""),ROW()-ROW(A$17)+1))),),"")</f>
        <v/>
      </c>
      <c r="W22" s="0" t="str">
        <f aca="false" t="array" ref="W22:W22">IFERROR(CONCATENATE((INDEX($Z$7:$Z$15,SMALL(IF($Z$7:$Z$15&lt;&gt;"",IF($W$7:$W$15&lt;&gt;"",ROW($W$7:$W$15)-MIN(ROW($W$7:$W$15))+1,""),""),ROW()-ROW(A$17)+1))),","),"")</f>
        <v/>
      </c>
      <c r="X22" s="0" t="str">
        <f aca="false" t="array" ref="X22:X22">IFERROR(CONCATENATE(TEXT(INDEX($W$7:$W$15,SMALL(IF($Z$7:$Z$15&lt;&gt;"",IF($W$7:$W$15&lt;&gt;"",ROW($W$7:$W$15)-MIN(ROW($W$7:$W$15))+1,""),""),ROW()-ROW(A$17)+1)),"##0"),","),"")</f>
        <v/>
      </c>
      <c r="Y22" s="0" t="str">
        <f aca="false" t="array" ref="Y22:Y22">IFERROR(CONCATENATE((INDEX($A$7:$A$15,SMALL(IF($Z$7:$Z$15&lt;&gt;"",IF($W$7:$W$15&lt;&gt;"",ROW($W$7:$W$15)-MIN(ROW($W$7:$W$15))+1,""),""),ROW()-ROW(A$17)+1))),),"")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IFERROR(CONCATENATE(TEXT(INDEX($K$7:$K$15,SMALL(IF($N$7:$N$15&lt;&gt;"",IF($K$7:$K$15&lt;&gt;"",ROW($K$7:$K$15)-MIN(ROW($K$7:$K$15))+1,""),""),ROW()-ROW(A$17)+1)),"##0"),","),"")</f>
        <v/>
      </c>
      <c r="L23" s="0" t="str">
        <f aca="false" t="array" ref="L23:L23">IFERROR(CONCATENATE((INDEX($N$7:$N$15,SMALL(IF($N$7:$N$15&lt;&gt;"",IF($K$7:$K$15&lt;&gt;"",ROW($K$7:$K$15)-MIN(ROW($K$7:$K$15))+1,""),""),ROW()-ROW(A$17)+1))),","),"")</f>
        <v/>
      </c>
      <c r="M23" s="0" t="str">
        <f aca="false" t="array" ref="M23:M23">IFERROR(CONCATENATE((INDEX($A$7:$A$15,SMALL(IF($N$7:$N$15&lt;&gt;"",IF($K$7:$K$15&lt;&gt;"",ROW($K$7:$K$15)-MIN(ROW($K$7:$K$15))+1,""),""),ROW()-ROW(A$17)+1))),),"")</f>
        <v/>
      </c>
      <c r="Q23" s="0" t="str">
        <f aca="false" t="array" ref="Q23:Q23">IFERROR(CONCATENATE((INDEX($T$7:$T$15,SMALL(IF($T$7:$T$15&lt;&gt;"",IF($Q$7:$Q$15&lt;&gt;"",ROW($Q$7:$Q$15)-MIN(ROW($Q$7:$Q$15))+1,""),""),ROW()-ROW(A$17)+1)))," "),"")</f>
        <v/>
      </c>
      <c r="R23" s="0" t="str">
        <f aca="false" t="array" ref="R23:R23">IFERROR(CONCATENATE(TEXT(INDEX($Q$7:$Q$15,SMALL(IF($T$7:$T$15&lt;&gt;"",IF($Q$7:$Q$15&lt;&gt;"",ROW($Q$7:$Q$15)-MIN(ROW($Q$7:$Q$15))+1,""),""),ROW()-ROW(A$17)+1)),"##0")," "),"")</f>
        <v/>
      </c>
      <c r="S23" s="0" t="str">
        <f aca="false" t="array" ref="S23:S23">IFERROR(CONCATENATE((INDEX($A$7:$A$15,SMALL(IF($T$7:$T$15&lt;&gt;"",IF($Q$7:$Q$15&lt;&gt;"",ROW($Q$7:$Q$15)-MIN(ROW($Q$7:$Q$15))+1,""),""),ROW()-ROW(A$17)+1))),),"")</f>
        <v/>
      </c>
      <c r="W23" s="0" t="str">
        <f aca="false" t="array" ref="W23:W23">IFERROR(CONCATENATE((INDEX($Z$7:$Z$15,SMALL(IF($Z$7:$Z$15&lt;&gt;"",IF($W$7:$W$15&lt;&gt;"",ROW($W$7:$W$15)-MIN(ROW($W$7:$W$15))+1,""),""),ROW()-ROW(A$17)+1))),","),"")</f>
        <v/>
      </c>
      <c r="X23" s="0" t="str">
        <f aca="false" t="array" ref="X23:X23">IFERROR(CONCATENATE(TEXT(INDEX($W$7:$W$15,SMALL(IF($Z$7:$Z$15&lt;&gt;"",IF($W$7:$W$15&lt;&gt;"",ROW($W$7:$W$15)-MIN(ROW($W$7:$W$15))+1,""),""),ROW()-ROW(A$17)+1)),"##0"),","),"")</f>
        <v/>
      </c>
      <c r="Y23" s="0" t="str">
        <f aca="false" t="array" ref="Y23:Y23">IFERROR(CONCATENATE((INDEX($A$7:$A$15,SMALL(IF($Z$7:$Z$15&lt;&gt;"",IF($W$7:$W$15&lt;&gt;"",ROW($W$7:$W$15)-MIN(ROW($W$7:$W$15))+1,""),""),ROW()-ROW(A$17)+1))),),"")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IFERROR(CONCATENATE(TEXT(INDEX($K$7:$K$15,SMALL(IF($N$7:$N$15&lt;&gt;"",IF($K$7:$K$15&lt;&gt;"",ROW($K$7:$K$15)-MIN(ROW($K$7:$K$15))+1,""),""),ROW()-ROW(A$17)+1)),"##0"),","),"")</f>
        <v/>
      </c>
      <c r="L24" s="0" t="str">
        <f aca="false" t="array" ref="L24:L24">IFERROR(CONCATENATE((INDEX($N$7:$N$15,SMALL(IF($N$7:$N$15&lt;&gt;"",IF($K$7:$K$15&lt;&gt;"",ROW($K$7:$K$15)-MIN(ROW($K$7:$K$15))+1,""),""),ROW()-ROW(A$17)+1))),","),"")</f>
        <v/>
      </c>
      <c r="M24" s="0" t="str">
        <f aca="false" t="array" ref="M24:M24">IFERROR(CONCATENATE((INDEX($A$7:$A$15,SMALL(IF($N$7:$N$15&lt;&gt;"",IF($K$7:$K$15&lt;&gt;"",ROW($K$7:$K$15)-MIN(ROW($K$7:$K$15))+1,""),""),ROW()-ROW(A$17)+1))),),"")</f>
        <v/>
      </c>
      <c r="Q24" s="0" t="str">
        <f aca="false" t="array" ref="Q24:Q24">IFERROR(CONCATENATE((INDEX($T$7:$T$15,SMALL(IF($T$7:$T$15&lt;&gt;"",IF($Q$7:$Q$15&lt;&gt;"",ROW($Q$7:$Q$15)-MIN(ROW($Q$7:$Q$15))+1,""),""),ROW()-ROW(A$17)+1)))," "),"")</f>
        <v/>
      </c>
      <c r="R24" s="0" t="str">
        <f aca="false" t="array" ref="R24:R24">IFERROR(CONCATENATE(TEXT(INDEX($Q$7:$Q$15,SMALL(IF($T$7:$T$15&lt;&gt;"",IF($Q$7:$Q$15&lt;&gt;"",ROW($Q$7:$Q$15)-MIN(ROW($Q$7:$Q$15))+1,""),""),ROW()-ROW(A$17)+1)),"##0")," "),"")</f>
        <v/>
      </c>
      <c r="S24" s="0" t="str">
        <f aca="false" t="array" ref="S24:S24">IFERROR(CONCATENATE((INDEX($A$7:$A$15,SMALL(IF($T$7:$T$15&lt;&gt;"",IF($Q$7:$Q$15&lt;&gt;"",ROW($Q$7:$Q$15)-MIN(ROW($Q$7:$Q$15))+1,""),""),ROW()-ROW(A$17)+1))),),"")</f>
        <v/>
      </c>
      <c r="W24" s="0" t="str">
        <f aca="false" t="array" ref="W24:W24">IFERROR(CONCATENATE((INDEX($Z$7:$Z$15,SMALL(IF($Z$7:$Z$15&lt;&gt;"",IF($W$7:$W$15&lt;&gt;"",ROW($W$7:$W$15)-MIN(ROW($W$7:$W$15))+1,""),""),ROW()-ROW(A$17)+1))),","),"")</f>
        <v/>
      </c>
      <c r="X24" s="0" t="str">
        <f aca="false" t="array" ref="X24:X24">IFERROR(CONCATENATE(TEXT(INDEX($W$7:$W$15,SMALL(IF($Z$7:$Z$15&lt;&gt;"",IF($W$7:$W$15&lt;&gt;"",ROW($W$7:$W$15)-MIN(ROW($W$7:$W$15))+1,""),""),ROW()-ROW(A$17)+1)),"##0"),","),"")</f>
        <v/>
      </c>
      <c r="Y24" s="0" t="str">
        <f aca="false" t="array" ref="Y24:Y24">IFERROR(CONCATENATE((INDEX($A$7:$A$15,SMALL(IF($Z$7:$Z$15&lt;&gt;"",IF($W$7:$W$15&lt;&gt;"",ROW($W$7:$W$15)-MIN(ROW($W$7:$W$15))+1,""),""),ROW()-ROW(A$17)+1))),),"")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IFERROR(CONCATENATE(TEXT(INDEX($K$7:$K$15,SMALL(IF($N$7:$N$15&lt;&gt;"",IF($K$7:$K$15&lt;&gt;"",ROW($K$7:$K$15)-MIN(ROW($K$7:$K$15))+1,""),""),ROW()-ROW(A$17)+1)),"##0"),","),"")</f>
        <v/>
      </c>
      <c r="L25" s="0" t="str">
        <f aca="false" t="array" ref="L25:L25">IFERROR(CONCATENATE((INDEX($N$7:$N$15,SMALL(IF($N$7:$N$15&lt;&gt;"",IF($K$7:$K$15&lt;&gt;"",ROW($K$7:$K$15)-MIN(ROW($K$7:$K$15))+1,""),""),ROW()-ROW(A$17)+1))),","),"")</f>
        <v/>
      </c>
      <c r="M25" s="0" t="str">
        <f aca="false" t="array" ref="M25:M25">IFERROR(CONCATENATE((INDEX($A$7:$A$15,SMALL(IF($N$7:$N$15&lt;&gt;"",IF($K$7:$K$15&lt;&gt;"",ROW($K$7:$K$15)-MIN(ROW($K$7:$K$15))+1,""),""),ROW()-ROW(A$17)+1))),),"")</f>
        <v/>
      </c>
      <c r="Q25" s="0" t="str">
        <f aca="false" t="array" ref="Q25:Q25">IFERROR(CONCATENATE((INDEX($T$7:$T$15,SMALL(IF($T$7:$T$15&lt;&gt;"",IF($Q$7:$Q$15&lt;&gt;"",ROW($Q$7:$Q$15)-MIN(ROW($Q$7:$Q$15))+1,""),""),ROW()-ROW(A$17)+1)))," "),"")</f>
        <v/>
      </c>
      <c r="R25" s="0" t="str">
        <f aca="false" t="array" ref="R25:R25">IFERROR(CONCATENATE(TEXT(INDEX($Q$7:$Q$15,SMALL(IF($T$7:$T$15&lt;&gt;"",IF($Q$7:$Q$15&lt;&gt;"",ROW($Q$7:$Q$15)-MIN(ROW($Q$7:$Q$15))+1,""),""),ROW()-ROW(A$17)+1)),"##0")," "),"")</f>
        <v/>
      </c>
      <c r="S25" s="0" t="str">
        <f aca="false" t="array" ref="S25:S25">IFERROR(CONCATENATE((INDEX($A$7:$A$15,SMALL(IF($T$7:$T$15&lt;&gt;"",IF($Q$7:$Q$15&lt;&gt;"",ROW($Q$7:$Q$15)-MIN(ROW($Q$7:$Q$15))+1,""),""),ROW()-ROW(A$17)+1))),),"")</f>
        <v/>
      </c>
      <c r="W25" s="0" t="str">
        <f aca="false" t="array" ref="W25:W25">IFERROR(CONCATENATE((INDEX($Z$7:$Z$15,SMALL(IF($Z$7:$Z$15&lt;&gt;"",IF($W$7:$W$15&lt;&gt;"",ROW($W$7:$W$15)-MIN(ROW($W$7:$W$15))+1,""),""),ROW()-ROW(A$17)+1))),","),"")</f>
        <v/>
      </c>
      <c r="X25" s="0" t="str">
        <f aca="false" t="array" ref="X25:X25">IFERROR(CONCATENATE(TEXT(INDEX($W$7:$W$15,SMALL(IF($Z$7:$Z$15&lt;&gt;"",IF($W$7:$W$15&lt;&gt;"",ROW($W$7:$W$15)-MIN(ROW($W$7:$W$15))+1,""),""),ROW()-ROW(A$17)+1)),"##0"),","),"")</f>
        <v/>
      </c>
      <c r="Y25" s="0" t="str">
        <f aca="false" t="array" ref="Y25:Y25">IFERROR(CONCATENATE((INDEX($A$7:$A$15,SMALL(IF($Z$7:$Z$15&lt;&gt;"",IF($W$7:$W$15&lt;&gt;"",ROW($W$7:$W$15)-MIN(ROW($W$7:$W$15))+1,""),""),ROW()-ROW(A$17)+1))),),"")</f>
        <v/>
      </c>
    </row>
  </sheetData>
  <mergeCells count="4">
    <mergeCell ref="A5:I5"/>
    <mergeCell ref="J5:O5"/>
    <mergeCell ref="P5:U5"/>
    <mergeCell ref="V5:AA5"/>
  </mergeCells>
  <conditionalFormatting sqref="L10">
    <cfRule type="cellIs" priority="2" operator="lessThanOrEqual" aboveAverage="0" equalAverage="0" bottom="0" percent="0" rank="0" text="" dxfId="0">
      <formula>H10</formula>
    </cfRule>
  </conditionalFormatting>
  <conditionalFormatting sqref="L11">
    <cfRule type="cellIs" priority="3" operator="lessThanOrEqual" aboveAverage="0" equalAverage="0" bottom="0" percent="0" rank="0" text="" dxfId="0">
      <formula>H11</formula>
    </cfRule>
  </conditionalFormatting>
  <conditionalFormatting sqref="L12">
    <cfRule type="cellIs" priority="4" operator="lessThanOrEqual" aboveAverage="0" equalAverage="0" bottom="0" percent="0" rank="0" text="" dxfId="0">
      <formula>H12</formula>
    </cfRule>
  </conditionalFormatting>
  <conditionalFormatting sqref="L13">
    <cfRule type="cellIs" priority="5" operator="lessThanOrEqual" aboveAverage="0" equalAverage="0" bottom="0" percent="0" rank="0" text="" dxfId="0">
      <formula>H13</formula>
    </cfRule>
  </conditionalFormatting>
  <conditionalFormatting sqref="L7">
    <cfRule type="cellIs" priority="6" operator="lessThanOrEqual" aboveAverage="0" equalAverage="0" bottom="0" percent="0" rank="0" text="" dxfId="0">
      <formula>H7</formula>
    </cfRule>
  </conditionalFormatting>
  <conditionalFormatting sqref="L8">
    <cfRule type="cellIs" priority="7" operator="lessThanOrEqual" aboveAverage="0" equalAverage="0" bottom="0" percent="0" rank="0" text="" dxfId="0">
      <formula>H8</formula>
    </cfRule>
  </conditionalFormatting>
  <conditionalFormatting sqref="L9">
    <cfRule type="cellIs" priority="8" operator="lessThanOrEqual" aboveAverage="0" equalAverage="0" bottom="0" percent="0" rank="0" text="" dxfId="0">
      <formula>H9</formula>
    </cfRule>
  </conditionalFormatting>
  <conditionalFormatting sqref="M10">
    <cfRule type="cellIs" priority="9" operator="lessThanOrEqual" aboveAverage="0" equalAverage="0" bottom="0" percent="0" rank="0" text="" dxfId="0">
      <formula>I10</formula>
    </cfRule>
  </conditionalFormatting>
  <conditionalFormatting sqref="M11">
    <cfRule type="cellIs" priority="10" operator="lessThanOrEqual" aboveAverage="0" equalAverage="0" bottom="0" percent="0" rank="0" text="" dxfId="0">
      <formula>I11</formula>
    </cfRule>
  </conditionalFormatting>
  <conditionalFormatting sqref="M12">
    <cfRule type="cellIs" priority="11" operator="lessThanOrEqual" aboveAverage="0" equalAverage="0" bottom="0" percent="0" rank="0" text="" dxfId="0">
      <formula>I12</formula>
    </cfRule>
  </conditionalFormatting>
  <conditionalFormatting sqref="M13">
    <cfRule type="cellIs" priority="12" operator="lessThanOrEqual" aboveAverage="0" equalAverage="0" bottom="0" percent="0" rank="0" text="" dxfId="0">
      <formula>I13</formula>
    </cfRule>
  </conditionalFormatting>
  <conditionalFormatting sqref="M7">
    <cfRule type="cellIs" priority="13" operator="lessThanOrEqual" aboveAverage="0" equalAverage="0" bottom="0" percent="0" rank="0" text="" dxfId="0">
      <formula>I7</formula>
    </cfRule>
  </conditionalFormatting>
  <conditionalFormatting sqref="M8">
    <cfRule type="cellIs" priority="14" operator="lessThanOrEqual" aboveAverage="0" equalAverage="0" bottom="0" percent="0" rank="0" text="" dxfId="0">
      <formula>I8</formula>
    </cfRule>
  </conditionalFormatting>
  <conditionalFormatting sqref="M9">
    <cfRule type="cellIs" priority="15" operator="lessThanOrEqual" aboveAverage="0" equalAverage="0" bottom="0" percent="0" rank="0" text="" dxfId="0">
      <formula>I9</formula>
    </cfRule>
  </conditionalFormatting>
  <conditionalFormatting sqref="R10">
    <cfRule type="cellIs" priority="16" operator="lessThanOrEqual" aboveAverage="0" equalAverage="0" bottom="0" percent="0" rank="0" text="" dxfId="0">
      <formula>H10</formula>
    </cfRule>
  </conditionalFormatting>
  <conditionalFormatting sqref="R11">
    <cfRule type="cellIs" priority="17" operator="lessThanOrEqual" aboveAverage="0" equalAverage="0" bottom="0" percent="0" rank="0" text="" dxfId="0">
      <formula>H11</formula>
    </cfRule>
  </conditionalFormatting>
  <conditionalFormatting sqref="R12">
    <cfRule type="cellIs" priority="18" operator="lessThanOrEqual" aboveAverage="0" equalAverage="0" bottom="0" percent="0" rank="0" text="" dxfId="0">
      <formula>H12</formula>
    </cfRule>
  </conditionalFormatting>
  <conditionalFormatting sqref="R13">
    <cfRule type="cellIs" priority="19" operator="lessThanOrEqual" aboveAverage="0" equalAverage="0" bottom="0" percent="0" rank="0" text="" dxfId="0">
      <formula>H13</formula>
    </cfRule>
  </conditionalFormatting>
  <conditionalFormatting sqref="R14">
    <cfRule type="cellIs" priority="20" operator="lessThanOrEqual" aboveAverage="0" equalAverage="0" bottom="0" percent="0" rank="0" text="" dxfId="0">
      <formula>H14</formula>
    </cfRule>
  </conditionalFormatting>
  <conditionalFormatting sqref="R7">
    <cfRule type="cellIs" priority="21" operator="lessThanOrEqual" aboveAverage="0" equalAverage="0" bottom="0" percent="0" rank="0" text="" dxfId="0">
      <formula>H7</formula>
    </cfRule>
  </conditionalFormatting>
  <conditionalFormatting sqref="R8">
    <cfRule type="cellIs" priority="22" operator="lessThanOrEqual" aboveAverage="0" equalAverage="0" bottom="0" percent="0" rank="0" text="" dxfId="0">
      <formula>H8</formula>
    </cfRule>
  </conditionalFormatting>
  <conditionalFormatting sqref="S10">
    <cfRule type="cellIs" priority="23" operator="lessThanOrEqual" aboveAverage="0" equalAverage="0" bottom="0" percent="0" rank="0" text="" dxfId="0">
      <formula>I10</formula>
    </cfRule>
  </conditionalFormatting>
  <conditionalFormatting sqref="S11">
    <cfRule type="cellIs" priority="24" operator="lessThanOrEqual" aboveAverage="0" equalAverage="0" bottom="0" percent="0" rank="0" text="" dxfId="0">
      <formula>I11</formula>
    </cfRule>
  </conditionalFormatting>
  <conditionalFormatting sqref="S12">
    <cfRule type="cellIs" priority="25" operator="lessThanOrEqual" aboveAverage="0" equalAverage="0" bottom="0" percent="0" rank="0" text="" dxfId="0">
      <formula>I12</formula>
    </cfRule>
  </conditionalFormatting>
  <conditionalFormatting sqref="S13">
    <cfRule type="cellIs" priority="26" operator="lessThanOrEqual" aboveAverage="0" equalAverage="0" bottom="0" percent="0" rank="0" text="" dxfId="0">
      <formula>I13</formula>
    </cfRule>
  </conditionalFormatting>
  <conditionalFormatting sqref="S14">
    <cfRule type="cellIs" priority="27" operator="lessThanOrEqual" aboveAverage="0" equalAverage="0" bottom="0" percent="0" rank="0" text="" dxfId="0">
      <formula>I14</formula>
    </cfRule>
  </conditionalFormatting>
  <conditionalFormatting sqref="S7">
    <cfRule type="cellIs" priority="28" operator="lessThanOrEqual" aboveAverage="0" equalAverage="0" bottom="0" percent="0" rank="0" text="" dxfId="0">
      <formula>I7</formula>
    </cfRule>
  </conditionalFormatting>
  <conditionalFormatting sqref="S8">
    <cfRule type="cellIs" priority="29" operator="lessThanOrEqual" aboveAverage="0" equalAverage="0" bottom="0" percent="0" rank="0" text="" dxfId="0">
      <formula>I8</formula>
    </cfRule>
  </conditionalFormatting>
  <conditionalFormatting sqref="X10">
    <cfRule type="cellIs" priority="30" operator="lessThanOrEqual" aboveAverage="0" equalAverage="0" bottom="0" percent="0" rank="0" text="" dxfId="0">
      <formula>H10</formula>
    </cfRule>
  </conditionalFormatting>
  <conditionalFormatting sqref="X11">
    <cfRule type="cellIs" priority="31" operator="lessThanOrEqual" aboveAverage="0" equalAverage="0" bottom="0" percent="0" rank="0" text="" dxfId="0">
      <formula>H11</formula>
    </cfRule>
  </conditionalFormatting>
  <conditionalFormatting sqref="X13">
    <cfRule type="cellIs" priority="32" operator="lessThanOrEqual" aboveAverage="0" equalAverage="0" bottom="0" percent="0" rank="0" text="" dxfId="0">
      <formula>H13</formula>
    </cfRule>
  </conditionalFormatting>
  <conditionalFormatting sqref="X14">
    <cfRule type="cellIs" priority="33" operator="lessThanOrEqual" aboveAverage="0" equalAverage="0" bottom="0" percent="0" rank="0" text="" dxfId="0">
      <formula>H14</formula>
    </cfRule>
  </conditionalFormatting>
  <conditionalFormatting sqref="X8">
    <cfRule type="cellIs" priority="34" operator="lessThanOrEqual" aboveAverage="0" equalAverage="0" bottom="0" percent="0" rank="0" text="" dxfId="0">
      <formula>H8</formula>
    </cfRule>
  </conditionalFormatting>
  <conditionalFormatting sqref="X9">
    <cfRule type="cellIs" priority="35" operator="lessThanOrEqual" aboveAverage="0" equalAverage="0" bottom="0" percent="0" rank="0" text="" dxfId="0">
      <formula>H9</formula>
    </cfRule>
  </conditionalFormatting>
  <conditionalFormatting sqref="Y10">
    <cfRule type="cellIs" priority="36" operator="lessThanOrEqual" aboveAverage="0" equalAverage="0" bottom="0" percent="0" rank="0" text="" dxfId="0">
      <formula>I10</formula>
    </cfRule>
  </conditionalFormatting>
  <conditionalFormatting sqref="Y11">
    <cfRule type="cellIs" priority="37" operator="lessThanOrEqual" aboveAverage="0" equalAverage="0" bottom="0" percent="0" rank="0" text="" dxfId="0">
      <formula>I11</formula>
    </cfRule>
  </conditionalFormatting>
  <conditionalFormatting sqref="Y13">
    <cfRule type="cellIs" priority="38" operator="lessThanOrEqual" aboveAverage="0" equalAverage="0" bottom="0" percent="0" rank="0" text="" dxfId="0">
      <formula>I13</formula>
    </cfRule>
  </conditionalFormatting>
  <conditionalFormatting sqref="Y14">
    <cfRule type="cellIs" priority="39" operator="lessThanOrEqual" aboveAverage="0" equalAverage="0" bottom="0" percent="0" rank="0" text="" dxfId="0">
      <formula>I14</formula>
    </cfRule>
  </conditionalFormatting>
  <conditionalFormatting sqref="Y8">
    <cfRule type="cellIs" priority="40" operator="lessThanOrEqual" aboveAverage="0" equalAverage="0" bottom="0" percent="0" rank="0" text="" dxfId="0">
      <formula>I8</formula>
    </cfRule>
  </conditionalFormatting>
  <conditionalFormatting sqref="Y9">
    <cfRule type="cellIs" priority="41" operator="lessThanOrEqual" aboveAverage="0" equalAverage="0" bottom="0" percent="0" rank="0" text="" dxfId="0">
      <formula>I9</formula>
    </cfRule>
  </conditionalFormatting>
  <hyperlinks>
    <hyperlink ref="O7" r:id="rId2" display="Link"/>
    <hyperlink ref="U7" r:id="rId3" display="Link"/>
    <hyperlink ref="O8" r:id="rId4" display="Link"/>
    <hyperlink ref="U8" r:id="rId5" display="Link"/>
    <hyperlink ref="AA8" r:id="rId6" display="Link"/>
    <hyperlink ref="O9" r:id="rId7" display="Link"/>
    <hyperlink ref="AA9" r:id="rId8" display="Link"/>
    <hyperlink ref="O10" r:id="rId9" display="Link"/>
    <hyperlink ref="U10" r:id="rId10" display="Link"/>
    <hyperlink ref="AA10" r:id="rId11" display="Link"/>
    <hyperlink ref="O11" r:id="rId12" display="Link"/>
    <hyperlink ref="U11" r:id="rId13" display="Link"/>
    <hyperlink ref="AA11" r:id="rId14" display="Link"/>
    <hyperlink ref="O12" r:id="rId15" display="Link"/>
    <hyperlink ref="U12" r:id="rId16" display="Link"/>
    <hyperlink ref="O13" r:id="rId17" display="Link"/>
    <hyperlink ref="U13" r:id="rId18" display="Link"/>
    <hyperlink ref="AA13" r:id="rId19" display="Link"/>
    <hyperlink ref="U14" r:id="rId20" display="Link"/>
    <hyperlink ref="AA14" r:id="rId21" display="Lin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2016-04-07T02:54:17Z</dcterms:created>
  <dc:language>en-US</dc:language>
  <cp:lastModifiedBy>Abhimanyu </cp:lastModifiedBy>
  <dcterms:modified xsi:type="dcterms:W3CDTF">2016-04-12T16:48:34Z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