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KiCost!$J$5:$O$15</definedName>
    <definedName name="global_part_data">KiCost!$A$5:$I$15</definedName>
    <definedName name="mouser_part_data">KiCost!$P$5:$U$15</definedName>
    <definedName name="newark_part_data">KiCost!$V$5:$AA$15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<sst xmlns="http://schemas.openxmlformats.org/spreadsheetml/2006/main" count="109" uniqueCount="75">
  <si>
    <t>Global Part Info</t>
  </si>
  <si>
    <t>Value</t>
  </si>
  <si>
    <t>Desc</t>
  </si>
  <si>
    <t>Manf#</t>
  </si>
  <si>
    <t>Refs</t>
  </si>
  <si>
    <t>Ext$</t>
  </si>
  <si>
    <t>Unit$</t>
  </si>
  <si>
    <t>Manf</t>
  </si>
  <si>
    <t>Qty</t>
  </si>
  <si>
    <t>Footprint</t>
  </si>
  <si>
    <t>C1</t>
  </si>
  <si>
    <t>10 uF</t>
  </si>
  <si>
    <t>Capacitors_SMD:C_1210_HandSoldering</t>
  </si>
  <si>
    <t>GRM32ER7YA106KA12L</t>
  </si>
  <si>
    <t>C2</t>
  </si>
  <si>
    <t>10 nF</t>
  </si>
  <si>
    <t>Capacitors_SMD:C_0805_HandSoldering</t>
  </si>
  <si>
    <t>C0805C103K5RACTU</t>
  </si>
  <si>
    <t>C3,C6</t>
  </si>
  <si>
    <t>1 uF</t>
  </si>
  <si>
    <t>Capacitors_SMD:C_0603_HandSoldering</t>
  </si>
  <si>
    <t>GRM188R61E105KA12D</t>
  </si>
  <si>
    <t>C5</t>
  </si>
  <si>
    <t>0.27 uF</t>
  </si>
  <si>
    <t>GRM219R71E274KA01D</t>
  </si>
  <si>
    <t>C4</t>
  </si>
  <si>
    <t>120 uF</t>
  </si>
  <si>
    <t>capacitors:Radial_SMD_8mm</t>
  </si>
  <si>
    <t>APXE100ARA121MF61G</t>
  </si>
  <si>
    <t>L1</t>
  </si>
  <si>
    <t>6.5 uH, 18 mOhm</t>
  </si>
  <si>
    <t>PowerPackages:SRR1208</t>
  </si>
  <si>
    <t>SRR1208-6R5ML</t>
  </si>
  <si>
    <t>TH1-TH4</t>
  </si>
  <si>
    <t>PTH</t>
  </si>
  <si>
    <t>mechanical:PTH</t>
  </si>
  <si>
    <t>D1</t>
  </si>
  <si>
    <t>ZENER</t>
  </si>
  <si>
    <t>PowerPackages:DPAK_TO252AA_CUSTOM</t>
  </si>
  <si>
    <t>50WQ04FNPBF</t>
  </si>
  <si>
    <t>U1</t>
  </si>
  <si>
    <t>LM22679</t>
  </si>
  <si>
    <t>PowerPackages:TI_TO-263</t>
  </si>
  <si>
    <t>LM22679TJ-5.0/NOPB</t>
  </si>
  <si>
    <t>Board Qty:</t>
  </si>
  <si>
    <t>Total Cost:</t>
  </si>
  <si>
    <t>Unit Cost:</t>
  </si>
  <si>
    <t>Digi-Key</t>
  </si>
  <si>
    <t>Doc</t>
  </si>
  <si>
    <t>Cat#</t>
  </si>
  <si>
    <t>Purch</t>
  </si>
  <si>
    <t>Avail</t>
  </si>
  <si>
    <t>490-5314-1-ND</t>
  </si>
  <si>
    <t>Link</t>
  </si>
  <si>
    <t>399-1158-1-ND</t>
  </si>
  <si>
    <t>490-3897-1-ND</t>
  </si>
  <si>
    <t>490-1676-1-ND</t>
  </si>
  <si>
    <t>SRR1208-6R5MLCT-ND</t>
  </si>
  <si>
    <t>VS-50WQ04FNPBF-ND</t>
  </si>
  <si>
    <t>LM22679TJE-5.0/NOPBCT-ND</t>
  </si>
  <si>
    <t>Mouser</t>
  </si>
  <si>
    <t>81-GRM32ER7YA106KA2L</t>
  </si>
  <si>
    <t>80-C0805C103K5R</t>
  </si>
  <si>
    <t>81-GRM188R61E105KA12</t>
  </si>
  <si>
    <t>81-GRM219R71E274KA1D</t>
  </si>
  <si>
    <t>661-APXE100ARA121MF6</t>
  </si>
  <si>
    <t>652-SRR1208-6R5ML</t>
  </si>
  <si>
    <t>926-LM22679TJ50NOPB</t>
  </si>
  <si>
    <t>Newark</t>
  </si>
  <si>
    <t>24R2634</t>
  </si>
  <si>
    <t>01J3314</t>
  </si>
  <si>
    <t>14T3309</t>
  </si>
  <si>
    <t>72R7330</t>
  </si>
  <si>
    <t>83T0041</t>
  </si>
  <si>
    <t>73K9904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</si>
</sst>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urata-electronics-north-america/GRM32ER7YA106KA12L/490-5314-1-ND/2039093" TargetMode="External"/><Relationship Id="rId2" Type="http://schemas.openxmlformats.org/officeDocument/2006/relationships/hyperlink" Target="http://www.mouser.com/Search/Refine.aspx?Keyword=GRM32ER7YA106KA12L" TargetMode="External"/><Relationship Id="rId3" Type="http://schemas.openxmlformats.org/officeDocument/2006/relationships/hyperlink" Target="http://www.newark.com/webapp/wcs/stores/servlet/Search?catalogId=15003&amp;langId=-1&amp;storeId=10194&amp;gs=true&amp;st=GRM32ER7YA106KA12L" TargetMode="External"/><Relationship Id="rId4" Type="http://schemas.openxmlformats.org/officeDocument/2006/relationships/hyperlink" Target="http://www.digikey.com/product-detail/en/kemet/C0805C103K5RACTU/399-1158-1-ND/411433" TargetMode="External"/><Relationship Id="rId5" Type="http://schemas.openxmlformats.org/officeDocument/2006/relationships/hyperlink" Target="http://www.mouser.com/Search/../ProductDetail/Kemet/C0805C103K5RACTU/?qs=sGAEpiMZZMs0AnBnWHyRQAmsl0Dsa%252bd15ll2ADzHKHQ%3d" TargetMode="External"/><Relationship Id="rId6" Type="http://schemas.openxmlformats.org/officeDocument/2006/relationships/hyperlink" Target="http://www.newark.com/kemet/c0805c103k5ractu/ceramic-capacitor-0-01uf-50v-x7r/dp/01J3314/false" TargetMode="External"/><Relationship Id="rId7" Type="http://schemas.openxmlformats.org/officeDocument/2006/relationships/hyperlink" Target="http://www.digikey.com/product-detail/en/murata-electronics-north-america/GRM188R61E105KA12D/490-3897-1-ND/965939" TargetMode="External"/><Relationship Id="rId8" Type="http://schemas.openxmlformats.org/officeDocument/2006/relationships/hyperlink" Target="http://www.mouser.com/Search/Refine.aspx?Keyword=GRM188R61E105KA12D" TargetMode="External"/><Relationship Id="rId9" Type="http://schemas.openxmlformats.org/officeDocument/2006/relationships/hyperlink" Target="http://www.newark.com/murata/grm188r61e105ka12d/ceramic-capacitor-1uf-25v-x5r/dp/14T3309/false" TargetMode="External"/><Relationship Id="rId10" Type="http://schemas.openxmlformats.org/officeDocument/2006/relationships/hyperlink" Target="http://www.digikey.com/product-detail/en/murata-electronics-north-america/GRM219R71E274KA01D/490-1676-1-ND/587482" TargetMode="External"/><Relationship Id="rId11" Type="http://schemas.openxmlformats.org/officeDocument/2006/relationships/hyperlink" Target="http://www.mouser.com/Search/Refine.aspx?Keyword=GRM219R71E274KA01D" TargetMode="External"/><Relationship Id="rId12" Type="http://schemas.openxmlformats.org/officeDocument/2006/relationships/hyperlink" Target="http://www.mouser.com/Search/Refine.aspx?Keyword=APXE100ARA121MF61G" TargetMode="External"/><Relationship Id="rId13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14" Type="http://schemas.openxmlformats.org/officeDocument/2006/relationships/hyperlink" Target="http://www.digikey.com/product-detail/en/bourns-inc/SRR1208-6R5ML/SRR1208-6R5MLCT-ND/2353029" TargetMode="External"/><Relationship Id="rId15" Type="http://schemas.openxmlformats.org/officeDocument/2006/relationships/hyperlink" Target="http://www.mouser.com/Search/Refine.aspx?Keyword=SRR1208-6R5ML" TargetMode="External"/><Relationship Id="rId16" Type="http://schemas.openxmlformats.org/officeDocument/2006/relationships/hyperlink" Target="http://www.newark.com/bourns/srr1208-6r5ml/inductor-shielded-6-5uh-8-4a-smd/dp/83T0041/false" TargetMode="External"/><Relationship Id="rId17" Type="http://schemas.openxmlformats.org/officeDocument/2006/relationships/hyperlink" Target="http://www.digikey.com/scripts/DkSearch/dksus.dll?WT.z_header=search_go&amp;lang=en&amp;keywords=50WQ04FNPBF" TargetMode="External"/><Relationship Id="rId18" Type="http://schemas.openxmlformats.org/officeDocument/2006/relationships/hyperlink" Target="http://www.newark.com/vishay/vs-50wq04fnpbf/schottky-rectifier-5-5a-40v-dpak/dp/73K9904/false" TargetMode="External"/><Relationship Id="rId19" Type="http://schemas.openxmlformats.org/officeDocument/2006/relationships/hyperlink" Target="http://www.digikey.com/product-detail/en/texas-instruments/LM22679TJE-5.0-NOPB/LM22679TJE-5.0-NOPBCT-ND/1950805" TargetMode="External"/><Relationship Id="rId20" Type="http://schemas.openxmlformats.org/officeDocument/2006/relationships/hyperlink" Target="http://www.mouser.com/Search/Refine.aspx?Keyword=LM22679TJ-5.0%2FNOPB" TargetMode="Externa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44</v>
      </c>
      <c r="I1" s="2">
        <v>100</v>
      </c>
    </row>
    <row r="2" spans="1:27">
      <c r="H2" s="3" t="s">
        <v>45</v>
      </c>
      <c r="I2" s="4">
        <f>sum(I7:I15)</f>
        <v>0</v>
      </c>
      <c r="M2" s="4">
        <f>sum(M7:M15)</f>
        <v>0</v>
      </c>
      <c r="S2" s="4">
        <f>sum(S7:S15)</f>
        <v>0</v>
      </c>
      <c r="Y2" s="4">
        <f>sum(Y7:Y15)</f>
        <v>0</v>
      </c>
    </row>
    <row r="3" spans="1:27">
      <c r="H3" s="3" t="s">
        <v>46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47</v>
      </c>
      <c r="K5" s="7"/>
      <c r="L5" s="7"/>
      <c r="M5" s="7"/>
      <c r="N5" s="7"/>
      <c r="O5" s="7"/>
      <c r="P5" s="8" t="s">
        <v>60</v>
      </c>
      <c r="Q5" s="8"/>
      <c r="R5" s="8"/>
      <c r="S5" s="8"/>
      <c r="T5" s="8"/>
      <c r="U5" s="8"/>
      <c r="V5" s="9" t="s">
        <v>68</v>
      </c>
      <c r="W5" s="9"/>
      <c r="X5" s="9"/>
      <c r="Y5" s="9"/>
      <c r="Z5" s="9"/>
      <c r="AA5" s="9"/>
    </row>
    <row r="6" spans="1:27">
      <c r="A6" s="10" t="s">
        <v>4</v>
      </c>
      <c r="B6" s="10" t="s">
        <v>1</v>
      </c>
      <c r="C6" s="10" t="s">
        <v>2</v>
      </c>
      <c r="D6" s="10" t="s">
        <v>9</v>
      </c>
      <c r="E6" s="10" t="s">
        <v>7</v>
      </c>
      <c r="F6" s="10" t="s">
        <v>3</v>
      </c>
      <c r="G6" s="10" t="s">
        <v>8</v>
      </c>
      <c r="H6" s="10" t="s">
        <v>6</v>
      </c>
      <c r="I6" s="10" t="s">
        <v>5</v>
      </c>
      <c r="J6" s="10" t="s">
        <v>51</v>
      </c>
      <c r="K6" s="10" t="s">
        <v>50</v>
      </c>
      <c r="L6" s="10" t="s">
        <v>6</v>
      </c>
      <c r="M6" s="10" t="s">
        <v>5</v>
      </c>
      <c r="N6" s="10" t="s">
        <v>49</v>
      </c>
      <c r="O6" s="10" t="s">
        <v>48</v>
      </c>
      <c r="P6" s="10" t="s">
        <v>51</v>
      </c>
      <c r="Q6" s="10" t="s">
        <v>50</v>
      </c>
      <c r="R6" s="10" t="s">
        <v>6</v>
      </c>
      <c r="S6" s="10" t="s">
        <v>5</v>
      </c>
      <c r="T6" s="10" t="s">
        <v>49</v>
      </c>
      <c r="U6" s="10" t="s">
        <v>48</v>
      </c>
      <c r="V6" s="10" t="s">
        <v>51</v>
      </c>
      <c r="W6" s="10" t="s">
        <v>50</v>
      </c>
      <c r="X6" s="10" t="s">
        <v>6</v>
      </c>
      <c r="Y6" s="10" t="s">
        <v>5</v>
      </c>
      <c r="Z6" s="10" t="s">
        <v>49</v>
      </c>
      <c r="AA6" s="10" t="s">
        <v>48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1">
        <f>MINA(INDIRECT(ADDRESS(ROW(),COLUMN(mouser_part_data)+2)),INDIRECT(ADDRESS(ROW(),COLUMN(newark_part_data)+2)),INDIRECT(ADDRESS(ROW(),COLUMN(digikey_part_data)+2)))</f>
        <v>0</v>
      </c>
      <c r="I7" s="11">
        <f>iferror(G7*H7,"")</f>
        <v>0</v>
      </c>
      <c r="J7">
        <v>33346</v>
      </c>
      <c r="L7" s="11">
        <f>iferror(lookup(if(K7="",G7,K7),{0,1,10,50,100,250,500,1000,2000,4000,5000,10000,25000,50000,100000},{0.0,0.88,0.742,0.546,0.434,0.364,0.329,0.224,0.21,0.196,0.196,0.189,0.182,0.1785,0.1715}),"")</f>
        <v>0</v>
      </c>
      <c r="M7" s="11">
        <f>iferror(if(K7="",G7,K7)*L7,"")</f>
        <v>0</v>
      </c>
      <c r="N7" t="s">
        <v>52</v>
      </c>
      <c r="O7" s="12" t="s">
        <v>53</v>
      </c>
      <c r="P7">
        <v>51431</v>
      </c>
      <c r="R7" s="11">
        <f>iferror(lookup(if(Q7="",G7,Q7),{0,1,10,100,1000,2000,10000,25000,50000},{0.0,0.977,0.61,0.368,0.251,0.219,0.211,0.204,0.203}),"")</f>
        <v>0</v>
      </c>
      <c r="S7" s="11">
        <f>iferror(if(Q7="",G7,Q7)*R7,"")</f>
        <v>0</v>
      </c>
      <c r="T7" t="s">
        <v>61</v>
      </c>
      <c r="U7" s="12" t="s">
        <v>53</v>
      </c>
      <c r="V7">
        <v>2697</v>
      </c>
      <c r="X7" s="11">
        <f>iferror(lookup(if(W7="",G7,W7),{0,1,250,500,1000,5000},{0.0,1.31,1.18,1.05,0.945,0.647}),"")</f>
        <v>0</v>
      </c>
      <c r="Y7" s="11">
        <f>iferror(if(W7="",G7,W7)*X7,"")</f>
        <v>0</v>
      </c>
      <c r="Z7" t="s">
        <v>69</v>
      </c>
      <c r="AA7" s="12" t="s">
        <v>53</v>
      </c>
    </row>
    <row r="8" spans="1:27">
      <c r="A8" t="s">
        <v>14</v>
      </c>
      <c r="B8" t="s">
        <v>15</v>
      </c>
      <c r="D8" t="s">
        <v>16</v>
      </c>
      <c r="F8" t="s">
        <v>17</v>
      </c>
      <c r="G8">
        <f>BoardQty*1</f>
        <v>0</v>
      </c>
      <c r="H8" s="11">
        <f>MINA(INDIRECT(ADDRESS(ROW(),COLUMN(mouser_part_data)+2)),INDIRECT(ADDRESS(ROW(),COLUMN(newark_part_data)+2)),INDIRECT(ADDRESS(ROW(),COLUMN(digikey_part_data)+2)))</f>
        <v>0</v>
      </c>
      <c r="I8" s="11">
        <f>iferror(G8*H8,"")</f>
        <v>0</v>
      </c>
      <c r="J8">
        <v>1113019</v>
      </c>
      <c r="L8" s="11">
        <f>iferror(lookup(if(K8="",G8,K8),{0,1,10,50,100,250,500,1000,4000,8000,12000,28000,100000},{0.0,0.1,0.034,0.0182,0.0154,0.0126,0.01078,0.0084,0.00644,0.00588,0.0056,0.00532,0.00385}),"")</f>
        <v>0</v>
      </c>
      <c r="M8" s="11">
        <f>iferror(if(K8="",G8,K8)*L8,"")</f>
        <v>0</v>
      </c>
      <c r="N8" t="s">
        <v>54</v>
      </c>
      <c r="O8" s="12" t="s">
        <v>53</v>
      </c>
      <c r="P8">
        <v>432395</v>
      </c>
      <c r="R8" s="11">
        <f>iferror(lookup(if(Q8="",G8,Q8),{0,1,10,100,1000,4000,8000,100000},{0.0,0.099,0.019,0.011,0.009,0.007,0.005,0.004}),"")</f>
        <v>0</v>
      </c>
      <c r="S8" s="11">
        <f>iferror(if(Q8="",G8,Q8)*R8,"")</f>
        <v>0</v>
      </c>
      <c r="T8" t="s">
        <v>62</v>
      </c>
      <c r="U8" s="12" t="s">
        <v>53</v>
      </c>
      <c r="V8">
        <v>7418</v>
      </c>
      <c r="X8" s="11">
        <f>iferror(lookup(if(W8="",G8,W8),{0,1,10,50,100,250,500,1000},{0.0,0.097,0.043,0.025,0.02,0.017,0.014,0.01}),"")</f>
        <v>0</v>
      </c>
      <c r="Y8" s="11">
        <f>iferror(if(W8="",G8,W8)*X8,"")</f>
        <v>0</v>
      </c>
      <c r="Z8" t="s">
        <v>70</v>
      </c>
      <c r="AA8" s="12" t="s">
        <v>53</v>
      </c>
    </row>
    <row r="9" spans="1:27">
      <c r="A9" t="s">
        <v>18</v>
      </c>
      <c r="B9" t="s">
        <v>19</v>
      </c>
      <c r="D9" t="s">
        <v>20</v>
      </c>
      <c r="F9" t="s">
        <v>21</v>
      </c>
      <c r="G9">
        <f>BoardQty*2</f>
        <v>0</v>
      </c>
      <c r="H9" s="11">
        <f>MINA(INDIRECT(ADDRESS(ROW(),COLUMN(mouser_part_data)+2)),INDIRECT(ADDRESS(ROW(),COLUMN(newark_part_data)+2)),INDIRECT(ADDRESS(ROW(),COLUMN(digikey_part_data)+2)))</f>
        <v>0</v>
      </c>
      <c r="I9" s="11">
        <f>iferror(G9*H9,"")</f>
        <v>0</v>
      </c>
      <c r="J9">
        <v>2076428</v>
      </c>
      <c r="L9" s="11">
        <f>iferror(lookup(if(K9="",G9,K9),{0,1,10,50,100,250,500,1000,4000,8000,12000,28000,100000},{0.0,0.1,0.036,0.0196,0.0165,0.01352,0.01156,0.009,0.0069,0.0063,0.006,0.0057,0.00413}),"")</f>
        <v>0</v>
      </c>
      <c r="M9" s="11">
        <f>iferror(if(K9="",G9,K9)*L9,"")</f>
        <v>0</v>
      </c>
      <c r="N9" t="s">
        <v>55</v>
      </c>
      <c r="O9" s="12" t="s">
        <v>53</v>
      </c>
      <c r="P9">
        <v>431710</v>
      </c>
      <c r="R9" s="11">
        <f>iferror(lookup(if(Q9="",G9,Q9),{0,1,10,100,1000,4000},{0.0,0.099,0.019,0.011,0.009,0.005}),"")</f>
        <v>0</v>
      </c>
      <c r="S9" s="11">
        <f>iferror(if(Q9="",G9,Q9)*R9,"")</f>
        <v>0</v>
      </c>
      <c r="T9" t="s">
        <v>63</v>
      </c>
      <c r="U9" s="12" t="s">
        <v>53</v>
      </c>
      <c r="V9">
        <v>881</v>
      </c>
      <c r="X9" s="11">
        <f>iferror(lookup(if(W9="",G9,W9),{0,1,250,500,1000,5000},{0.0,0.039,0.035,0.031,0.028,0.019}),"")</f>
        <v>0</v>
      </c>
      <c r="Y9" s="11">
        <f>iferror(if(W9="",G9,W9)*X9,"")</f>
        <v>0</v>
      </c>
      <c r="Z9" t="s">
        <v>71</v>
      </c>
      <c r="AA9" s="12" t="s">
        <v>53</v>
      </c>
    </row>
    <row r="10" spans="1:27">
      <c r="A10" t="s">
        <v>22</v>
      </c>
      <c r="B10" t="s">
        <v>23</v>
      </c>
      <c r="D10" t="s">
        <v>16</v>
      </c>
      <c r="F10" t="s">
        <v>24</v>
      </c>
      <c r="G10">
        <f>BoardQty*1</f>
        <v>0</v>
      </c>
      <c r="H10" s="11">
        <f>MINA(INDIRECT(ADDRESS(ROW(),COLUMN(mouser_part_data)+2)),INDIRECT(ADDRESS(ROW(),COLUMN(newark_part_data)+2)),INDIRECT(ADDRESS(ROW(),COLUMN(digikey_part_data)+2)))</f>
        <v>0</v>
      </c>
      <c r="I10" s="11">
        <f>iferror(G10*H10,"")</f>
        <v>0</v>
      </c>
      <c r="J10">
        <v>13868</v>
      </c>
      <c r="L10" s="11">
        <f>iferror(lookup(if(K10="",G10,K10),{0,1,10,50,100,250,500,1000,4000,8000,12000,28000,100000},{0.0,0.34,0.3,0.1824,0.1502,0.12012,0.1094,0.09867,0.07293,0.06864,0.0665,0.06435,0.05577}),"")</f>
        <v>0</v>
      </c>
      <c r="M10" s="11">
        <f>iferror(if(K10="",G10,K10)*L10,"")</f>
        <v>0</v>
      </c>
      <c r="N10" t="s">
        <v>56</v>
      </c>
      <c r="O10" s="12" t="s">
        <v>53</v>
      </c>
      <c r="P10">
        <v>5422</v>
      </c>
      <c r="R10" s="11">
        <f>iferror(lookup(if(Q10="",G10,Q10),{0,1,10,100,1000,4000,8000,24000,48000,100000},{0.0,0.336,0.181,0.109,0.098,0.072,0.066,0.064,0.059,0.056}),"")</f>
        <v>0</v>
      </c>
      <c r="S10" s="11">
        <f>iferror(if(Q10="",G10,Q10)*R10,"")</f>
        <v>0</v>
      </c>
      <c r="T10" t="s">
        <v>64</v>
      </c>
      <c r="U10" s="12" t="s">
        <v>53</v>
      </c>
    </row>
    <row r="11" spans="1:27">
      <c r="A11" t="s">
        <v>25</v>
      </c>
      <c r="B11" t="s">
        <v>26</v>
      </c>
      <c r="D11" t="s">
        <v>27</v>
      </c>
      <c r="F11" t="s">
        <v>28</v>
      </c>
      <c r="G11">
        <f>BoardQty*1</f>
        <v>0</v>
      </c>
      <c r="H11" s="11">
        <f>MINA(INDIRECT(ADDRESS(ROW(),COLUMN(mouser_part_data)+2)),INDIRECT(ADDRESS(ROW(),COLUMN(newark_part_data)+2)),INDIRECT(ADDRESS(ROW(),COLUMN(digikey_part_data)+2)))</f>
        <v>0</v>
      </c>
      <c r="I11" s="11">
        <f>iferror(G11*H11,"")</f>
        <v>0</v>
      </c>
      <c r="P11">
        <v>891</v>
      </c>
      <c r="R11" s="11">
        <f>iferror(lookup(if(Q11="",G11,Q11),{0,1,10,100,500,1000,2000,5000,10000,25000},{0.0,1.45,1.19,0.691,0.619,0.432,0.402,0.389,0.374,0.367}),"")</f>
        <v>0</v>
      </c>
      <c r="S11" s="11">
        <f>iferror(if(Q11="",G11,Q11)*R11,"")</f>
        <v>0</v>
      </c>
      <c r="T11" t="s">
        <v>65</v>
      </c>
      <c r="U11" s="12" t="s">
        <v>53</v>
      </c>
      <c r="V11">
        <v>0</v>
      </c>
      <c r="X11" s="11">
        <f>iferror(lookup(if(W11="",G11,W11),{0},{0.0}),"")</f>
        <v>0</v>
      </c>
      <c r="Y11" s="11">
        <f>iferror(if(W11="",G11,W11)*X11,"")</f>
        <v>0</v>
      </c>
      <c r="Z11" t="s">
        <v>72</v>
      </c>
      <c r="AA11" s="12" t="s">
        <v>53</v>
      </c>
    </row>
    <row r="12" spans="1:27">
      <c r="A12" t="s">
        <v>29</v>
      </c>
      <c r="B12" t="s">
        <v>30</v>
      </c>
      <c r="D12" t="s">
        <v>31</v>
      </c>
      <c r="F12" t="s">
        <v>32</v>
      </c>
      <c r="G12">
        <f>BoardQty*1</f>
        <v>0</v>
      </c>
      <c r="H12" s="11">
        <f>MINA(INDIRECT(ADDRESS(ROW(),COLUMN(mouser_part_data)+2)),INDIRECT(ADDRESS(ROW(),COLUMN(newark_part_data)+2)),INDIRECT(ADDRESS(ROW(),COLUMN(digikey_part_data)+2)))</f>
        <v>0</v>
      </c>
      <c r="I12" s="11">
        <f>iferror(G12*H12,"")</f>
        <v>0</v>
      </c>
      <c r="J12">
        <v>1253</v>
      </c>
      <c r="L12" s="11">
        <f>iferror(lookup(if(K12="",G12,K12),{0,1,10,25,50,100,400,800,1200},{0.0,0.9,0.84,0.784,0.672,0.6384,0.4704,0.3808,0.3724}),"")</f>
        <v>0</v>
      </c>
      <c r="M12" s="11">
        <f>iferror(if(K12="",G12,K12)*L12,"")</f>
        <v>0</v>
      </c>
      <c r="N12" t="s">
        <v>57</v>
      </c>
      <c r="O12" s="12" t="s">
        <v>53</v>
      </c>
      <c r="P12">
        <v>2339</v>
      </c>
      <c r="R12" s="11">
        <f>iferror(lookup(if(Q12="",G12,Q12),{0,1,10,50,100,250,400,800,2400},{0.0,0.929,0.809,0.693,0.659,0.564,0.486,0.385,0.379}),"")</f>
        <v>0</v>
      </c>
      <c r="S12" s="11">
        <f>iferror(if(Q12="",G12,Q12)*R12,"")</f>
        <v>0</v>
      </c>
      <c r="T12" t="s">
        <v>66</v>
      </c>
      <c r="U12" s="12" t="s">
        <v>53</v>
      </c>
      <c r="V12">
        <v>322</v>
      </c>
      <c r="X12" s="11">
        <f>iferror(lookup(if(W12="",G12,W12),{0,1,10,50,100,250},{0.0,0.894,0.784,0.672,0.639,0.546}),"")</f>
        <v>0</v>
      </c>
      <c r="Y12" s="11">
        <f>iferror(if(W12="",G12,W12)*X12,"")</f>
        <v>0</v>
      </c>
      <c r="Z12" t="s">
        <v>73</v>
      </c>
      <c r="AA12" s="12" t="s">
        <v>53</v>
      </c>
    </row>
    <row r="13" spans="1:27">
      <c r="A13" t="s">
        <v>33</v>
      </c>
      <c r="B13" t="s">
        <v>34</v>
      </c>
      <c r="D13" t="s">
        <v>35</v>
      </c>
      <c r="G13">
        <f>BoardQty*4</f>
        <v>0</v>
      </c>
      <c r="H13" s="11">
        <f>MINA(INDIRECT(ADDRESS(ROW(),COLUMN(mouser_part_data)+2)),INDIRECT(ADDRESS(ROW(),COLUMN(newark_part_data)+2)),INDIRECT(ADDRESS(ROW(),COLUMN(digikey_part_data)+2)))</f>
        <v>0</v>
      </c>
      <c r="I13" s="11">
        <f>iferror(G13*H13,"")</f>
        <v>0</v>
      </c>
    </row>
    <row r="14" spans="1:27">
      <c r="A14" t="s">
        <v>36</v>
      </c>
      <c r="B14" t="s">
        <v>37</v>
      </c>
      <c r="D14" t="s">
        <v>38</v>
      </c>
      <c r="F14" t="s">
        <v>39</v>
      </c>
      <c r="G14">
        <f>BoardQty*1</f>
        <v>0</v>
      </c>
      <c r="H14" s="11">
        <f>MINA(INDIRECT(ADDRESS(ROW(),COLUMN(mouser_part_data)+2)),INDIRECT(ADDRESS(ROW(),COLUMN(newark_part_data)+2)),INDIRECT(ADDRESS(ROW(),COLUMN(digikey_part_data)+2)))</f>
        <v>0</v>
      </c>
      <c r="I14" s="11">
        <f>iferror(G14*H14,"")</f>
        <v>0</v>
      </c>
      <c r="J14">
        <v>1899</v>
      </c>
      <c r="L14" s="11">
        <f>iferror(lookup(if(K14="",G14,K14),{0,1,10,100,500,1000,2500,5000},{0.0,1.39,1.239,0.966,0.798,0.63,0.588,0.5586}),"")</f>
        <v>0</v>
      </c>
      <c r="M14" s="11">
        <f>iferror(if(K14="",G14,K14)*L14,"")</f>
        <v>0</v>
      </c>
      <c r="N14" t="s">
        <v>58</v>
      </c>
      <c r="O14" s="12" t="s">
        <v>53</v>
      </c>
      <c r="V14">
        <v>6910</v>
      </c>
      <c r="X14" s="11">
        <f>iferror(lookup(if(W14="",G14,W14),{0,1,10,25,100,250,500},{0.0,1.02,0.983,0.786,0.639,0.63,0.626}),"")</f>
        <v>0</v>
      </c>
      <c r="Y14" s="11">
        <f>iferror(if(W14="",G14,W14)*X14,"")</f>
        <v>0</v>
      </c>
      <c r="Z14" t="s">
        <v>74</v>
      </c>
      <c r="AA14" s="12" t="s">
        <v>53</v>
      </c>
    </row>
    <row r="15" spans="1:27">
      <c r="A15" t="s">
        <v>40</v>
      </c>
      <c r="B15" t="s">
        <v>41</v>
      </c>
      <c r="D15" t="s">
        <v>42</v>
      </c>
      <c r="F15" t="s">
        <v>43</v>
      </c>
      <c r="G15">
        <f>BoardQty*1</f>
        <v>0</v>
      </c>
      <c r="H15" s="11">
        <f>MINA(INDIRECT(ADDRESS(ROW(),COLUMN(mouser_part_data)+2)),INDIRECT(ADDRESS(ROW(),COLUMN(newark_part_data)+2)),INDIRECT(ADDRESS(ROW(),COLUMN(digikey_part_data)+2)))</f>
        <v>0</v>
      </c>
      <c r="I15" s="11">
        <f>iferror(G15*H15,"")</f>
        <v>0</v>
      </c>
      <c r="J15">
        <v>897</v>
      </c>
      <c r="L15" s="11">
        <f>iferror(lookup(if(K15="",G15,K15),{0,1,10,100,250,500,1000,1250},{0.0,6.78,6.086,4.9928,4.5954,4.12344,2.7,3.105}),"")</f>
        <v>0</v>
      </c>
      <c r="M15" s="11">
        <f>iferror(if(K15="",G15,K15)*L15,"")</f>
        <v>0</v>
      </c>
      <c r="N15" t="s">
        <v>59</v>
      </c>
      <c r="O15" s="12" t="s">
        <v>53</v>
      </c>
      <c r="P15">
        <v>206</v>
      </c>
      <c r="R15" s="11">
        <f>iferror(lookup(if(Q15="",G15,Q15),{0,1,10,25,50,100,250,500,1000},{0.0,5.65,5.07,4.72,4.47,4.15,3.93,3.53,2.75}),"")</f>
        <v>0</v>
      </c>
      <c r="S15" s="11">
        <f>iferror(if(Q15="",G15,Q15)*R15,"")</f>
        <v>0</v>
      </c>
      <c r="T15" t="s">
        <v>67</v>
      </c>
      <c r="U15" s="12" t="s">
        <v>53</v>
      </c>
    </row>
    <row r="17" spans="11:25">
      <c r="K17">
        <f t="array" ref="K17">IFERROR(CONCATENATE(TEXT(INDEX($K$7:$K$15,SMALL(IF($N$7:$N$15&lt;&gt;"",IF($K$7:$K$15&lt;&gt;"",ROW($K$7:$K$15)-MIN(ROW($K$7:$K$15))+1,""),""),ROW()-ROW(A$17)+1)),"##0"),","),"")</f>
        <v>0</v>
      </c>
      <c r="L17">
        <f t="array" ref="L17">IFERROR(CONCATENATE((INDEX($N$7:$N$15,SMALL(IF($N$7:$N$15&lt;&gt;"",IF($K$7:$K$15&lt;&gt;"",ROW($K$7:$K$15)-MIN(ROW($K$7:$K$15))+1,""),""),ROW()-ROW(A$17)+1))),","),"")</f>
        <v>0</v>
      </c>
      <c r="M17">
        <f t="array" ref="M17">IFERROR(CONCATENATE((INDEX($A$7:$A$15,SMALL(IF($N$7:$N$15&lt;&gt;"",IF($K$7:$K$15&lt;&gt;"",ROW($K$7:$K$15)-MIN(ROW($K$7:$K$15))+1,""),""),ROW()-ROW(A$17)+1))),),"")</f>
        <v>0</v>
      </c>
      <c r="Q17">
        <f t="array" ref="Q17">IFERROR(CONCATENATE((INDEX($T$7:$T$15,SMALL(IF($T$7:$T$15&lt;&gt;"",IF($Q$7:$Q$15&lt;&gt;"",ROW($Q$7:$Q$15)-MIN(ROW($Q$7:$Q$15))+1,""),""),ROW()-ROW(A$17)+1)))," "),"")</f>
        <v>0</v>
      </c>
      <c r="R17">
        <f t="array" ref="R17">IFERROR(CONCATENATE(TEXT(INDEX($Q$7:$Q$15,SMALL(IF($T$7:$T$15&lt;&gt;"",IF($Q$7:$Q$15&lt;&gt;"",ROW($Q$7:$Q$15)-MIN(ROW($Q$7:$Q$15))+1,""),""),ROW()-ROW(A$17)+1)),"##0")," "),"")</f>
        <v>0</v>
      </c>
      <c r="S17">
        <f t="array" ref="S17">IFERROR(CONCATENATE((INDEX($A$7:$A$15,SMALL(IF($T$7:$T$15&lt;&gt;"",IF($Q$7:$Q$15&lt;&gt;"",ROW($Q$7:$Q$15)-MIN(ROW($Q$7:$Q$15))+1,""),""),ROW()-ROW(A$17)+1))),),"")</f>
        <v>0</v>
      </c>
      <c r="W17">
        <f t="array" ref="W17">IFERROR(CONCATENATE((INDEX($Z$7:$Z$15,SMALL(IF($Z$7:$Z$15&lt;&gt;"",IF($W$7:$W$15&lt;&gt;"",ROW($W$7:$W$15)-MIN(ROW($W$7:$W$15))+1,""),""),ROW()-ROW(A$17)+1))),","),"")</f>
        <v>0</v>
      </c>
      <c r="X17">
        <f t="array" ref="X17">IFERROR(CONCATENATE(TEXT(INDEX($W$7:$W$15,SMALL(IF($Z$7:$Z$15&lt;&gt;"",IF($W$7:$W$15&lt;&gt;"",ROW($W$7:$W$15)-MIN(ROW($W$7:$W$15))+1,""),""),ROW()-ROW(A$17)+1)),"##0"),","),"")</f>
        <v>0</v>
      </c>
      <c r="Y17">
        <f t="array" ref="Y17">IFERROR(CONCATENATE((INDEX($A$7:$A$15,SMALL(IF($Z$7:$Z$15&lt;&gt;"",IF($W$7:$W$15&lt;&gt;"",ROW($W$7:$W$15)-MIN(ROW($W$7:$W$15))+1,""),""),ROW()-ROW(A$17)+1))),),"")</f>
        <v>0</v>
      </c>
    </row>
    <row r="18" spans="11:25">
      <c r="K18">
        <f t="array" ref="K18">IFERROR(CONCATENATE(TEXT(INDEX($K$7:$K$15,SMALL(IF($N$7:$N$15&lt;&gt;"",IF($K$7:$K$15&lt;&gt;"",ROW($K$7:$K$15)-MIN(ROW($K$7:$K$15))+1,""),""),ROW()-ROW(A$17)+1)),"##0"),","),"")</f>
        <v>0</v>
      </c>
      <c r="L18">
        <f t="array" ref="L18">IFERROR(CONCATENATE((INDEX($N$7:$N$15,SMALL(IF($N$7:$N$15&lt;&gt;"",IF($K$7:$K$15&lt;&gt;"",ROW($K$7:$K$15)-MIN(ROW($K$7:$K$15))+1,""),""),ROW()-ROW(A$17)+1))),","),"")</f>
        <v>0</v>
      </c>
      <c r="M18">
        <f t="array" ref="M18">IFERROR(CONCATENATE((INDEX($A$7:$A$15,SMALL(IF($N$7:$N$15&lt;&gt;"",IF($K$7:$K$15&lt;&gt;"",ROW($K$7:$K$15)-MIN(ROW($K$7:$K$15))+1,""),""),ROW()-ROW(A$17)+1))),),"")</f>
        <v>0</v>
      </c>
      <c r="Q18">
        <f t="array" ref="Q18">IFERROR(CONCATENATE((INDEX($T$7:$T$15,SMALL(IF($T$7:$T$15&lt;&gt;"",IF($Q$7:$Q$15&lt;&gt;"",ROW($Q$7:$Q$15)-MIN(ROW($Q$7:$Q$15))+1,""),""),ROW()-ROW(A$17)+1)))," "),"")</f>
        <v>0</v>
      </c>
      <c r="R18">
        <f t="array" ref="R18">IFERROR(CONCATENATE(TEXT(INDEX($Q$7:$Q$15,SMALL(IF($T$7:$T$15&lt;&gt;"",IF($Q$7:$Q$15&lt;&gt;"",ROW($Q$7:$Q$15)-MIN(ROW($Q$7:$Q$15))+1,""),""),ROW()-ROW(A$17)+1)),"##0")," "),"")</f>
        <v>0</v>
      </c>
      <c r="S18">
        <f t="array" ref="S18">IFERROR(CONCATENATE((INDEX($A$7:$A$15,SMALL(IF($T$7:$T$15&lt;&gt;"",IF($Q$7:$Q$15&lt;&gt;"",ROW($Q$7:$Q$15)-MIN(ROW($Q$7:$Q$15))+1,""),""),ROW()-ROW(A$17)+1))),),"")</f>
        <v>0</v>
      </c>
      <c r="W18">
        <f t="array" ref="W18">IFERROR(CONCATENATE((INDEX($Z$7:$Z$15,SMALL(IF($Z$7:$Z$15&lt;&gt;"",IF($W$7:$W$15&lt;&gt;"",ROW($W$7:$W$15)-MIN(ROW($W$7:$W$15))+1,""),""),ROW()-ROW(A$17)+1))),","),"")</f>
        <v>0</v>
      </c>
      <c r="X18">
        <f t="array" ref="X18">IFERROR(CONCATENATE(TEXT(INDEX($W$7:$W$15,SMALL(IF($Z$7:$Z$15&lt;&gt;"",IF($W$7:$W$15&lt;&gt;"",ROW($W$7:$W$15)-MIN(ROW($W$7:$W$15))+1,""),""),ROW()-ROW(A$17)+1)),"##0"),","),"")</f>
        <v>0</v>
      </c>
      <c r="Y18">
        <f t="array" ref="Y18">IFERROR(CONCATENATE((INDEX($A$7:$A$15,SMALL(IF($Z$7:$Z$15&lt;&gt;"",IF($W$7:$W$15&lt;&gt;"",ROW($W$7:$W$15)-MIN(ROW($W$7:$W$15))+1,""),""),ROW()-ROW(A$17)+1))),),"")</f>
        <v>0</v>
      </c>
    </row>
    <row r="19" spans="11:25">
      <c r="K19">
        <f t="array" ref="K19">IFERROR(CONCATENATE(TEXT(INDEX($K$7:$K$15,SMALL(IF($N$7:$N$15&lt;&gt;"",IF($K$7:$K$15&lt;&gt;"",ROW($K$7:$K$15)-MIN(ROW($K$7:$K$15))+1,""),""),ROW()-ROW(A$17)+1)),"##0"),","),"")</f>
        <v>0</v>
      </c>
      <c r="L19">
        <f t="array" ref="L19">IFERROR(CONCATENATE((INDEX($N$7:$N$15,SMALL(IF($N$7:$N$15&lt;&gt;"",IF($K$7:$K$15&lt;&gt;"",ROW($K$7:$K$15)-MIN(ROW($K$7:$K$15))+1,""),""),ROW()-ROW(A$17)+1))),","),"")</f>
        <v>0</v>
      </c>
      <c r="M19">
        <f t="array" ref="M19">IFERROR(CONCATENATE((INDEX($A$7:$A$15,SMALL(IF($N$7:$N$15&lt;&gt;"",IF($K$7:$K$15&lt;&gt;"",ROW($K$7:$K$15)-MIN(ROW($K$7:$K$15))+1,""),""),ROW()-ROW(A$17)+1))),),"")</f>
        <v>0</v>
      </c>
      <c r="Q19">
        <f t="array" ref="Q19">IFERROR(CONCATENATE((INDEX($T$7:$T$15,SMALL(IF($T$7:$T$15&lt;&gt;"",IF($Q$7:$Q$15&lt;&gt;"",ROW($Q$7:$Q$15)-MIN(ROW($Q$7:$Q$15))+1,""),""),ROW()-ROW(A$17)+1)))," "),"")</f>
        <v>0</v>
      </c>
      <c r="R19">
        <f t="array" ref="R19">IFERROR(CONCATENATE(TEXT(INDEX($Q$7:$Q$15,SMALL(IF($T$7:$T$15&lt;&gt;"",IF($Q$7:$Q$15&lt;&gt;"",ROW($Q$7:$Q$15)-MIN(ROW($Q$7:$Q$15))+1,""),""),ROW()-ROW(A$17)+1)),"##0")," "),"")</f>
        <v>0</v>
      </c>
      <c r="S19">
        <f t="array" ref="S19">IFERROR(CONCATENATE((INDEX($A$7:$A$15,SMALL(IF($T$7:$T$15&lt;&gt;"",IF($Q$7:$Q$15&lt;&gt;"",ROW($Q$7:$Q$15)-MIN(ROW($Q$7:$Q$15))+1,""),""),ROW()-ROW(A$17)+1))),),"")</f>
        <v>0</v>
      </c>
      <c r="W19">
        <f t="array" ref="W19">IFERROR(CONCATENATE((INDEX($Z$7:$Z$15,SMALL(IF($Z$7:$Z$15&lt;&gt;"",IF($W$7:$W$15&lt;&gt;"",ROW($W$7:$W$15)-MIN(ROW($W$7:$W$15))+1,""),""),ROW()-ROW(A$17)+1))),","),"")</f>
        <v>0</v>
      </c>
      <c r="X19">
        <f t="array" ref="X19">IFERROR(CONCATENATE(TEXT(INDEX($W$7:$W$15,SMALL(IF($Z$7:$Z$15&lt;&gt;"",IF($W$7:$W$15&lt;&gt;"",ROW($W$7:$W$15)-MIN(ROW($W$7:$W$15))+1,""),""),ROW()-ROW(A$17)+1)),"##0"),","),"")</f>
        <v>0</v>
      </c>
      <c r="Y19">
        <f t="array" ref="Y19">IFERROR(CONCATENATE((INDEX($A$7:$A$15,SMALL(IF($Z$7:$Z$15&lt;&gt;"",IF($W$7:$W$15&lt;&gt;"",ROW($W$7:$W$15)-MIN(ROW($W$7:$W$15))+1,""),""),ROW()-ROW(A$17)+1))),),"")</f>
        <v>0</v>
      </c>
    </row>
    <row r="20" spans="11:25">
      <c r="K20">
        <f t="array" ref="K20">IFERROR(CONCATENATE(TEXT(INDEX($K$7:$K$15,SMALL(IF($N$7:$N$15&lt;&gt;"",IF($K$7:$K$15&lt;&gt;"",ROW($K$7:$K$15)-MIN(ROW($K$7:$K$15))+1,""),""),ROW()-ROW(A$17)+1)),"##0"),","),"")</f>
        <v>0</v>
      </c>
      <c r="L20">
        <f t="array" ref="L20">IFERROR(CONCATENATE((INDEX($N$7:$N$15,SMALL(IF($N$7:$N$15&lt;&gt;"",IF($K$7:$K$15&lt;&gt;"",ROW($K$7:$K$15)-MIN(ROW($K$7:$K$15))+1,""),""),ROW()-ROW(A$17)+1))),","),"")</f>
        <v>0</v>
      </c>
      <c r="M20">
        <f t="array" ref="M20">IFERROR(CONCATENATE((INDEX($A$7:$A$15,SMALL(IF($N$7:$N$15&lt;&gt;"",IF($K$7:$K$15&lt;&gt;"",ROW($K$7:$K$15)-MIN(ROW($K$7:$K$15))+1,""),""),ROW()-ROW(A$17)+1))),),"")</f>
        <v>0</v>
      </c>
      <c r="Q20">
        <f t="array" ref="Q20">IFERROR(CONCATENATE((INDEX($T$7:$T$15,SMALL(IF($T$7:$T$15&lt;&gt;"",IF($Q$7:$Q$15&lt;&gt;"",ROW($Q$7:$Q$15)-MIN(ROW($Q$7:$Q$15))+1,""),""),ROW()-ROW(A$17)+1)))," "),"")</f>
        <v>0</v>
      </c>
      <c r="R20">
        <f t="array" ref="R20">IFERROR(CONCATENATE(TEXT(INDEX($Q$7:$Q$15,SMALL(IF($T$7:$T$15&lt;&gt;"",IF($Q$7:$Q$15&lt;&gt;"",ROW($Q$7:$Q$15)-MIN(ROW($Q$7:$Q$15))+1,""),""),ROW()-ROW(A$17)+1)),"##0")," "),"")</f>
        <v>0</v>
      </c>
      <c r="S20">
        <f t="array" ref="S20">IFERROR(CONCATENATE((INDEX($A$7:$A$15,SMALL(IF($T$7:$T$15&lt;&gt;"",IF($Q$7:$Q$15&lt;&gt;"",ROW($Q$7:$Q$15)-MIN(ROW($Q$7:$Q$15))+1,""),""),ROW()-ROW(A$17)+1))),),"")</f>
        <v>0</v>
      </c>
      <c r="W20">
        <f t="array" ref="W20">IFERROR(CONCATENATE((INDEX($Z$7:$Z$15,SMALL(IF($Z$7:$Z$15&lt;&gt;"",IF($W$7:$W$15&lt;&gt;"",ROW($W$7:$W$15)-MIN(ROW($W$7:$W$15))+1,""),""),ROW()-ROW(A$17)+1))),","),"")</f>
        <v>0</v>
      </c>
      <c r="X20">
        <f t="array" ref="X20">IFERROR(CONCATENATE(TEXT(INDEX($W$7:$W$15,SMALL(IF($Z$7:$Z$15&lt;&gt;"",IF($W$7:$W$15&lt;&gt;"",ROW($W$7:$W$15)-MIN(ROW($W$7:$W$15))+1,""),""),ROW()-ROW(A$17)+1)),"##0"),","),"")</f>
        <v>0</v>
      </c>
      <c r="Y20">
        <f t="array" ref="Y20">IFERROR(CONCATENATE((INDEX($A$7:$A$15,SMALL(IF($Z$7:$Z$15&lt;&gt;"",IF($W$7:$W$15&lt;&gt;"",ROW($W$7:$W$15)-MIN(ROW($W$7:$W$15))+1,""),""),ROW()-ROW(A$17)+1))),),"")</f>
        <v>0</v>
      </c>
    </row>
    <row r="21" spans="11:25">
      <c r="K21">
        <f t="array" ref="K21">IFERROR(CONCATENATE(TEXT(INDEX($K$7:$K$15,SMALL(IF($N$7:$N$15&lt;&gt;"",IF($K$7:$K$15&lt;&gt;"",ROW($K$7:$K$15)-MIN(ROW($K$7:$K$15))+1,""),""),ROW()-ROW(A$17)+1)),"##0"),","),"")</f>
        <v>0</v>
      </c>
      <c r="L21">
        <f t="array" ref="L21">IFERROR(CONCATENATE((INDEX($N$7:$N$15,SMALL(IF($N$7:$N$15&lt;&gt;"",IF($K$7:$K$15&lt;&gt;"",ROW($K$7:$K$15)-MIN(ROW($K$7:$K$15))+1,""),""),ROW()-ROW(A$17)+1))),","),"")</f>
        <v>0</v>
      </c>
      <c r="M21">
        <f t="array" ref="M21">IFERROR(CONCATENATE((INDEX($A$7:$A$15,SMALL(IF($N$7:$N$15&lt;&gt;"",IF($K$7:$K$15&lt;&gt;"",ROW($K$7:$K$15)-MIN(ROW($K$7:$K$15))+1,""),""),ROW()-ROW(A$17)+1))),),"")</f>
        <v>0</v>
      </c>
      <c r="Q21">
        <f t="array" ref="Q21">IFERROR(CONCATENATE((INDEX($T$7:$T$15,SMALL(IF($T$7:$T$15&lt;&gt;"",IF($Q$7:$Q$15&lt;&gt;"",ROW($Q$7:$Q$15)-MIN(ROW($Q$7:$Q$15))+1,""),""),ROW()-ROW(A$17)+1)))," "),"")</f>
        <v>0</v>
      </c>
      <c r="R21">
        <f t="array" ref="R21">IFERROR(CONCATENATE(TEXT(INDEX($Q$7:$Q$15,SMALL(IF($T$7:$T$15&lt;&gt;"",IF($Q$7:$Q$15&lt;&gt;"",ROW($Q$7:$Q$15)-MIN(ROW($Q$7:$Q$15))+1,""),""),ROW()-ROW(A$17)+1)),"##0")," "),"")</f>
        <v>0</v>
      </c>
      <c r="S21">
        <f t="array" ref="S21">IFERROR(CONCATENATE((INDEX($A$7:$A$15,SMALL(IF($T$7:$T$15&lt;&gt;"",IF($Q$7:$Q$15&lt;&gt;"",ROW($Q$7:$Q$15)-MIN(ROW($Q$7:$Q$15))+1,""),""),ROW()-ROW(A$17)+1))),),"")</f>
        <v>0</v>
      </c>
      <c r="W21">
        <f t="array" ref="W21">IFERROR(CONCATENATE((INDEX($Z$7:$Z$15,SMALL(IF($Z$7:$Z$15&lt;&gt;"",IF($W$7:$W$15&lt;&gt;"",ROW($W$7:$W$15)-MIN(ROW($W$7:$W$15))+1,""),""),ROW()-ROW(A$17)+1))),","),"")</f>
        <v>0</v>
      </c>
      <c r="X21">
        <f t="array" ref="X21">IFERROR(CONCATENATE(TEXT(INDEX($W$7:$W$15,SMALL(IF($Z$7:$Z$15&lt;&gt;"",IF($W$7:$W$15&lt;&gt;"",ROW($W$7:$W$15)-MIN(ROW($W$7:$W$15))+1,""),""),ROW()-ROW(A$17)+1)),"##0"),","),"")</f>
        <v>0</v>
      </c>
      <c r="Y21">
        <f t="array" ref="Y21">IFERROR(CONCATENATE((INDEX($A$7:$A$15,SMALL(IF($Z$7:$Z$15&lt;&gt;"",IF($W$7:$W$15&lt;&gt;"",ROW($W$7:$W$15)-MIN(ROW($W$7:$W$15))+1,""),""),ROW()-ROW(A$17)+1))),),"")</f>
        <v>0</v>
      </c>
    </row>
    <row r="22" spans="11:25">
      <c r="K22">
        <f t="array" ref="K22">IFERROR(CONCATENATE(TEXT(INDEX($K$7:$K$15,SMALL(IF($N$7:$N$15&lt;&gt;"",IF($K$7:$K$15&lt;&gt;"",ROW($K$7:$K$15)-MIN(ROW($K$7:$K$15))+1,""),""),ROW()-ROW(A$17)+1)),"##0"),","),"")</f>
        <v>0</v>
      </c>
      <c r="L22">
        <f t="array" ref="L22">IFERROR(CONCATENATE((INDEX($N$7:$N$15,SMALL(IF($N$7:$N$15&lt;&gt;"",IF($K$7:$K$15&lt;&gt;"",ROW($K$7:$K$15)-MIN(ROW($K$7:$K$15))+1,""),""),ROW()-ROW(A$17)+1))),","),"")</f>
        <v>0</v>
      </c>
      <c r="M22">
        <f t="array" ref="M22">IFERROR(CONCATENATE((INDEX($A$7:$A$15,SMALL(IF($N$7:$N$15&lt;&gt;"",IF($K$7:$K$15&lt;&gt;"",ROW($K$7:$K$15)-MIN(ROW($K$7:$K$15))+1,""),""),ROW()-ROW(A$17)+1))),),"")</f>
        <v>0</v>
      </c>
      <c r="Q22">
        <f t="array" ref="Q22">IFERROR(CONCATENATE((INDEX($T$7:$T$15,SMALL(IF($T$7:$T$15&lt;&gt;"",IF($Q$7:$Q$15&lt;&gt;"",ROW($Q$7:$Q$15)-MIN(ROW($Q$7:$Q$15))+1,""),""),ROW()-ROW(A$17)+1)))," "),"")</f>
        <v>0</v>
      </c>
      <c r="R22">
        <f t="array" ref="R22">IFERROR(CONCATENATE(TEXT(INDEX($Q$7:$Q$15,SMALL(IF($T$7:$T$15&lt;&gt;"",IF($Q$7:$Q$15&lt;&gt;"",ROW($Q$7:$Q$15)-MIN(ROW($Q$7:$Q$15))+1,""),""),ROW()-ROW(A$17)+1)),"##0")," "),"")</f>
        <v>0</v>
      </c>
      <c r="S22">
        <f t="array" ref="S22">IFERROR(CONCATENATE((INDEX($A$7:$A$15,SMALL(IF($T$7:$T$15&lt;&gt;"",IF($Q$7:$Q$15&lt;&gt;"",ROW($Q$7:$Q$15)-MIN(ROW($Q$7:$Q$15))+1,""),""),ROW()-ROW(A$17)+1))),),"")</f>
        <v>0</v>
      </c>
      <c r="W22">
        <f t="array" ref="W22">IFERROR(CONCATENATE((INDEX($Z$7:$Z$15,SMALL(IF($Z$7:$Z$15&lt;&gt;"",IF($W$7:$W$15&lt;&gt;"",ROW($W$7:$W$15)-MIN(ROW($W$7:$W$15))+1,""),""),ROW()-ROW(A$17)+1))),","),"")</f>
        <v>0</v>
      </c>
      <c r="X22">
        <f t="array" ref="X22">IFERROR(CONCATENATE(TEXT(INDEX($W$7:$W$15,SMALL(IF($Z$7:$Z$15&lt;&gt;"",IF($W$7:$W$15&lt;&gt;"",ROW($W$7:$W$15)-MIN(ROW($W$7:$W$15))+1,""),""),ROW()-ROW(A$17)+1)),"##0"),","),"")</f>
        <v>0</v>
      </c>
      <c r="Y22">
        <f t="array" ref="Y22">IFERROR(CONCATENATE((INDEX($A$7:$A$15,SMALL(IF($Z$7:$Z$15&lt;&gt;"",IF($W$7:$W$15&lt;&gt;"",ROW($W$7:$W$15)-MIN(ROW($W$7:$W$15))+1,""),""),ROW()-ROW(A$17)+1))),),"")</f>
        <v>0</v>
      </c>
    </row>
    <row r="23" spans="11:25">
      <c r="K23">
        <f t="array" ref="K23">IFERROR(CONCATENATE(TEXT(INDEX($K$7:$K$15,SMALL(IF($N$7:$N$15&lt;&gt;"",IF($K$7:$K$15&lt;&gt;"",ROW($K$7:$K$15)-MIN(ROW($K$7:$K$15))+1,""),""),ROW()-ROW(A$17)+1)),"##0"),","),"")</f>
        <v>0</v>
      </c>
      <c r="L23">
        <f t="array" ref="L23">IFERROR(CONCATENATE((INDEX($N$7:$N$15,SMALL(IF($N$7:$N$15&lt;&gt;"",IF($K$7:$K$15&lt;&gt;"",ROW($K$7:$K$15)-MIN(ROW($K$7:$K$15))+1,""),""),ROW()-ROW(A$17)+1))),","),"")</f>
        <v>0</v>
      </c>
      <c r="M23">
        <f t="array" ref="M23">IFERROR(CONCATENATE((INDEX($A$7:$A$15,SMALL(IF($N$7:$N$15&lt;&gt;"",IF($K$7:$K$15&lt;&gt;"",ROW($K$7:$K$15)-MIN(ROW($K$7:$K$15))+1,""),""),ROW()-ROW(A$17)+1))),),"")</f>
        <v>0</v>
      </c>
      <c r="Q23">
        <f t="array" ref="Q23">IFERROR(CONCATENATE((INDEX($T$7:$T$15,SMALL(IF($T$7:$T$15&lt;&gt;"",IF($Q$7:$Q$15&lt;&gt;"",ROW($Q$7:$Q$15)-MIN(ROW($Q$7:$Q$15))+1,""),""),ROW()-ROW(A$17)+1)))," "),"")</f>
        <v>0</v>
      </c>
      <c r="R23">
        <f t="array" ref="R23">IFERROR(CONCATENATE(TEXT(INDEX($Q$7:$Q$15,SMALL(IF($T$7:$T$15&lt;&gt;"",IF($Q$7:$Q$15&lt;&gt;"",ROW($Q$7:$Q$15)-MIN(ROW($Q$7:$Q$15))+1,""),""),ROW()-ROW(A$17)+1)),"##0")," "),"")</f>
        <v>0</v>
      </c>
      <c r="S23">
        <f t="array" ref="S23">IFERROR(CONCATENATE((INDEX($A$7:$A$15,SMALL(IF($T$7:$T$15&lt;&gt;"",IF($Q$7:$Q$15&lt;&gt;"",ROW($Q$7:$Q$15)-MIN(ROW($Q$7:$Q$15))+1,""),""),ROW()-ROW(A$17)+1))),),"")</f>
        <v>0</v>
      </c>
      <c r="W23">
        <f t="array" ref="W23">IFERROR(CONCATENATE((INDEX($Z$7:$Z$15,SMALL(IF($Z$7:$Z$15&lt;&gt;"",IF($W$7:$W$15&lt;&gt;"",ROW($W$7:$W$15)-MIN(ROW($W$7:$W$15))+1,""),""),ROW()-ROW(A$17)+1))),","),"")</f>
        <v>0</v>
      </c>
      <c r="X23">
        <f t="array" ref="X23">IFERROR(CONCATENATE(TEXT(INDEX($W$7:$W$15,SMALL(IF($Z$7:$Z$15&lt;&gt;"",IF($W$7:$W$15&lt;&gt;"",ROW($W$7:$W$15)-MIN(ROW($W$7:$W$15))+1,""),""),ROW()-ROW(A$17)+1)),"##0"),","),"")</f>
        <v>0</v>
      </c>
      <c r="Y23">
        <f t="array" ref="Y23">IFERROR(CONCATENATE((INDEX($A$7:$A$15,SMALL(IF($Z$7:$Z$15&lt;&gt;"",IF($W$7:$W$15&lt;&gt;"",ROW($W$7:$W$15)-MIN(ROW($W$7:$W$15))+1,""),""),ROW()-ROW(A$17)+1))),),"")</f>
        <v>0</v>
      </c>
    </row>
    <row r="24" spans="11:25">
      <c r="K24">
        <f t="array" ref="K24">IFERROR(CONCATENATE(TEXT(INDEX($K$7:$K$15,SMALL(IF($N$7:$N$15&lt;&gt;"",IF($K$7:$K$15&lt;&gt;"",ROW($K$7:$K$15)-MIN(ROW($K$7:$K$15))+1,""),""),ROW()-ROW(A$17)+1)),"##0"),","),"")</f>
        <v>0</v>
      </c>
      <c r="L24">
        <f t="array" ref="L24">IFERROR(CONCATENATE((INDEX($N$7:$N$15,SMALL(IF($N$7:$N$15&lt;&gt;"",IF($K$7:$K$15&lt;&gt;"",ROW($K$7:$K$15)-MIN(ROW($K$7:$K$15))+1,""),""),ROW()-ROW(A$17)+1))),","),"")</f>
        <v>0</v>
      </c>
      <c r="M24">
        <f t="array" ref="M24">IFERROR(CONCATENATE((INDEX($A$7:$A$15,SMALL(IF($N$7:$N$15&lt;&gt;"",IF($K$7:$K$15&lt;&gt;"",ROW($K$7:$K$15)-MIN(ROW($K$7:$K$15))+1,""),""),ROW()-ROW(A$17)+1))),),"")</f>
        <v>0</v>
      </c>
      <c r="Q24">
        <f t="array" ref="Q24">IFERROR(CONCATENATE((INDEX($T$7:$T$15,SMALL(IF($T$7:$T$15&lt;&gt;"",IF($Q$7:$Q$15&lt;&gt;"",ROW($Q$7:$Q$15)-MIN(ROW($Q$7:$Q$15))+1,""),""),ROW()-ROW(A$17)+1)))," "),"")</f>
        <v>0</v>
      </c>
      <c r="R24">
        <f t="array" ref="R24">IFERROR(CONCATENATE(TEXT(INDEX($Q$7:$Q$15,SMALL(IF($T$7:$T$15&lt;&gt;"",IF($Q$7:$Q$15&lt;&gt;"",ROW($Q$7:$Q$15)-MIN(ROW($Q$7:$Q$15))+1,""),""),ROW()-ROW(A$17)+1)),"##0")," "),"")</f>
        <v>0</v>
      </c>
      <c r="S24">
        <f t="array" ref="S24">IFERROR(CONCATENATE((INDEX($A$7:$A$15,SMALL(IF($T$7:$T$15&lt;&gt;"",IF($Q$7:$Q$15&lt;&gt;"",ROW($Q$7:$Q$15)-MIN(ROW($Q$7:$Q$15))+1,""),""),ROW()-ROW(A$17)+1))),),"")</f>
        <v>0</v>
      </c>
      <c r="W24">
        <f t="array" ref="W24">IFERROR(CONCATENATE((INDEX($Z$7:$Z$15,SMALL(IF($Z$7:$Z$15&lt;&gt;"",IF($W$7:$W$15&lt;&gt;"",ROW($W$7:$W$15)-MIN(ROW($W$7:$W$15))+1,""),""),ROW()-ROW(A$17)+1))),","),"")</f>
        <v>0</v>
      </c>
      <c r="X24">
        <f t="array" ref="X24">IFERROR(CONCATENATE(TEXT(INDEX($W$7:$W$15,SMALL(IF($Z$7:$Z$15&lt;&gt;"",IF($W$7:$W$15&lt;&gt;"",ROW($W$7:$W$15)-MIN(ROW($W$7:$W$15))+1,""),""),ROW()-ROW(A$17)+1)),"##0"),","),"")</f>
        <v>0</v>
      </c>
      <c r="Y24">
        <f t="array" ref="Y24">IFERROR(CONCATENATE((INDEX($A$7:$A$15,SMALL(IF($Z$7:$Z$15&lt;&gt;"",IF($W$7:$W$15&lt;&gt;"",ROW($W$7:$W$15)-MIN(ROW($W$7:$W$15))+1,""),""),ROW()-ROW(A$17)+1))),),"")</f>
        <v>0</v>
      </c>
    </row>
    <row r="25" spans="11:25">
      <c r="K25">
        <f t="array" ref="K25">IFERROR(CONCATENATE(TEXT(INDEX($K$7:$K$15,SMALL(IF($N$7:$N$15&lt;&gt;"",IF($K$7:$K$15&lt;&gt;"",ROW($K$7:$K$15)-MIN(ROW($K$7:$K$15))+1,""),""),ROW()-ROW(A$17)+1)),"##0"),","),"")</f>
        <v>0</v>
      </c>
      <c r="L25">
        <f t="array" ref="L25">IFERROR(CONCATENATE((INDEX($N$7:$N$15,SMALL(IF($N$7:$N$15&lt;&gt;"",IF($K$7:$K$15&lt;&gt;"",ROW($K$7:$K$15)-MIN(ROW($K$7:$K$15))+1,""),""),ROW()-ROW(A$17)+1))),","),"")</f>
        <v>0</v>
      </c>
      <c r="M25">
        <f t="array" ref="M25">IFERROR(CONCATENATE((INDEX($A$7:$A$15,SMALL(IF($N$7:$N$15&lt;&gt;"",IF($K$7:$K$15&lt;&gt;"",ROW($K$7:$K$15)-MIN(ROW($K$7:$K$15))+1,""),""),ROW()-ROW(A$17)+1))),),"")</f>
        <v>0</v>
      </c>
      <c r="Q25">
        <f t="array" ref="Q25">IFERROR(CONCATENATE((INDEX($T$7:$T$15,SMALL(IF($T$7:$T$15&lt;&gt;"",IF($Q$7:$Q$15&lt;&gt;"",ROW($Q$7:$Q$15)-MIN(ROW($Q$7:$Q$15))+1,""),""),ROW()-ROW(A$17)+1)))," "),"")</f>
        <v>0</v>
      </c>
      <c r="R25">
        <f t="array" ref="R25">IFERROR(CONCATENATE(TEXT(INDEX($Q$7:$Q$15,SMALL(IF($T$7:$T$15&lt;&gt;"",IF($Q$7:$Q$15&lt;&gt;"",ROW($Q$7:$Q$15)-MIN(ROW($Q$7:$Q$15))+1,""),""),ROW()-ROW(A$17)+1)),"##0")," "),"")</f>
        <v>0</v>
      </c>
      <c r="S25">
        <f t="array" ref="S25">IFERROR(CONCATENATE((INDEX($A$7:$A$15,SMALL(IF($T$7:$T$15&lt;&gt;"",IF($Q$7:$Q$15&lt;&gt;"",ROW($Q$7:$Q$15)-MIN(ROW($Q$7:$Q$15))+1,""),""),ROW()-ROW(A$17)+1))),),"")</f>
        <v>0</v>
      </c>
      <c r="W25">
        <f t="array" ref="W25">IFERROR(CONCATENATE((INDEX($Z$7:$Z$15,SMALL(IF($Z$7:$Z$15&lt;&gt;"",IF($W$7:$W$15&lt;&gt;"",ROW($W$7:$W$15)-MIN(ROW($W$7:$W$15))+1,""),""),ROW()-ROW(A$17)+1))),","),"")</f>
        <v>0</v>
      </c>
      <c r="X25">
        <f t="array" ref="X25">IFERROR(CONCATENATE(TEXT(INDEX($W$7:$W$15,SMALL(IF($Z$7:$Z$15&lt;&gt;"",IF($W$7:$W$15&lt;&gt;"",ROW($W$7:$W$15)-MIN(ROW($W$7:$W$15))+1,""),""),ROW()-ROW(A$17)+1)),"##0"),","),"")</f>
        <v>0</v>
      </c>
      <c r="Y25">
        <f t="array" ref="Y25">IFERROR(CONCATENATE((INDEX($A$7:$A$15,SMALL(IF($Z$7:$Z$15&lt;&gt;"",IF($W$7:$W$15&lt;&gt;"",ROW($W$7:$W$15)-MIN(ROW($W$7:$W$15))+1,""),""),ROW()-ROW(A$17)+1))),),"")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7" operator="lessThanOrEqual">
      <formula>H10</formula>
    </cfRule>
  </conditionalFormatting>
  <conditionalFormatting sqref="L12">
    <cfRule type="cellIs" dxfId="0" priority="9" operator="lessThanOrEqual">
      <formula>H12</formula>
    </cfRule>
  </conditionalFormatting>
  <conditionalFormatting sqref="L14">
    <cfRule type="cellIs" dxfId="0" priority="11" operator="lessThanOrEqual">
      <formula>H14</formula>
    </cfRule>
  </conditionalFormatting>
  <conditionalFormatting sqref="L15">
    <cfRule type="cellIs" dxfId="0" priority="13" operator="lessThanOrEqual">
      <formula>H15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2">
    <cfRule type="cellIs" dxfId="0" priority="10" operator="lessThanOrEqual">
      <formula>I12</formula>
    </cfRule>
  </conditionalFormatting>
  <conditionalFormatting sqref="M14">
    <cfRule type="cellIs" dxfId="0" priority="12" operator="lessThanOrEqual">
      <formula>I14</formula>
    </cfRule>
  </conditionalFormatting>
  <conditionalFormatting sqref="M15">
    <cfRule type="cellIs" dxfId="0" priority="14" operator="lessThanOrEqual">
      <formula>I15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21" operator="lessThanOrEqual">
      <formula>H10</formula>
    </cfRule>
  </conditionalFormatting>
  <conditionalFormatting sqref="R11">
    <cfRule type="cellIs" dxfId="0" priority="23" operator="lessThanOrEqual">
      <formula>H11</formula>
    </cfRule>
  </conditionalFormatting>
  <conditionalFormatting sqref="R12">
    <cfRule type="cellIs" dxfId="0" priority="25" operator="lessThanOrEqual">
      <formula>H12</formula>
    </cfRule>
  </conditionalFormatting>
  <conditionalFormatting sqref="R15">
    <cfRule type="cellIs" dxfId="0" priority="27" operator="lessThanOrEqual">
      <formula>H15</formula>
    </cfRule>
  </conditionalFormatting>
  <conditionalFormatting sqref="R7">
    <cfRule type="cellIs" dxfId="0" priority="15" operator="lessThanOrEqual">
      <formula>H7</formula>
    </cfRule>
  </conditionalFormatting>
  <conditionalFormatting sqref="R8">
    <cfRule type="cellIs" dxfId="0" priority="17" operator="lessThanOrEqual">
      <formula>H8</formula>
    </cfRule>
  </conditionalFormatting>
  <conditionalFormatting sqref="R9">
    <cfRule type="cellIs" dxfId="0" priority="19" operator="lessThanOrEqual">
      <formula>H9</formula>
    </cfRule>
  </conditionalFormatting>
  <conditionalFormatting sqref="S10">
    <cfRule type="cellIs" dxfId="0" priority="22" operator="lessThanOrEqual">
      <formula>I10</formula>
    </cfRule>
  </conditionalFormatting>
  <conditionalFormatting sqref="S11">
    <cfRule type="cellIs" dxfId="0" priority="24" operator="lessThanOrEqual">
      <formula>I11</formula>
    </cfRule>
  </conditionalFormatting>
  <conditionalFormatting sqref="S12">
    <cfRule type="cellIs" dxfId="0" priority="26" operator="lessThanOrEqual">
      <formula>I12</formula>
    </cfRule>
  </conditionalFormatting>
  <conditionalFormatting sqref="S15">
    <cfRule type="cellIs" dxfId="0" priority="28" operator="lessThanOrEqual">
      <formula>I15</formula>
    </cfRule>
  </conditionalFormatting>
  <conditionalFormatting sqref="S7">
    <cfRule type="cellIs" dxfId="0" priority="16" operator="lessThanOrEqual">
      <formula>I7</formula>
    </cfRule>
  </conditionalFormatting>
  <conditionalFormatting sqref="S8">
    <cfRule type="cellIs" dxfId="0" priority="18" operator="lessThanOrEqual">
      <formula>I8</formula>
    </cfRule>
  </conditionalFormatting>
  <conditionalFormatting sqref="S9">
    <cfRule type="cellIs" dxfId="0" priority="20" operator="lessThanOrEqual">
      <formula>I9</formula>
    </cfRule>
  </conditionalFormatting>
  <conditionalFormatting sqref="X11">
    <cfRule type="cellIs" dxfId="0" priority="35" operator="lessThanOrEqual">
      <formula>H11</formula>
    </cfRule>
  </conditionalFormatting>
  <conditionalFormatting sqref="X12">
    <cfRule type="cellIs" dxfId="0" priority="37" operator="lessThanOrEqual">
      <formula>H12</formula>
    </cfRule>
  </conditionalFormatting>
  <conditionalFormatting sqref="X14">
    <cfRule type="cellIs" dxfId="0" priority="39" operator="lessThanOrEqual">
      <formula>H14</formula>
    </cfRule>
  </conditionalFormatting>
  <conditionalFormatting sqref="X7">
    <cfRule type="cellIs" dxfId="0" priority="29" operator="lessThanOrEqual">
      <formula>H7</formula>
    </cfRule>
  </conditionalFormatting>
  <conditionalFormatting sqref="X8">
    <cfRule type="cellIs" dxfId="0" priority="31" operator="lessThanOrEqual">
      <formula>H8</formula>
    </cfRule>
  </conditionalFormatting>
  <conditionalFormatting sqref="X9">
    <cfRule type="cellIs" dxfId="0" priority="33" operator="lessThanOrEqual">
      <formula>H9</formula>
    </cfRule>
  </conditionalFormatting>
  <conditionalFormatting sqref="Y11">
    <cfRule type="cellIs" dxfId="0" priority="36" operator="lessThanOrEqual">
      <formula>I11</formula>
    </cfRule>
  </conditionalFormatting>
  <conditionalFormatting sqref="Y12">
    <cfRule type="cellIs" dxfId="0" priority="38" operator="lessThanOrEqual">
      <formula>I12</formula>
    </cfRule>
  </conditionalFormatting>
  <conditionalFormatting sqref="Y14">
    <cfRule type="cellIs" dxfId="0" priority="40" operator="lessThanOrEqual">
      <formula>I14</formula>
    </cfRule>
  </conditionalFormatting>
  <conditionalFormatting sqref="Y7">
    <cfRule type="cellIs" dxfId="0" priority="30" operator="lessThanOrEqual">
      <formula>I7</formula>
    </cfRule>
  </conditionalFormatting>
  <conditionalFormatting sqref="Y8">
    <cfRule type="cellIs" dxfId="0" priority="32" operator="lessThanOrEqual">
      <formula>I8</formula>
    </cfRule>
  </conditionalFormatting>
  <conditionalFormatting sqref="Y9">
    <cfRule type="cellIs" dxfId="0" priority="34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9" r:id="rId7"/>
    <hyperlink ref="U9" r:id="rId8"/>
    <hyperlink ref="AA9" r:id="rId9"/>
    <hyperlink ref="O10" r:id="rId10"/>
    <hyperlink ref="U10" r:id="rId11"/>
    <hyperlink ref="U11" r:id="rId12"/>
    <hyperlink ref="AA11" r:id="rId13"/>
    <hyperlink ref="O12" r:id="rId14"/>
    <hyperlink ref="U12" r:id="rId15"/>
    <hyperlink ref="AA12" r:id="rId16"/>
    <hyperlink ref="O14" r:id="rId17"/>
    <hyperlink ref="AA14" r:id="rId18"/>
    <hyperlink ref="O15" r:id="rId19"/>
    <hyperlink ref="U15" r:id="rId20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2016-05-03T00:10:27Z</dcterms:created>
  <dcterms:modified xsi:type="dcterms:W3CDTF">2016-05-03T00:10:27Z</dcterms:modified>
</cp:coreProperties>
</file>