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KiCost!$J$5:$O$38</definedName>
    <definedName name="global_part_data">KiCost!$A$5:$I$38</definedName>
    <definedName name="mouser_part_data">KiCost!$P$5:$U$38</definedName>
    <definedName name="newark_part_data">KiCost!$V$5:$AA$38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<sst xmlns="http://schemas.openxmlformats.org/spreadsheetml/2006/main" count="294" uniqueCount="193">
  <si>
    <t>Global Part Info</t>
  </si>
  <si>
    <t>Ext$</t>
  </si>
  <si>
    <t>Desc</t>
  </si>
  <si>
    <t>Refs</t>
  </si>
  <si>
    <t>Manf</t>
  </si>
  <si>
    <t>Unit$</t>
  </si>
  <si>
    <t>Qty</t>
  </si>
  <si>
    <t>Manf#</t>
  </si>
  <si>
    <t>Footprint</t>
  </si>
  <si>
    <t>Value</t>
  </si>
  <si>
    <t>D3,D5,D6</t>
  </si>
  <si>
    <t>SCHDPAK</t>
  </si>
  <si>
    <t>PowerPackages:TO277A</t>
  </si>
  <si>
    <t>SS12P2L-M3/86A</t>
  </si>
  <si>
    <t>C8,C9</t>
  </si>
  <si>
    <t>120 uF</t>
  </si>
  <si>
    <t>capacitors:Radial_SMD_8mm</t>
  </si>
  <si>
    <t>APXE100ARA121MF61G</t>
  </si>
  <si>
    <t>C1-C3,C12,C13</t>
  </si>
  <si>
    <t>10 uF</t>
  </si>
  <si>
    <t>Capacitors_SMD:C_1210</t>
  </si>
  <si>
    <t>GRM32ER7YA106KA12L</t>
  </si>
  <si>
    <t>U5</t>
  </si>
  <si>
    <t>FT232RL</t>
  </si>
  <si>
    <t>Housings_SSOP:SSOP-28_5.3x10.2mm_Pitch0.65mm</t>
  </si>
  <si>
    <t>FT232RL-REEL</t>
  </si>
  <si>
    <t>P1,P3</t>
  </si>
  <si>
    <t>CONN_02X25</t>
  </si>
  <si>
    <t>connectors:Socket_Strip_Straight_2x25</t>
  </si>
  <si>
    <t>SFH11-PBPC-D25-ST-BK</t>
  </si>
  <si>
    <t>R4,R13,R14</t>
  </si>
  <si>
    <t>3.3K</t>
  </si>
  <si>
    <t>Resistors_SMD:R_0402</t>
  </si>
  <si>
    <t>ERJ-2RKF3301X</t>
  </si>
  <si>
    <t>C6,C7,C14,C23</t>
  </si>
  <si>
    <t>1.0 uF</t>
  </si>
  <si>
    <t>Capacitors_SMD:C_0603</t>
  </si>
  <si>
    <t>GRM188R61E105KA12D</t>
  </si>
  <si>
    <t>P5-P14</t>
  </si>
  <si>
    <t>CONN_01X03</t>
  </si>
  <si>
    <t>Socket_Strips:Socket_Strip_Angled_1x03</t>
  </si>
  <si>
    <t>0705530002</t>
  </si>
  <si>
    <t>R7,R10</t>
  </si>
  <si>
    <t>1.1K</t>
  </si>
  <si>
    <t>Resistors_SMD:R_0603</t>
  </si>
  <si>
    <t>RC0603FR-071K1L</t>
  </si>
  <si>
    <t>U3,U6,U7</t>
  </si>
  <si>
    <t>TPS1H100AQPWPRQ1</t>
  </si>
  <si>
    <t>PowerPackages:PowerPAD_14pin_EP</t>
  </si>
  <si>
    <t>R9</t>
  </si>
  <si>
    <t>6.65K</t>
  </si>
  <si>
    <t>RC0603FR-076K65L</t>
  </si>
  <si>
    <t>R15,R16</t>
  </si>
  <si>
    <t>499</t>
  </si>
  <si>
    <t>RC0603FR-07499RL</t>
  </si>
  <si>
    <t>TH1-TH6,TH8,TH9</t>
  </si>
  <si>
    <t>PTH</t>
  </si>
  <si>
    <t>mechanical:PTH</t>
  </si>
  <si>
    <t>C16-C18</t>
  </si>
  <si>
    <t>0.1 uF</t>
  </si>
  <si>
    <t>GRM188R71E104KA01D</t>
  </si>
  <si>
    <t>R12</t>
  </si>
  <si>
    <t>10K</t>
  </si>
  <si>
    <t>RC0603FR-0710KL</t>
  </si>
  <si>
    <t>C21,C22</t>
  </si>
  <si>
    <t>R6</t>
  </si>
  <si>
    <t>2.2K</t>
  </si>
  <si>
    <t>RC0603FR-072K2L</t>
  </si>
  <si>
    <t>W1</t>
  </si>
  <si>
    <t>TEST_1P</t>
  </si>
  <si>
    <t>Measurement_Points:Test_Point</t>
  </si>
  <si>
    <t>R1</t>
  </si>
  <si>
    <t>0</t>
  </si>
  <si>
    <t>resistors_custom:RES_RCL1225</t>
  </si>
  <si>
    <t>RCL12250000Z0EG</t>
  </si>
  <si>
    <t>L1,L2</t>
  </si>
  <si>
    <t>6.5 uH, 18 mOhm</t>
  </si>
  <si>
    <t>PowerPackages:SRR1208</t>
  </si>
  <si>
    <t>SRR1208-6R5ML</t>
  </si>
  <si>
    <t>R2,R3</t>
  </si>
  <si>
    <t>0 DNP</t>
  </si>
  <si>
    <t>C19,C20</t>
  </si>
  <si>
    <t>82 uF</t>
  </si>
  <si>
    <t>35SVPF82M</t>
  </si>
  <si>
    <t>C15</t>
  </si>
  <si>
    <t>10 nF</t>
  </si>
  <si>
    <t>Capacitors_SMD:C_0402</t>
  </si>
  <si>
    <t>C1005X7R1H103K050BE</t>
  </si>
  <si>
    <t>P4</t>
  </si>
  <si>
    <t>CONN_02X20</t>
  </si>
  <si>
    <t>Socket_Strips:Socket_Strip_Straight_2x20</t>
  </si>
  <si>
    <t>SFH11-PBPC-D20-ST-BK</t>
  </si>
  <si>
    <t>P2</t>
  </si>
  <si>
    <t>USB_OTG</t>
  </si>
  <si>
    <t>Connect:USB_Micro-B</t>
  </si>
  <si>
    <t>10118193-0001LF</t>
  </si>
  <si>
    <t>C10,C11</t>
  </si>
  <si>
    <t>0.27 uF</t>
  </si>
  <si>
    <t>Capacitors_SMD:C_0805</t>
  </si>
  <si>
    <t>GRM219R71E274KA01D</t>
  </si>
  <si>
    <t>U1,U2</t>
  </si>
  <si>
    <t>LM22679</t>
  </si>
  <si>
    <t>PowerPackages:TI_TO-263</t>
  </si>
  <si>
    <t>LM22679TJ-5.0/NOPB</t>
  </si>
  <si>
    <t>L4</t>
  </si>
  <si>
    <t>15 uH</t>
  </si>
  <si>
    <t>PowerPackages:INDUCTOR_SMD_WURTH_5.4X2.9PADS_9.9SPACE</t>
  </si>
  <si>
    <t>744770115</t>
  </si>
  <si>
    <t>D1,D2</t>
  </si>
  <si>
    <t>Vrrm=40.0V,Vf=510.0 mV</t>
  </si>
  <si>
    <t>PowerPackages:DPAK_TO252AA_CUSTOM</t>
  </si>
  <si>
    <t>VS-50WQ04FNPBF</t>
  </si>
  <si>
    <t>L3</t>
  </si>
  <si>
    <t>40 Ohm FB</t>
  </si>
  <si>
    <t>MI0805K400R-10</t>
  </si>
  <si>
    <t>C4,C5</t>
  </si>
  <si>
    <t>C0805C103K5RACTU</t>
  </si>
  <si>
    <t>R8,R11</t>
  </si>
  <si>
    <t>100</t>
  </si>
  <si>
    <t>RC0603FR-07100RL</t>
  </si>
  <si>
    <t>Board Qty:</t>
  </si>
  <si>
    <t>Total Cost:</t>
  </si>
  <si>
    <t>Unit Cost:</t>
  </si>
  <si>
    <t>Digi-Key</t>
  </si>
  <si>
    <t>Avail</t>
  </si>
  <si>
    <t>Cat#</t>
  </si>
  <si>
    <t>Purch</t>
  </si>
  <si>
    <t>Doc</t>
  </si>
  <si>
    <t>SS12P2L-M3/86AGICT-ND</t>
  </si>
  <si>
    <t>Link</t>
  </si>
  <si>
    <t>490-5314-1-ND</t>
  </si>
  <si>
    <t>768-1007-1-ND</t>
  </si>
  <si>
    <t>S9201-ND</t>
  </si>
  <si>
    <t>P3.30KLCT-ND</t>
  </si>
  <si>
    <t>490-3897-1-ND</t>
  </si>
  <si>
    <t>WM4901-ND</t>
  </si>
  <si>
    <t>311-1.10KHRCT-ND</t>
  </si>
  <si>
    <t>296-42052-1-ND</t>
  </si>
  <si>
    <t>311-6.65KHRCT-ND</t>
  </si>
  <si>
    <t>311-499HRCT-ND</t>
  </si>
  <si>
    <t>490-1524-1-ND</t>
  </si>
  <si>
    <t>311-10.0KHRCT-ND</t>
  </si>
  <si>
    <t>311-2.20KHRCT-ND</t>
  </si>
  <si>
    <t>RCL0.0ECT-ND</t>
  </si>
  <si>
    <t>SRR1208-6R5MLCT-ND</t>
  </si>
  <si>
    <t>P16562CT-ND</t>
  </si>
  <si>
    <t>445-173623-1-ND</t>
  </si>
  <si>
    <t>S9200-ND</t>
  </si>
  <si>
    <t>609-4616-1-ND</t>
  </si>
  <si>
    <t>490-1676-1-ND</t>
  </si>
  <si>
    <t>LM22679TJE-5.0/NOPBCT-ND</t>
  </si>
  <si>
    <t>732-1225-1-ND</t>
  </si>
  <si>
    <t>VS-50WQ04FNPBF-ND</t>
  </si>
  <si>
    <t>240-2389-1-ND</t>
  </si>
  <si>
    <t>399-1158-1-ND</t>
  </si>
  <si>
    <t>311-100HRCT-ND</t>
  </si>
  <si>
    <t>Mouser</t>
  </si>
  <si>
    <t>661-APXE100ARA121MF6</t>
  </si>
  <si>
    <t>895-FT232RL</t>
  </si>
  <si>
    <t>81-GRM188R61E105KA12</t>
  </si>
  <si>
    <t>595-TPS1H100AQPWPRQ1</t>
  </si>
  <si>
    <t>603-RC0603FR-07499RL</t>
  </si>
  <si>
    <t>81-GRM39X104K25</t>
  </si>
  <si>
    <t>71-RCL12250000Z0EG</t>
  </si>
  <si>
    <t>667-35SVPF82M</t>
  </si>
  <si>
    <t>810-C1005X7R1H103KBE</t>
  </si>
  <si>
    <t>81-GRM219R71E274KA1D</t>
  </si>
  <si>
    <t>926-LM22679TJ50NOPB</t>
  </si>
  <si>
    <t>710-744770115</t>
  </si>
  <si>
    <t>844-50WQ04FNPBF</t>
  </si>
  <si>
    <t>Newark</t>
  </si>
  <si>
    <t>75R3235</t>
  </si>
  <si>
    <t>72R7330</t>
  </si>
  <si>
    <t>24R2634</t>
  </si>
  <si>
    <t>64R5278</t>
  </si>
  <si>
    <t>14T3309</t>
  </si>
  <si>
    <t>59H2871</t>
  </si>
  <si>
    <t>68R0043</t>
  </si>
  <si>
    <t>45Y3351</t>
  </si>
  <si>
    <t>66R2495</t>
  </si>
  <si>
    <t>18X9911</t>
  </si>
  <si>
    <t>14T3317</t>
  </si>
  <si>
    <t>68R0049</t>
  </si>
  <si>
    <t>68R0064</t>
  </si>
  <si>
    <t>03Y0135</t>
  </si>
  <si>
    <t>83T0041</t>
  </si>
  <si>
    <t>98W0597</t>
  </si>
  <si>
    <t>67T2259</t>
  </si>
  <si>
    <t>08P2755</t>
  </si>
  <si>
    <t>73K9904</t>
  </si>
  <si>
    <t>67W0066</t>
  </si>
  <si>
    <t>01J3314</t>
  </si>
  <si>
    <t>68R0052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</si>
</sst>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vishay-semiconductor-diodes-division/SS12P2L-M3-86A/SS12P2L-M3-86AGICT-ND/2880315" TargetMode="External"/><Relationship Id="rId2" Type="http://schemas.openxmlformats.org/officeDocument/2006/relationships/hyperlink" Target="http://www.newark.com/webapp/wcs/stores/servlet/Search?catalogId=15003&amp;langId=-1&amp;storeId=10194&amp;gs=true&amp;st=SS12P2L-M3%2F86A" TargetMode="External"/><Relationship Id="rId3" Type="http://schemas.openxmlformats.org/officeDocument/2006/relationships/hyperlink" Target="http://www.mouser.com/Search/Refine.aspx?Keyword=APXE100ARA121MF61G" TargetMode="External"/><Relationship Id="rId4" Type="http://schemas.openxmlformats.org/officeDocument/2006/relationships/hyperlink" Target="http://www.newark.com/webapp/wcs/stores/servlet/Search?catalogId=15003&amp;langId=-1&amp;storeId=10194&amp;gs=true&amp;st=APXE100ARA121MF61G" TargetMode="External"/><Relationship Id="rId5" Type="http://schemas.openxmlformats.org/officeDocument/2006/relationships/hyperlink" Target="http://www.digikey.com/product-detail/en/murata-electronics-north-america/GRM32ER7YA106KA12L/490-5314-1-ND/2039093" TargetMode="External"/><Relationship Id="rId6" Type="http://schemas.openxmlformats.org/officeDocument/2006/relationships/hyperlink" Target="http://www.newark.com/webapp/wcs/stores/servlet/Search?catalogId=15003&amp;langId=-1&amp;storeId=10194&amp;gs=true&amp;st=GRM32ER7YA106KA12L" TargetMode="External"/><Relationship Id="rId7" Type="http://schemas.openxmlformats.org/officeDocument/2006/relationships/hyperlink" Target="http://www.digikey.com/product-detail/en/ftdi-future-technology-devices-international-ltd/FT232RL-REEL/768-1007-1-ND/1836402" TargetMode="External"/><Relationship Id="rId8" Type="http://schemas.openxmlformats.org/officeDocument/2006/relationships/hyperlink" Target="http://www.mouser.com/Search/../ProductDetail/FTDI/FT232RL-REEL/?qs=sGAEpiMZZMtv%252bwxsgy%2fhiB6Z76KqffMClqcDgIugTZc%3d" TargetMode="External"/><Relationship Id="rId9" Type="http://schemas.openxmlformats.org/officeDocument/2006/relationships/hyperlink" Target="http://www.digikey.com/scripts/DkSearch/dksus.dll?WT.z_header=search_go&amp;lang=en&amp;keywords=SFH11-PBPC-D25-ST-BK" TargetMode="External"/><Relationship Id="rId10" Type="http://schemas.openxmlformats.org/officeDocument/2006/relationships/hyperlink" Target="http://www.digikey.com/product-detail/en/panasonic-electronic-components/ERJ-2RKF3301X/P3.30KLCT-ND/1746672" TargetMode="External"/><Relationship Id="rId11" Type="http://schemas.openxmlformats.org/officeDocument/2006/relationships/hyperlink" Target="http://www.newark.com/panasonic-electronic-components/erj-2rkf3301x/res-thick-film-3k3-1-0-1w-0402/dp/64R5278/false" TargetMode="External"/><Relationship Id="rId12" Type="http://schemas.openxmlformats.org/officeDocument/2006/relationships/hyperlink" Target="http://www.digikey.com/product-detail/en/murata-electronics-north-america/GRM188R61E105KA12D/490-3897-1-ND/965939" TargetMode="External"/><Relationship Id="rId13" Type="http://schemas.openxmlformats.org/officeDocument/2006/relationships/hyperlink" Target="http://www.mouser.com/Search/Refine.aspx?Keyword=GRM188R61E105KA12D" TargetMode="External"/><Relationship Id="rId14" Type="http://schemas.openxmlformats.org/officeDocument/2006/relationships/hyperlink" Target="http://www.newark.com/murata/grm188r61e105ka12d/ceramic-capacitor-1uf-25v-x5r/dp/14T3309/false" TargetMode="External"/><Relationship Id="rId15" Type="http://schemas.openxmlformats.org/officeDocument/2006/relationships/hyperlink" Target="http://www.digikey.com/scripts/DkSearch/dksus.dll?WT.z_header=search_go&amp;lang=en&amp;keywords=0705530002" TargetMode="External"/><Relationship Id="rId16" Type="http://schemas.openxmlformats.org/officeDocument/2006/relationships/hyperlink" Target="http://www.newark.com/webapp/wcs/stores/servlet/Search?catalogId=15003&amp;langId=-1&amp;storeId=10194&amp;gs=true&amp;st=0705530002" TargetMode="External"/><Relationship Id="rId17" Type="http://schemas.openxmlformats.org/officeDocument/2006/relationships/hyperlink" Target="http://www.digikey.com/product-detail/en/yageo/RC0603FR-071K1L/311-1.10KHRCT-ND/729795" TargetMode="External"/><Relationship Id="rId18" Type="http://schemas.openxmlformats.org/officeDocument/2006/relationships/hyperlink" Target="http://www.newark.com/yageo/rc0603fr-071k1l/res-thick-film-1k1-1-0-1w-0603/dp/68R0043/false" TargetMode="External"/><Relationship Id="rId19" Type="http://schemas.openxmlformats.org/officeDocument/2006/relationships/hyperlink" Target="http://www.digikey.com/product-detail/en/texas-instruments/TPS1H100AQPWPRQ1/296-42052-1-ND/5235999" TargetMode="External"/><Relationship Id="rId20" Type="http://schemas.openxmlformats.org/officeDocument/2006/relationships/hyperlink" Target="http://www.mouser.com/Search/Refine.aspx?Keyword=TPS1H100AQPWPRQ1" TargetMode="External"/><Relationship Id="rId21" Type="http://schemas.openxmlformats.org/officeDocument/2006/relationships/hyperlink" Target="http://www.newark.com/webapp/wcs/stores/servlet/Search?catalogId=15003&amp;langId=-1&amp;storeId=10194&amp;gs=true&amp;st=TPS1H100AQPWPRQ1" TargetMode="External"/><Relationship Id="rId22" Type="http://schemas.openxmlformats.org/officeDocument/2006/relationships/hyperlink" Target="http://www.digikey.com/product-detail/en/yageo/RC0603FR-076K65L/311-6.65KHRCT-ND/730269" TargetMode="External"/><Relationship Id="rId23" Type="http://schemas.openxmlformats.org/officeDocument/2006/relationships/hyperlink" Target="http://www.newark.com/webapp/wcs/stores/servlet/Search?catalogId=15003&amp;langId=-1&amp;storeId=10194&amp;gs=true&amp;st=RC0603FR-076K65L" TargetMode="External"/><Relationship Id="rId24" Type="http://schemas.openxmlformats.org/officeDocument/2006/relationships/hyperlink" Target="http://www.digikey.com/product-detail/en/yageo/RC0603FR-07499RL/311-499HRCT-ND/730213" TargetMode="External"/><Relationship Id="rId25" Type="http://schemas.openxmlformats.org/officeDocument/2006/relationships/hyperlink" Target="http://www.mouser.com/Search/Refine.aspx?Keyword=RC0603FR-07499RL" TargetMode="External"/><Relationship Id="rId26" Type="http://schemas.openxmlformats.org/officeDocument/2006/relationships/hyperlink" Target="http://www.newark.com/webapp/wcs/stores/servlet/Search?catalogId=15003&amp;langId=-1&amp;storeId=10194&amp;gs=true&amp;st=RC0603FR-07499RL" TargetMode="External"/><Relationship Id="rId27" Type="http://schemas.openxmlformats.org/officeDocument/2006/relationships/hyperlink" Target="http://www.digikey.com/product-detail/en/murata-electronics-north-america/GRM188R71E104KA01D/490-1524-1-ND/587865" TargetMode="External"/><Relationship Id="rId28" Type="http://schemas.openxmlformats.org/officeDocument/2006/relationships/hyperlink" Target="http://www.mouser.com/Search/Refine.aspx?Keyword=GRM188R71E104KA01D" TargetMode="External"/><Relationship Id="rId29" Type="http://schemas.openxmlformats.org/officeDocument/2006/relationships/hyperlink" Target="http://www.newark.com/murata/grm188r71e104ka01d/capacitor-ceramic-0-1uf-10-25v/dp/14T3317/false" TargetMode="External"/><Relationship Id="rId30" Type="http://schemas.openxmlformats.org/officeDocument/2006/relationships/hyperlink" Target="http://www.digikey.com/product-detail/en/yageo/RC0603FR-0710KL/311-10.0KHRCT-ND/729827" TargetMode="External"/><Relationship Id="rId31" Type="http://schemas.openxmlformats.org/officeDocument/2006/relationships/hyperlink" Target="http://www.newark.com/yageo/rc0603fr-0710kl/res-thick-film-10k-1-0-1w-0603/dp/68R0049/false" TargetMode="External"/><Relationship Id="rId32" Type="http://schemas.openxmlformats.org/officeDocument/2006/relationships/hyperlink" Target="http://www.mouser.com/Search/Refine.aspx?Keyword=APXE100ARA121MF61G" TargetMode="External"/><Relationship Id="rId33" Type="http://schemas.openxmlformats.org/officeDocument/2006/relationships/hyperlink" Target="http://www.newark.com/webapp/wcs/stores/servlet/Search?catalogId=15003&amp;langId=-1&amp;storeId=10194&amp;gs=true&amp;st=APXE100ARA121MF61G" TargetMode="External"/><Relationship Id="rId34" Type="http://schemas.openxmlformats.org/officeDocument/2006/relationships/hyperlink" Target="http://www.digikey.com/product-detail/en/yageo/RC0603FR-072K2L/311-2.20KHRCT-ND/729963" TargetMode="External"/><Relationship Id="rId35" Type="http://schemas.openxmlformats.org/officeDocument/2006/relationships/hyperlink" Target="http://www.newark.com/yageo/rc0603fr-072k2l/res-thick-film-2k2-1-0-1w-0603/dp/68R0064/false" TargetMode="External"/><Relationship Id="rId36" Type="http://schemas.openxmlformats.org/officeDocument/2006/relationships/hyperlink" Target="http://www.digikey.com/product-detail/en/vishay-dale/RCL12250000Z0EG/RCL0.0ECT-ND/3029229" TargetMode="External"/><Relationship Id="rId37" Type="http://schemas.openxmlformats.org/officeDocument/2006/relationships/hyperlink" Target="http://www.mouser.com/Search/Refine.aspx?Keyword=RCL12250000Z0EG" TargetMode="External"/><Relationship Id="rId38" Type="http://schemas.openxmlformats.org/officeDocument/2006/relationships/hyperlink" Target="http://www.newark.com/webapp/wcs/stores/servlet/Search?catalogId=15003&amp;langId=-1&amp;storeId=10194&amp;gs=true&amp;st=RCL12250000Z0EG" TargetMode="External"/><Relationship Id="rId39" Type="http://schemas.openxmlformats.org/officeDocument/2006/relationships/hyperlink" Target="http://www.digikey.com/product-detail/en/bourns-inc/SRR1208-6R5ML/SRR1208-6R5MLCT-ND/2353029" TargetMode="External"/><Relationship Id="rId40" Type="http://schemas.openxmlformats.org/officeDocument/2006/relationships/hyperlink" Target="http://www.newark.com/bourns/srr1208-6r5ml/inductor-shielded-6-5uh-8-4a-smd/dp/83T0041/false" TargetMode="External"/><Relationship Id="rId41" Type="http://schemas.openxmlformats.org/officeDocument/2006/relationships/hyperlink" Target="http://www.digikey.com/product-detail/en/vishay-dale/RCL12250000Z0EG/RCL0.0ECT-ND/3029229" TargetMode="External"/><Relationship Id="rId42" Type="http://schemas.openxmlformats.org/officeDocument/2006/relationships/hyperlink" Target="http://www.mouser.com/Search/Refine.aspx?Keyword=RCL12250000Z0EG" TargetMode="External"/><Relationship Id="rId43" Type="http://schemas.openxmlformats.org/officeDocument/2006/relationships/hyperlink" Target="http://www.newark.com/webapp/wcs/stores/servlet/Search?catalogId=15003&amp;langId=-1&amp;storeId=10194&amp;gs=true&amp;st=RCL12250000Z0EG" TargetMode="External"/><Relationship Id="rId44" Type="http://schemas.openxmlformats.org/officeDocument/2006/relationships/hyperlink" Target="http://www.digikey.com/product-detail/en/panasonic-electronic-components/35SVPF82M/P16562CT-ND/4204380" TargetMode="External"/><Relationship Id="rId45" Type="http://schemas.openxmlformats.org/officeDocument/2006/relationships/hyperlink" Target="http://www.mouser.com/Search/Refine.aspx?Keyword=35SVPF82M" TargetMode="External"/><Relationship Id="rId46" Type="http://schemas.openxmlformats.org/officeDocument/2006/relationships/hyperlink" Target="http://www.newark.com/webapp/wcs/stores/servlet/Search?catalogId=15003&amp;langId=-1&amp;storeId=10194&amp;gs=true&amp;st=35SVPF82M" TargetMode="External"/><Relationship Id="rId47" Type="http://schemas.openxmlformats.org/officeDocument/2006/relationships/hyperlink" Target="http://www.digikey.com/product-detail/en/tdk-corporation/C1005X7R1H103K050BE/445-173623-1-ND/5809694" TargetMode="External"/><Relationship Id="rId48" Type="http://schemas.openxmlformats.org/officeDocument/2006/relationships/hyperlink" Target="http://www.mouser.com/Search/Refine.aspx?Keyword=C1005X7R1H103K050BE" TargetMode="External"/><Relationship Id="rId49" Type="http://schemas.openxmlformats.org/officeDocument/2006/relationships/hyperlink" Target="http://www.digikey.com/scripts/DkSearch/dksus.dll?WT.z_header=search_go&amp;lang=en&amp;keywords=SFH11-PBPC-D20-ST-BK" TargetMode="External"/><Relationship Id="rId50" Type="http://schemas.openxmlformats.org/officeDocument/2006/relationships/hyperlink" Target="http://www.digikey.com/product-detail/en/amphenol-fci/10118193-0001LF/609-4616-1-ND/2785380" TargetMode="External"/><Relationship Id="rId51" Type="http://schemas.openxmlformats.org/officeDocument/2006/relationships/hyperlink" Target="http://www.newark.com/webapp/wcs/stores/servlet/Search?catalogId=15003&amp;langId=-1&amp;storeId=10194&amp;gs=true&amp;st=10118193-0001LF" TargetMode="External"/><Relationship Id="rId52" Type="http://schemas.openxmlformats.org/officeDocument/2006/relationships/hyperlink" Target="http://www.digikey.com/product-detail/en/murata-electronics-north-america/GRM219R71E274KA01D/490-1676-1-ND/587482" TargetMode="External"/><Relationship Id="rId53" Type="http://schemas.openxmlformats.org/officeDocument/2006/relationships/hyperlink" Target="http://www.mouser.com/Search/Refine.aspx?Keyword=GRM219R71E274KA01D" TargetMode="External"/><Relationship Id="rId54" Type="http://schemas.openxmlformats.org/officeDocument/2006/relationships/hyperlink" Target="http://www.digikey.com/product-detail/en/texas-instruments/LM22679TJE-5.0-NOPB/LM22679TJE-5.0-NOPBCT-ND/1950805" TargetMode="External"/><Relationship Id="rId55" Type="http://schemas.openxmlformats.org/officeDocument/2006/relationships/hyperlink" Target="http://www.mouser.com/Search/Refine.aspx?Keyword=LM22679TJ-5.0%2FNOPB" TargetMode="External"/><Relationship Id="rId56" Type="http://schemas.openxmlformats.org/officeDocument/2006/relationships/hyperlink" Target="http://www.digikey.com/product-detail/en/wurth-electronics-inc/744770115/732-1225-1-ND/1639286" TargetMode="External"/><Relationship Id="rId57" Type="http://schemas.openxmlformats.org/officeDocument/2006/relationships/hyperlink" Target="http://www.mouser.com/Search/Refine.aspx?Keyword=744770115" TargetMode="External"/><Relationship Id="rId58" Type="http://schemas.openxmlformats.org/officeDocument/2006/relationships/hyperlink" Target="http://www.newark.com/webapp/wcs/stores/servlet/Search?catalogId=15003&amp;langId=-1&amp;storeId=10194&amp;gs=true&amp;st=744770115" TargetMode="External"/><Relationship Id="rId59" Type="http://schemas.openxmlformats.org/officeDocument/2006/relationships/hyperlink" Target="http://www.digikey.com/scripts/DkSearch/dksus.dll?WT.z_header=search_go&amp;lang=en&amp;keywords=VS-50WQ04FNPBF" TargetMode="External"/><Relationship Id="rId60" Type="http://schemas.openxmlformats.org/officeDocument/2006/relationships/hyperlink" Target="http://www.mouser.com/Search/Refine.aspx?Keyword=VS-50WQ04FNPBF" TargetMode="External"/><Relationship Id="rId61" Type="http://schemas.openxmlformats.org/officeDocument/2006/relationships/hyperlink" Target="http://www.newark.com/webapp/wcs/stores/servlet/Search?catalogId=15003&amp;langId=-1&amp;storeId=10194&amp;gs=true&amp;st=VS-50WQ04FNPBF" TargetMode="External"/><Relationship Id="rId62" Type="http://schemas.openxmlformats.org/officeDocument/2006/relationships/hyperlink" Target="http://www.digikey.com/product-detail/en/laird-signal-integrity-products/MI0805K400R-10/240-2389-1-ND/806749" TargetMode="External"/><Relationship Id="rId63" Type="http://schemas.openxmlformats.org/officeDocument/2006/relationships/hyperlink" Target="http://www.newark.com/webapp/wcs/stores/servlet/Search?catalogId=15003&amp;langId=-1&amp;storeId=10194&amp;gs=true&amp;st=MI0805K400R-10" TargetMode="External"/><Relationship Id="rId64" Type="http://schemas.openxmlformats.org/officeDocument/2006/relationships/hyperlink" Target="http://www.digikey.com/product-detail/en/kemet/C0805C103K5RACTU/399-1158-1-ND/411433" TargetMode="External"/><Relationship Id="rId65" Type="http://schemas.openxmlformats.org/officeDocument/2006/relationships/hyperlink" Target="http://www.newark.com/kemet/c0805c103k5ractu/ceramic-capacitor-0-01uf-50v-x7r/dp/01J3314/false" TargetMode="External"/><Relationship Id="rId66" Type="http://schemas.openxmlformats.org/officeDocument/2006/relationships/hyperlink" Target="http://www.digikey.com/product-detail/en/yageo/RC0603FR-07100RL/311-100HRCT-ND/729835" TargetMode="External"/><Relationship Id="rId67" Type="http://schemas.openxmlformats.org/officeDocument/2006/relationships/hyperlink" Target="http://www.newark.com/yageo/rc0603fr-07100rl/res-thick-film-100r-1-0-1w-0603/dp/68R0052/false" TargetMode="External"/><Relationship Id="rId68" Type="http://schemas.openxmlformats.org/officeDocument/2006/relationships/vmlDrawing" Target="../drawings/vmlDrawing1.vml"/><Relationship Id="rId6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120</v>
      </c>
      <c r="I1" s="2">
        <v>100</v>
      </c>
    </row>
    <row r="2" spans="1:27">
      <c r="H2" s="3" t="s">
        <v>121</v>
      </c>
      <c r="I2" s="4">
        <f>sum(I7:I38)</f>
        <v>0</v>
      </c>
      <c r="M2" s="4">
        <f>sum(M7:M38)</f>
        <v>0</v>
      </c>
      <c r="S2" s="4">
        <f>sum(S7:S38)</f>
        <v>0</v>
      </c>
      <c r="Y2" s="4">
        <f>sum(Y7:Y38)</f>
        <v>0</v>
      </c>
    </row>
    <row r="3" spans="1:27">
      <c r="H3" s="3" t="s">
        <v>122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123</v>
      </c>
      <c r="K5" s="7"/>
      <c r="L5" s="7"/>
      <c r="M5" s="7"/>
      <c r="N5" s="7"/>
      <c r="O5" s="7"/>
      <c r="P5" s="8" t="s">
        <v>156</v>
      </c>
      <c r="Q5" s="8"/>
      <c r="R5" s="8"/>
      <c r="S5" s="8"/>
      <c r="T5" s="8"/>
      <c r="U5" s="8"/>
      <c r="V5" s="9" t="s">
        <v>170</v>
      </c>
      <c r="W5" s="9"/>
      <c r="X5" s="9"/>
      <c r="Y5" s="9"/>
      <c r="Z5" s="9"/>
      <c r="AA5" s="9"/>
    </row>
    <row r="6" spans="1:27">
      <c r="A6" s="10" t="s">
        <v>3</v>
      </c>
      <c r="B6" s="10" t="s">
        <v>9</v>
      </c>
      <c r="C6" s="10" t="s">
        <v>2</v>
      </c>
      <c r="D6" s="10" t="s">
        <v>8</v>
      </c>
      <c r="E6" s="10" t="s">
        <v>4</v>
      </c>
      <c r="F6" s="10" t="s">
        <v>7</v>
      </c>
      <c r="G6" s="10" t="s">
        <v>6</v>
      </c>
      <c r="H6" s="10" t="s">
        <v>5</v>
      </c>
      <c r="I6" s="10" t="s">
        <v>1</v>
      </c>
      <c r="J6" s="10" t="s">
        <v>124</v>
      </c>
      <c r="K6" s="10" t="s">
        <v>126</v>
      </c>
      <c r="L6" s="10" t="s">
        <v>5</v>
      </c>
      <c r="M6" s="10" t="s">
        <v>1</v>
      </c>
      <c r="N6" s="10" t="s">
        <v>125</v>
      </c>
      <c r="O6" s="10" t="s">
        <v>127</v>
      </c>
      <c r="P6" s="10" t="s">
        <v>124</v>
      </c>
      <c r="Q6" s="10" t="s">
        <v>126</v>
      </c>
      <c r="R6" s="10" t="s">
        <v>5</v>
      </c>
      <c r="S6" s="10" t="s">
        <v>1</v>
      </c>
      <c r="T6" s="10" t="s">
        <v>125</v>
      </c>
      <c r="U6" s="10" t="s">
        <v>127</v>
      </c>
      <c r="V6" s="10" t="s">
        <v>124</v>
      </c>
      <c r="W6" s="10" t="s">
        <v>126</v>
      </c>
      <c r="X6" s="10" t="s">
        <v>5</v>
      </c>
      <c r="Y6" s="10" t="s">
        <v>1</v>
      </c>
      <c r="Z6" s="10" t="s">
        <v>125</v>
      </c>
      <c r="AA6" s="10" t="s">
        <v>127</v>
      </c>
    </row>
    <row r="7" spans="1:27">
      <c r="A7" t="s">
        <v>10</v>
      </c>
      <c r="B7" t="s">
        <v>11</v>
      </c>
      <c r="D7" t="s">
        <v>12</v>
      </c>
      <c r="F7" t="s">
        <v>13</v>
      </c>
      <c r="G7">
        <f>BoardQty*3</f>
        <v>0</v>
      </c>
      <c r="H7" s="11">
        <f>MINA(INDIRECT(ADDRESS(ROW(),COLUMN(newark_part_data)+2)),INDIRECT(ADDRESS(ROW(),COLUMN(mouser_part_data)+2)),INDIRECT(ADDRESS(ROW(),COLUMN(digikey_part_data)+2)))</f>
        <v>0</v>
      </c>
      <c r="I7" s="11">
        <f>iferror(G7*H7,"")</f>
        <v>0</v>
      </c>
      <c r="J7">
        <v>1215</v>
      </c>
      <c r="L7" s="11">
        <f>iferror(lookup(if(K7="",G7,K7),{0,1,10,100,500,1500,3000,6500,7500,10500,37500,75000},{0.0,0.93,0.835,0.6513,0.5386,0.4122,0.38472,0.36548,0.36548,0.35174,0.34075,0.32976}),"")</f>
        <v>0</v>
      </c>
      <c r="M7" s="11">
        <f>iferror(if(K7="",G7,K7)*L7,"")</f>
        <v>0</v>
      </c>
      <c r="N7" t="s">
        <v>128</v>
      </c>
      <c r="O7" s="12" t="s">
        <v>129</v>
      </c>
      <c r="V7">
        <v>31</v>
      </c>
      <c r="X7" s="11">
        <f>iferror(lookup(if(W7="",G7,W7),{0,1,10,100,500,1000,2500},{0.0,1.6,1.34,1.17,1.05,0.789,0.638}),"")</f>
        <v>0</v>
      </c>
      <c r="Y7" s="11">
        <f>iferror(if(W7="",G7,W7)*X7,"")</f>
        <v>0</v>
      </c>
      <c r="Z7" t="s">
        <v>171</v>
      </c>
      <c r="AA7" s="12" t="s">
        <v>129</v>
      </c>
    </row>
    <row r="8" spans="1:27">
      <c r="A8" t="s">
        <v>14</v>
      </c>
      <c r="B8" t="s">
        <v>15</v>
      </c>
      <c r="D8" t="s">
        <v>16</v>
      </c>
      <c r="F8" t="s">
        <v>17</v>
      </c>
      <c r="G8">
        <f>BoardQty*2</f>
        <v>0</v>
      </c>
      <c r="H8" s="11">
        <f>MINA(INDIRECT(ADDRESS(ROW(),COLUMN(newark_part_data)+2)),INDIRECT(ADDRESS(ROW(),COLUMN(mouser_part_data)+2)),INDIRECT(ADDRESS(ROW(),COLUMN(digikey_part_data)+2)))</f>
        <v>0</v>
      </c>
      <c r="I8" s="11">
        <f>iferror(G8*H8,"")</f>
        <v>0</v>
      </c>
      <c r="P8">
        <v>891</v>
      </c>
      <c r="R8" s="11">
        <f>iferror(lookup(if(Q8="",G8,Q8),{0,1,10,100,500,1000,2000,5000,10000,25000},{0.0,1.45,1.19,0.691,0.619,0.432,0.402,0.389,0.374,0.362}),"")</f>
        <v>0</v>
      </c>
      <c r="S8" s="11">
        <f>iferror(if(Q8="",G8,Q8)*R8,"")</f>
        <v>0</v>
      </c>
      <c r="T8" t="s">
        <v>157</v>
      </c>
      <c r="U8" s="12" t="s">
        <v>129</v>
      </c>
      <c r="V8">
        <v>0</v>
      </c>
      <c r="X8" s="11">
        <f>iferror(lookup(if(W8="",G8,W8),{0},{0.0}),"")</f>
        <v>0</v>
      </c>
      <c r="Y8" s="11">
        <f>iferror(if(W8="",G8,W8)*X8,"")</f>
        <v>0</v>
      </c>
      <c r="Z8" t="s">
        <v>172</v>
      </c>
      <c r="AA8" s="12" t="s">
        <v>129</v>
      </c>
    </row>
    <row r="9" spans="1:27">
      <c r="A9" t="s">
        <v>18</v>
      </c>
      <c r="B9" t="s">
        <v>19</v>
      </c>
      <c r="D9" t="s">
        <v>20</v>
      </c>
      <c r="F9" t="s">
        <v>21</v>
      </c>
      <c r="G9">
        <f>BoardQty*5</f>
        <v>0</v>
      </c>
      <c r="H9" s="11">
        <f>MINA(INDIRECT(ADDRESS(ROW(),COLUMN(newark_part_data)+2)),INDIRECT(ADDRESS(ROW(),COLUMN(mouser_part_data)+2)),INDIRECT(ADDRESS(ROW(),COLUMN(digikey_part_data)+2)))</f>
        <v>0</v>
      </c>
      <c r="I9" s="11">
        <f>iferror(G9*H9,"")</f>
        <v>0</v>
      </c>
      <c r="J9">
        <v>33046</v>
      </c>
      <c r="L9" s="11">
        <f>iferror(lookup(if(K9="",G9,K9),{0,1,10,50,100,250,500,1000,2000,4000,5000,10000,25000,50000,100000},{0.0,0.88,0.742,0.546,0.434,0.364,0.329,0.224,0.21,0.196,0.196,0.189,0.182,0.1785,0.1715}),"")</f>
        <v>0</v>
      </c>
      <c r="M9" s="11">
        <f>iferror(if(K9="",G9,K9)*L9,"")</f>
        <v>0</v>
      </c>
      <c r="N9" t="s">
        <v>130</v>
      </c>
      <c r="O9" s="12" t="s">
        <v>129</v>
      </c>
      <c r="V9">
        <v>2697</v>
      </c>
      <c r="X9" s="11">
        <f>iferror(lookup(if(W9="",G9,W9),{0,1,250,500,1000,5000},{0.0,1.31,1.18,1.05,0.945,0.647}),"")</f>
        <v>0</v>
      </c>
      <c r="Y9" s="11">
        <f>iferror(if(W9="",G9,W9)*X9,"")</f>
        <v>0</v>
      </c>
      <c r="Z9" t="s">
        <v>173</v>
      </c>
      <c r="AA9" s="12" t="s">
        <v>129</v>
      </c>
    </row>
    <row r="10" spans="1:27">
      <c r="A10" t="s">
        <v>22</v>
      </c>
      <c r="B10" t="s">
        <v>23</v>
      </c>
      <c r="D10" t="s">
        <v>24</v>
      </c>
      <c r="F10" t="s">
        <v>25</v>
      </c>
      <c r="G10">
        <f>BoardQty*1</f>
        <v>0</v>
      </c>
      <c r="H10" s="11">
        <f>MINA(INDIRECT(ADDRESS(ROW(),COLUMN(newark_part_data)+2)),INDIRECT(ADDRESS(ROW(),COLUMN(mouser_part_data)+2)),INDIRECT(ADDRESS(ROW(),COLUMN(digikey_part_data)+2)))</f>
        <v>0</v>
      </c>
      <c r="I10" s="11">
        <f>iferror(G10*H10,"")</f>
        <v>0</v>
      </c>
      <c r="J10">
        <v>160198</v>
      </c>
      <c r="L10" s="11">
        <f>iferror(lookup(if(K10="",G10,K10),{0,1,10,50,100,188,250,500,2000},{0.0,4.5,4.05,3.85,3.65,3.65,3.25,2.85,2.65001}),"")</f>
        <v>0</v>
      </c>
      <c r="M10" s="11">
        <f>iferror(if(K10="",G10,K10)*L10,"")</f>
        <v>0</v>
      </c>
      <c r="N10" t="s">
        <v>131</v>
      </c>
      <c r="O10" s="12" t="s">
        <v>129</v>
      </c>
      <c r="P10">
        <v>133606</v>
      </c>
      <c r="R10" s="11">
        <f>iferror(lookup(if(Q10="",G10,Q10),{0,1,10,50,100,250,500,1000,2000,2500},{0.0,4.49,4.03,3.84,3.64,3.24,2.84,2.64,2.64,2.34}),"")</f>
        <v>0</v>
      </c>
      <c r="S10" s="11">
        <f>iferror(if(Q10="",G10,Q10)*R10,"")</f>
        <v>0</v>
      </c>
      <c r="T10" t="s">
        <v>158</v>
      </c>
      <c r="U10" s="12" t="s">
        <v>129</v>
      </c>
    </row>
    <row r="11" spans="1:27">
      <c r="A11" t="s">
        <v>26</v>
      </c>
      <c r="B11" t="s">
        <v>27</v>
      </c>
      <c r="D11" t="s">
        <v>28</v>
      </c>
      <c r="F11" t="s">
        <v>29</v>
      </c>
      <c r="G11">
        <f>BoardQty*2</f>
        <v>0</v>
      </c>
      <c r="H11" s="11">
        <f>MINA(INDIRECT(ADDRESS(ROW(),COLUMN(newark_part_data)+2)),INDIRECT(ADDRESS(ROW(),COLUMN(mouser_part_data)+2)),INDIRECT(ADDRESS(ROW(),COLUMN(digikey_part_data)+2)))</f>
        <v>0</v>
      </c>
      <c r="I11" s="11">
        <f>iferror(G11*H11,"")</f>
        <v>0</v>
      </c>
      <c r="J11">
        <v>3132</v>
      </c>
      <c r="L11" s="11">
        <f>iferror(lookup(if(K11="",G11,K11),{0,1,10,25,50,100,250,500,1000,2500},{0.0,2.89,2.393,2.2432,1.994,1.7946,1.65504,1.4955,1.32601,1.27118}),"")</f>
        <v>0</v>
      </c>
      <c r="M11" s="11">
        <f>iferror(if(K11="",G11,K11)*L11,"")</f>
        <v>0</v>
      </c>
      <c r="N11" t="s">
        <v>132</v>
      </c>
      <c r="O11" s="12" t="s">
        <v>129</v>
      </c>
    </row>
    <row r="12" spans="1:27">
      <c r="A12" t="s">
        <v>30</v>
      </c>
      <c r="B12" t="s">
        <v>31</v>
      </c>
      <c r="D12" t="s">
        <v>32</v>
      </c>
      <c r="F12" t="s">
        <v>33</v>
      </c>
      <c r="G12">
        <f>BoardQty*3</f>
        <v>0</v>
      </c>
      <c r="H12" s="11">
        <f>MINA(INDIRECT(ADDRESS(ROW(),COLUMN(newark_part_data)+2)),INDIRECT(ADDRESS(ROW(),COLUMN(mouser_part_data)+2)),INDIRECT(ADDRESS(ROW(),COLUMN(digikey_part_data)+2)))</f>
        <v>0</v>
      </c>
      <c r="I12" s="11">
        <f>iferror(G12*H12,"")</f>
        <v>0</v>
      </c>
      <c r="J12">
        <v>941143</v>
      </c>
      <c r="L12" s="11">
        <f>iferror(lookup(if(K12="",G12,K12),{0,1,50,100,250,500,1000,5000,10000,30000,50000,100000},{0.0,0.1,0.015,0.011,0.0084,0.00674,0.00496,0.00355,0.00281,0.00247,0.00226,0.00222}),"")</f>
        <v>0</v>
      </c>
      <c r="M12" s="11">
        <f>iferror(if(K12="",G12,K12)*L12,"")</f>
        <v>0</v>
      </c>
      <c r="N12" t="s">
        <v>133</v>
      </c>
      <c r="O12" s="12" t="s">
        <v>129</v>
      </c>
      <c r="V12">
        <v>5891</v>
      </c>
      <c r="X12" s="11">
        <f>iferror(lookup(if(W12="",G12,W12),{0,1,50,100,250,500,1000,5000},{0.0,0.083,0.016,0.012,0.009,0.007,0.005,0.004}),"")</f>
        <v>0</v>
      </c>
      <c r="Y12" s="11">
        <f>iferror(if(W12="",G12,W12)*X12,"")</f>
        <v>0</v>
      </c>
      <c r="Z12" t="s">
        <v>174</v>
      </c>
      <c r="AA12" s="12" t="s">
        <v>129</v>
      </c>
    </row>
    <row r="13" spans="1:27">
      <c r="A13" t="s">
        <v>34</v>
      </c>
      <c r="B13" t="s">
        <v>35</v>
      </c>
      <c r="D13" t="s">
        <v>36</v>
      </c>
      <c r="F13" t="s">
        <v>37</v>
      </c>
      <c r="G13">
        <f>BoardQty*4</f>
        <v>0</v>
      </c>
      <c r="H13" s="11">
        <f>MINA(INDIRECT(ADDRESS(ROW(),COLUMN(newark_part_data)+2)),INDIRECT(ADDRESS(ROW(),COLUMN(mouser_part_data)+2)),INDIRECT(ADDRESS(ROW(),COLUMN(digikey_part_data)+2)))</f>
        <v>0</v>
      </c>
      <c r="I13" s="11">
        <f>iferror(G13*H13,"")</f>
        <v>0</v>
      </c>
      <c r="J13">
        <v>2075418</v>
      </c>
      <c r="L13" s="11">
        <f>iferror(lookup(if(K13="",G13,K13),{0,1,10,50,100,250,500,1000,4000,8000,12000,28000,100000},{0.0,0.1,0.036,0.0196,0.0165,0.01352,0.01156,0.009,0.0069,0.0063,0.006,0.0057,0.00413}),"")</f>
        <v>0</v>
      </c>
      <c r="M13" s="11">
        <f>iferror(if(K13="",G13,K13)*L13,"")</f>
        <v>0</v>
      </c>
      <c r="N13" t="s">
        <v>134</v>
      </c>
      <c r="O13" s="12" t="s">
        <v>129</v>
      </c>
      <c r="P13">
        <v>431640</v>
      </c>
      <c r="R13" s="11">
        <f>iferror(lookup(if(Q13="",G13,Q13),{0,1,10,100,1000,4000},{0.0,0.099,0.019,0.011,0.009,0.005}),"")</f>
        <v>0</v>
      </c>
      <c r="S13" s="11">
        <f>iferror(if(Q13="",G13,Q13)*R13,"")</f>
        <v>0</v>
      </c>
      <c r="T13" t="s">
        <v>159</v>
      </c>
      <c r="U13" s="12" t="s">
        <v>129</v>
      </c>
      <c r="V13">
        <v>881</v>
      </c>
      <c r="X13" s="11">
        <f>iferror(lookup(if(W13="",G13,W13),{0,1,250,500,1000,5000},{0.0,0.039,0.035,0.031,0.028,0.019}),"")</f>
        <v>0</v>
      </c>
      <c r="Y13" s="11">
        <f>iferror(if(W13="",G13,W13)*X13,"")</f>
        <v>0</v>
      </c>
      <c r="Z13" t="s">
        <v>175</v>
      </c>
      <c r="AA13" s="12" t="s">
        <v>129</v>
      </c>
    </row>
    <row r="14" spans="1:27">
      <c r="A14" t="s">
        <v>38</v>
      </c>
      <c r="B14" t="s">
        <v>39</v>
      </c>
      <c r="D14" t="s">
        <v>40</v>
      </c>
      <c r="F14" t="s">
        <v>41</v>
      </c>
      <c r="G14">
        <f>BoardQty*10</f>
        <v>0</v>
      </c>
      <c r="H14" s="11">
        <f>MINA(INDIRECT(ADDRESS(ROW(),COLUMN(newark_part_data)+2)),INDIRECT(ADDRESS(ROW(),COLUMN(mouser_part_data)+2)),INDIRECT(ADDRESS(ROW(),COLUMN(digikey_part_data)+2)))</f>
        <v>0</v>
      </c>
      <c r="I14" s="11">
        <f>iferror(G14*H14,"")</f>
        <v>0</v>
      </c>
      <c r="J14">
        <v>7010</v>
      </c>
      <c r="L14" s="11">
        <f>iferror(lookup(if(K14="",G14,K14),{0,1,10,50,100,250,500,1000,2500,5000},{0.0,1.06,0.935,0.8436,0.807,0.7336,0.66024,0.58688,0.53186,0.51352}),"")</f>
        <v>0</v>
      </c>
      <c r="M14" s="11">
        <f>iferror(if(K14="",G14,K14)*L14,"")</f>
        <v>0</v>
      </c>
      <c r="N14" t="s">
        <v>135</v>
      </c>
      <c r="O14" s="12" t="s">
        <v>129</v>
      </c>
      <c r="V14">
        <v>960</v>
      </c>
      <c r="X14" s="11">
        <f>iferror(lookup(if(W14="",G14,W14),{0,1,10,100,500,1000,2000},{0.0,0.97,0.814,0.778,0.713,0.631,0.532}),"")</f>
        <v>0</v>
      </c>
      <c r="Y14" s="11">
        <f>iferror(if(W14="",G14,W14)*X14,"")</f>
        <v>0</v>
      </c>
      <c r="Z14" t="s">
        <v>176</v>
      </c>
      <c r="AA14" s="12" t="s">
        <v>129</v>
      </c>
    </row>
    <row r="15" spans="1:27">
      <c r="A15" t="s">
        <v>42</v>
      </c>
      <c r="B15" t="s">
        <v>43</v>
      </c>
      <c r="D15" t="s">
        <v>44</v>
      </c>
      <c r="F15" t="s">
        <v>45</v>
      </c>
      <c r="G15">
        <f>BoardQty*2</f>
        <v>0</v>
      </c>
      <c r="H15" s="11">
        <f>MINA(INDIRECT(ADDRESS(ROW(),COLUMN(newark_part_data)+2)),INDIRECT(ADDRESS(ROW(),COLUMN(mouser_part_data)+2)),INDIRECT(ADDRESS(ROW(),COLUMN(digikey_part_data)+2)))</f>
        <v>0</v>
      </c>
      <c r="I15" s="11">
        <f>iferror(G15*H15,"")</f>
        <v>0</v>
      </c>
      <c r="J15">
        <v>267343</v>
      </c>
      <c r="L15" s="11">
        <f>iferror(lookup(if(K15="",G15,K15),{0,1,10,25,100,250,500,1000,2500,5000,10000,25000,50000,125000},{0.0,0.1,0.014,0.01,0.0057,0.00436,0.00348,0.00257,0.00223,0.00167,0.00145,0.00128,0.00117,0.00115}),"")</f>
        <v>0</v>
      </c>
      <c r="M15" s="11">
        <f>iferror(if(K15="",G15,K15)*L15,"")</f>
        <v>0</v>
      </c>
      <c r="N15" t="s">
        <v>136</v>
      </c>
      <c r="O15" s="12" t="s">
        <v>129</v>
      </c>
      <c r="V15">
        <v>4226</v>
      </c>
      <c r="X15" s="11">
        <f>iferror(lookup(if(W15="",G15,W15),{0,1,10,25,100,250,1000},{0.0,0.08,0.014,0.01,0.006,0.004,0.003}),"")</f>
        <v>0</v>
      </c>
      <c r="Y15" s="11">
        <f>iferror(if(W15="",G15,W15)*X15,"")</f>
        <v>0</v>
      </c>
      <c r="Z15" t="s">
        <v>177</v>
      </c>
      <c r="AA15" s="12" t="s">
        <v>129</v>
      </c>
    </row>
    <row r="16" spans="1:27">
      <c r="A16" t="s">
        <v>46</v>
      </c>
      <c r="B16" t="s">
        <v>47</v>
      </c>
      <c r="D16" t="s">
        <v>48</v>
      </c>
      <c r="F16" t="s">
        <v>47</v>
      </c>
      <c r="G16">
        <f>BoardQty*3</f>
        <v>0</v>
      </c>
      <c r="H16" s="11">
        <f>MINA(INDIRECT(ADDRESS(ROW(),COLUMN(newark_part_data)+2)),INDIRECT(ADDRESS(ROW(),COLUMN(mouser_part_data)+2)),INDIRECT(ADDRESS(ROW(),COLUMN(digikey_part_data)+2)))</f>
        <v>0</v>
      </c>
      <c r="I16" s="11">
        <f>iferror(G16*H16,"")</f>
        <v>0</v>
      </c>
      <c r="J16">
        <v>8551</v>
      </c>
      <c r="L16" s="11">
        <f>iferror(lookup(if(K16="",G16,K16),{0,1,10,100,500,1000,2000},{0.0,3.44,3.087,2.5326,2.1546,1.575,1.575}),"")</f>
        <v>0</v>
      </c>
      <c r="M16" s="11">
        <f>iferror(if(K16="",G16,K16)*L16,"")</f>
        <v>0</v>
      </c>
      <c r="N16" t="s">
        <v>137</v>
      </c>
      <c r="O16" s="12" t="s">
        <v>129</v>
      </c>
      <c r="P16">
        <v>1992</v>
      </c>
      <c r="R16" s="11">
        <f>iferror(lookup(if(Q16="",G16,Q16),{0,1,10,25,50,100,250,500,1000,2000},{0.0,3.28,2.95,2.75,2.61,2.42,2.3,2.06,1.59,1.59}),"")</f>
        <v>0</v>
      </c>
      <c r="S16" s="11">
        <f>iferror(if(Q16="",G16,Q16)*R16,"")</f>
        <v>0</v>
      </c>
      <c r="T16" t="s">
        <v>160</v>
      </c>
      <c r="U16" s="12" t="s">
        <v>129</v>
      </c>
      <c r="V16">
        <v>0</v>
      </c>
      <c r="X16" s="11">
        <f>iferror(lookup(if(W16="",G16,W16),{0,1,2000},{0.0,1.58,1.58}),"")</f>
        <v>0</v>
      </c>
      <c r="Y16" s="11">
        <f>iferror(if(W16="",G16,W16)*X16,"")</f>
        <v>0</v>
      </c>
      <c r="Z16" t="s">
        <v>178</v>
      </c>
      <c r="AA16" s="12" t="s">
        <v>129</v>
      </c>
    </row>
    <row r="17" spans="1:27">
      <c r="A17" t="s">
        <v>49</v>
      </c>
      <c r="B17" t="s">
        <v>50</v>
      </c>
      <c r="D17" t="s">
        <v>44</v>
      </c>
      <c r="F17" t="s">
        <v>51</v>
      </c>
      <c r="G17">
        <f>BoardQty*1</f>
        <v>0</v>
      </c>
      <c r="H17" s="11">
        <f>MINA(INDIRECT(ADDRESS(ROW(),COLUMN(newark_part_data)+2)),INDIRECT(ADDRESS(ROW(),COLUMN(mouser_part_data)+2)),INDIRECT(ADDRESS(ROW(),COLUMN(digikey_part_data)+2)))</f>
        <v>0</v>
      </c>
      <c r="I17" s="11">
        <f>iferror(G17*H17,"")</f>
        <v>0</v>
      </c>
      <c r="J17">
        <v>81365</v>
      </c>
      <c r="L17" s="11">
        <f>iferror(lookup(if(K17="",G17,K17),{0,1,10,25,100,250,500,1000,2500,5000,10000,25000,50000,125000},{0.0,0.1,0.014,0.01,0.0057,0.00436,0.00348,0.00257,0.00223,0.00167,0.00145,0.00128,0.00117,0.00115}),"")</f>
        <v>0</v>
      </c>
      <c r="M17" s="11">
        <f>iferror(if(K17="",G17,K17)*L17,"")</f>
        <v>0</v>
      </c>
      <c r="N17" t="s">
        <v>138</v>
      </c>
      <c r="O17" s="12" t="s">
        <v>129</v>
      </c>
      <c r="V17">
        <v>0</v>
      </c>
      <c r="X17" s="11">
        <f>iferror(lookup(if(W17="",G17,W17),{0,1,25000},{0.0,0.001,0.001}),"")</f>
        <v>0</v>
      </c>
      <c r="Y17" s="11">
        <f>iferror(if(W17="",G17,W17)*X17,"")</f>
        <v>0</v>
      </c>
      <c r="Z17" t="s">
        <v>179</v>
      </c>
      <c r="AA17" s="12" t="s">
        <v>129</v>
      </c>
    </row>
    <row r="18" spans="1:27">
      <c r="A18" t="s">
        <v>52</v>
      </c>
      <c r="B18" t="s">
        <v>53</v>
      </c>
      <c r="D18" t="s">
        <v>44</v>
      </c>
      <c r="F18" t="s">
        <v>54</v>
      </c>
      <c r="G18">
        <f>BoardQty*2</f>
        <v>0</v>
      </c>
      <c r="H18" s="11">
        <f>MINA(INDIRECT(ADDRESS(ROW(),COLUMN(newark_part_data)+2)),INDIRECT(ADDRESS(ROW(),COLUMN(mouser_part_data)+2)),INDIRECT(ADDRESS(ROW(),COLUMN(digikey_part_data)+2)))</f>
        <v>0</v>
      </c>
      <c r="I18" s="11">
        <f>iferror(G18*H18,"")</f>
        <v>0</v>
      </c>
      <c r="J18">
        <v>660533</v>
      </c>
      <c r="L18" s="11">
        <f>iferror(lookup(if(K18="",G18,K18),{0,1,10,25,100,250,500,1000,2500,5000,10000,25000,50000,125000},{0.0,0.1,0.014,0.01,0.0057,0.00436,0.00348,0.00257,0.00223,0.00167,0.00145,0.00128,0.00117,0.00115}),"")</f>
        <v>0</v>
      </c>
      <c r="M18" s="11">
        <f>iferror(if(K18="",G18,K18)*L18,"")</f>
        <v>0</v>
      </c>
      <c r="N18" t="s">
        <v>139</v>
      </c>
      <c r="O18" s="12" t="s">
        <v>129</v>
      </c>
      <c r="P18">
        <v>86251</v>
      </c>
      <c r="R18" s="11">
        <f>iferror(lookup(if(Q18="",G18,Q18),{0,1,10,100,1000,5000,10000},{0.0,0.099,0.01,0.003,0.002,0.002,0.001}),"")</f>
        <v>0</v>
      </c>
      <c r="S18" s="11">
        <f>iferror(if(Q18="",G18,Q18)*R18,"")</f>
        <v>0</v>
      </c>
      <c r="T18" t="s">
        <v>161</v>
      </c>
      <c r="U18" s="12" t="s">
        <v>129</v>
      </c>
      <c r="V18">
        <v>0</v>
      </c>
      <c r="X18" s="11">
        <f>iferror(lookup(if(W18="",G18,W18),{0,1,1000},{0.0,0.007,0.007}),"")</f>
        <v>0</v>
      </c>
      <c r="Y18" s="11">
        <f>iferror(if(W18="",G18,W18)*X18,"")</f>
        <v>0</v>
      </c>
      <c r="Z18" t="s">
        <v>180</v>
      </c>
      <c r="AA18" s="12" t="s">
        <v>129</v>
      </c>
    </row>
    <row r="19" spans="1:27">
      <c r="A19" t="s">
        <v>55</v>
      </c>
      <c r="B19" t="s">
        <v>56</v>
      </c>
      <c r="D19" t="s">
        <v>57</v>
      </c>
      <c r="G19">
        <f>BoardQty*8</f>
        <v>0</v>
      </c>
      <c r="H19" s="11">
        <f>MINA(INDIRECT(ADDRESS(ROW(),COLUMN(newark_part_data)+2)),INDIRECT(ADDRESS(ROW(),COLUMN(mouser_part_data)+2)),INDIRECT(ADDRESS(ROW(),COLUMN(digikey_part_data)+2)))</f>
        <v>0</v>
      </c>
      <c r="I19" s="11">
        <f>iferror(G19*H19,"")</f>
        <v>0</v>
      </c>
    </row>
    <row r="20" spans="1:27">
      <c r="A20" t="s">
        <v>58</v>
      </c>
      <c r="B20" t="s">
        <v>59</v>
      </c>
      <c r="D20" t="s">
        <v>36</v>
      </c>
      <c r="F20" t="s">
        <v>60</v>
      </c>
      <c r="G20">
        <f>BoardQty*3</f>
        <v>0</v>
      </c>
      <c r="H20" s="11">
        <f>MINA(INDIRECT(ADDRESS(ROW(),COLUMN(newark_part_data)+2)),INDIRECT(ADDRESS(ROW(),COLUMN(mouser_part_data)+2)),INDIRECT(ADDRESS(ROW(),COLUMN(digikey_part_data)+2)))</f>
        <v>0</v>
      </c>
      <c r="I20" s="11">
        <f>iferror(G20*H20,"")</f>
        <v>0</v>
      </c>
      <c r="J20">
        <v>3233370</v>
      </c>
      <c r="L20" s="11">
        <f>iferror(lookup(if(K20="",G20,K20),{0,1,10,50,100,250,500,1000,4000,8000,12000,28000,100000},{0.0,0.1,0.019,0.0104,0.0088,0.0072,0.00616,0.0048,0.00368,0.00336,0.0032,0.00304,0.0022}),"")</f>
        <v>0</v>
      </c>
      <c r="M20" s="11">
        <f>iferror(if(K20="",G20,K20)*L20,"")</f>
        <v>0</v>
      </c>
      <c r="N20" t="s">
        <v>140</v>
      </c>
      <c r="O20" s="12" t="s">
        <v>129</v>
      </c>
      <c r="P20">
        <v>1536400</v>
      </c>
      <c r="R20" s="11">
        <f>iferror(lookup(if(Q20="",G20,Q20),{0,1,10,100,1000,4000,8000,24000,48000,100000},{0.0,0.316,0.039,0.024,0.019,0.015,0.013,0.012,0.011,0.009}),"")</f>
        <v>0</v>
      </c>
      <c r="S20" s="11">
        <f>iferror(if(Q20="",G20,Q20)*R20,"")</f>
        <v>0</v>
      </c>
      <c r="T20" t="s">
        <v>162</v>
      </c>
      <c r="U20" s="12" t="s">
        <v>129</v>
      </c>
      <c r="V20">
        <v>5507</v>
      </c>
      <c r="X20" s="11">
        <f>iferror(lookup(if(W20="",G20,W20),{0,1,250,500,1000,5000},{0.0,0.041,0.037,0.033,0.029,0.02}),"")</f>
        <v>0</v>
      </c>
      <c r="Y20" s="11">
        <f>iferror(if(W20="",G20,W20)*X20,"")</f>
        <v>0</v>
      </c>
      <c r="Z20" t="s">
        <v>181</v>
      </c>
      <c r="AA20" s="12" t="s">
        <v>129</v>
      </c>
    </row>
    <row r="21" spans="1:27">
      <c r="A21" t="s">
        <v>61</v>
      </c>
      <c r="B21" t="s">
        <v>62</v>
      </c>
      <c r="D21" t="s">
        <v>44</v>
      </c>
      <c r="F21" t="s">
        <v>63</v>
      </c>
      <c r="G21">
        <f>BoardQty*1</f>
        <v>0</v>
      </c>
      <c r="H21" s="11">
        <f>MINA(INDIRECT(ADDRESS(ROW(),COLUMN(newark_part_data)+2)),INDIRECT(ADDRESS(ROW(),COLUMN(mouser_part_data)+2)),INDIRECT(ADDRESS(ROW(),COLUMN(digikey_part_data)+2)))</f>
        <v>0</v>
      </c>
      <c r="I21" s="11">
        <f>iferror(G21*H21,"")</f>
        <v>0</v>
      </c>
      <c r="J21">
        <v>9272641</v>
      </c>
      <c r="L21" s="11">
        <f>iferror(lookup(if(K21="",G21,K21),{0,1,10,25,100,250,500,1000,2500,5000,10000,25000,50000,125000},{0.0,0.1,0.014,0.01,0.0057,0.00436,0.00348,0.00257,0.00223,0.00167,0.00145,0.00128,0.00117,0.00115}),"")</f>
        <v>0</v>
      </c>
      <c r="M21" s="11">
        <f>iferror(if(K21="",G21,K21)*L21,"")</f>
        <v>0</v>
      </c>
      <c r="N21" t="s">
        <v>141</v>
      </c>
      <c r="O21" s="12" t="s">
        <v>129</v>
      </c>
      <c r="V21">
        <v>3582</v>
      </c>
      <c r="X21" s="11">
        <f>iferror(lookup(if(W21="",G21,W21),{0,1,10,25,100,250,1000},{0.0,0.08,0.014,0.01,0.006,0.004,0.003}),"")</f>
        <v>0</v>
      </c>
      <c r="Y21" s="11">
        <f>iferror(if(W21="",G21,W21)*X21,"")</f>
        <v>0</v>
      </c>
      <c r="Z21" t="s">
        <v>182</v>
      </c>
      <c r="AA21" s="12" t="s">
        <v>129</v>
      </c>
    </row>
    <row r="22" spans="1:27">
      <c r="A22" t="s">
        <v>64</v>
      </c>
      <c r="B22" t="s">
        <v>15</v>
      </c>
      <c r="D22" t="s">
        <v>16</v>
      </c>
      <c r="F22" t="s">
        <v>17</v>
      </c>
      <c r="G22">
        <f>BoardQty*2</f>
        <v>0</v>
      </c>
      <c r="H22" s="11">
        <f>MINA(INDIRECT(ADDRESS(ROW(),COLUMN(newark_part_data)+2)),INDIRECT(ADDRESS(ROW(),COLUMN(mouser_part_data)+2)),INDIRECT(ADDRESS(ROW(),COLUMN(digikey_part_data)+2)))</f>
        <v>0</v>
      </c>
      <c r="I22" s="11">
        <f>iferror(G22*H22,"")</f>
        <v>0</v>
      </c>
      <c r="P22">
        <v>891</v>
      </c>
      <c r="R22" s="11">
        <f>iferror(lookup(if(Q22="",G22,Q22),{0,1,10,100,500,1000,2000,5000,10000,25000},{0.0,1.45,1.19,0.691,0.619,0.432,0.402,0.389,0.374,0.362}),"")</f>
        <v>0</v>
      </c>
      <c r="S22" s="11">
        <f>iferror(if(Q22="",G22,Q22)*R22,"")</f>
        <v>0</v>
      </c>
      <c r="T22" t="s">
        <v>157</v>
      </c>
      <c r="U22" s="12" t="s">
        <v>129</v>
      </c>
      <c r="V22">
        <v>0</v>
      </c>
      <c r="X22" s="11">
        <f>iferror(lookup(if(W22="",G22,W22),{0},{0.0}),"")</f>
        <v>0</v>
      </c>
      <c r="Y22" s="11">
        <f>iferror(if(W22="",G22,W22)*X22,"")</f>
        <v>0</v>
      </c>
      <c r="Z22" t="s">
        <v>172</v>
      </c>
      <c r="AA22" s="12" t="s">
        <v>129</v>
      </c>
    </row>
    <row r="23" spans="1:27">
      <c r="A23" t="s">
        <v>65</v>
      </c>
      <c r="B23" t="s">
        <v>66</v>
      </c>
      <c r="D23" t="s">
        <v>44</v>
      </c>
      <c r="F23" t="s">
        <v>67</v>
      </c>
      <c r="G23">
        <f>BoardQty*1</f>
        <v>0</v>
      </c>
      <c r="H23" s="11">
        <f>MINA(INDIRECT(ADDRESS(ROW(),COLUMN(newark_part_data)+2)),INDIRECT(ADDRESS(ROW(),COLUMN(mouser_part_data)+2)),INDIRECT(ADDRESS(ROW(),COLUMN(digikey_part_data)+2)))</f>
        <v>0</v>
      </c>
      <c r="I23" s="11">
        <f>iferror(G23*H23,"")</f>
        <v>0</v>
      </c>
      <c r="J23">
        <v>726108</v>
      </c>
      <c r="L23" s="11">
        <f>iferror(lookup(if(K23="",G23,K23),{0,1,10,25,100,250,500,1000,2500,5000,10000,25000,50000,125000},{0.0,0.1,0.014,0.01,0.0057,0.00436,0.00348,0.00257,0.00223,0.00167,0.00145,0.00128,0.00117,0.00115}),"")</f>
        <v>0</v>
      </c>
      <c r="M23" s="11">
        <f>iferror(if(K23="",G23,K23)*L23,"")</f>
        <v>0</v>
      </c>
      <c r="N23" t="s">
        <v>142</v>
      </c>
      <c r="O23" s="12" t="s">
        <v>129</v>
      </c>
      <c r="V23">
        <v>3623</v>
      </c>
      <c r="X23" s="11">
        <f>iferror(lookup(if(W23="",G23,W23),{0,1,10,25,100,250,1000},{0.0,0.08,0.014,0.01,0.006,0.004,0.003}),"")</f>
        <v>0</v>
      </c>
      <c r="Y23" s="11">
        <f>iferror(if(W23="",G23,W23)*X23,"")</f>
        <v>0</v>
      </c>
      <c r="Z23" t="s">
        <v>183</v>
      </c>
      <c r="AA23" s="12" t="s">
        <v>129</v>
      </c>
    </row>
    <row r="24" spans="1:27">
      <c r="A24" t="s">
        <v>68</v>
      </c>
      <c r="B24" t="s">
        <v>69</v>
      </c>
      <c r="D24" t="s">
        <v>70</v>
      </c>
      <c r="G24">
        <f>BoardQty*1</f>
        <v>0</v>
      </c>
      <c r="H24" s="11">
        <f>MINA(INDIRECT(ADDRESS(ROW(),COLUMN(newark_part_data)+2)),INDIRECT(ADDRESS(ROW(),COLUMN(mouser_part_data)+2)),INDIRECT(ADDRESS(ROW(),COLUMN(digikey_part_data)+2)))</f>
        <v>0</v>
      </c>
      <c r="I24" s="11">
        <f>iferror(G24*H24,"")</f>
        <v>0</v>
      </c>
    </row>
    <row r="25" spans="1:27">
      <c r="A25" t="s">
        <v>71</v>
      </c>
      <c r="B25" t="s">
        <v>72</v>
      </c>
      <c r="D25" t="s">
        <v>73</v>
      </c>
      <c r="F25" t="s">
        <v>74</v>
      </c>
      <c r="G25">
        <f>BoardQty*1</f>
        <v>0</v>
      </c>
      <c r="H25" s="11">
        <f>MINA(INDIRECT(ADDRESS(ROW(),COLUMN(newark_part_data)+2)),INDIRECT(ADDRESS(ROW(),COLUMN(mouser_part_data)+2)),INDIRECT(ADDRESS(ROW(),COLUMN(digikey_part_data)+2)))</f>
        <v>0</v>
      </c>
      <c r="I25" s="11">
        <f>iferror(G25*H25,"")</f>
        <v>0</v>
      </c>
      <c r="J25">
        <v>3958</v>
      </c>
      <c r="L25" s="11">
        <f>iferror(lookup(if(K25="",G25,K25),{0,1,10,25,50,100,250,500,1000,2000,6000,10000,50000,100000},{0.0,0.76,0.561,0.4556,0.396,0.3267,0.2838,0.231,0.18322,0.1608,0.1578,0.15156,0.147,0.14616}),"")</f>
        <v>0</v>
      </c>
      <c r="M25" s="11">
        <f>iferror(if(K25="",G25,K25)*L25,"")</f>
        <v>0</v>
      </c>
      <c r="N25" t="s">
        <v>143</v>
      </c>
      <c r="O25" s="12" t="s">
        <v>129</v>
      </c>
      <c r="P25">
        <v>3599</v>
      </c>
      <c r="R25" s="11">
        <f>iferror(lookup(if(Q25="",G25,Q25),{0,1,25,50,100,500,1000,2000,4000,8000},{0.0,0.553,0.45,0.39,0.28,0.228,0.182,0.159,0.156,0.15}),"")</f>
        <v>0</v>
      </c>
      <c r="S25" s="11">
        <f>iferror(if(Q25="",G25,Q25)*R25,"")</f>
        <v>0</v>
      </c>
      <c r="T25" t="s">
        <v>163</v>
      </c>
      <c r="U25" s="12" t="s">
        <v>129</v>
      </c>
      <c r="V25">
        <v>0</v>
      </c>
      <c r="X25" s="11">
        <f>iferror(lookup(if(W25="",G25,W25),{0},{0.0}),"")</f>
        <v>0</v>
      </c>
      <c r="Y25" s="11">
        <f>iferror(if(W25="",G25,W25)*X25,"")</f>
        <v>0</v>
      </c>
      <c r="Z25" t="s">
        <v>184</v>
      </c>
      <c r="AA25" s="12" t="s">
        <v>129</v>
      </c>
    </row>
    <row r="26" spans="1:27">
      <c r="A26" t="s">
        <v>75</v>
      </c>
      <c r="B26" t="s">
        <v>76</v>
      </c>
      <c r="D26" t="s">
        <v>77</v>
      </c>
      <c r="F26" t="s">
        <v>78</v>
      </c>
      <c r="G26">
        <f>BoardQty*2</f>
        <v>0</v>
      </c>
      <c r="H26" s="11">
        <f>MINA(INDIRECT(ADDRESS(ROW(),COLUMN(newark_part_data)+2)),INDIRECT(ADDRESS(ROW(),COLUMN(mouser_part_data)+2)),INDIRECT(ADDRESS(ROW(),COLUMN(digikey_part_data)+2)))</f>
        <v>0</v>
      </c>
      <c r="I26" s="11">
        <f>iferror(G26*H26,"")</f>
        <v>0</v>
      </c>
      <c r="J26">
        <v>1253</v>
      </c>
      <c r="L26" s="11">
        <f>iferror(lookup(if(K26="",G26,K26),{0,1,10,25,50,100,400,800,1200},{0.0,0.9,0.84,0.784,0.672,0.6384,0.4704,0.3808,0.3724}),"")</f>
        <v>0</v>
      </c>
      <c r="M26" s="11">
        <f>iferror(if(K26="",G26,K26)*L26,"")</f>
        <v>0</v>
      </c>
      <c r="N26" t="s">
        <v>144</v>
      </c>
      <c r="O26" s="12" t="s">
        <v>129</v>
      </c>
      <c r="V26">
        <v>322</v>
      </c>
      <c r="X26" s="11">
        <f>iferror(lookup(if(W26="",G26,W26),{0,1,10,50,100,250},{0.0,0.894,0.784,0.672,0.639,0.546}),"")</f>
        <v>0</v>
      </c>
      <c r="Y26" s="11">
        <f>iferror(if(W26="",G26,W26)*X26,"")</f>
        <v>0</v>
      </c>
      <c r="Z26" t="s">
        <v>185</v>
      </c>
      <c r="AA26" s="12" t="s">
        <v>129</v>
      </c>
    </row>
    <row r="27" spans="1:27">
      <c r="A27" t="s">
        <v>79</v>
      </c>
      <c r="B27" t="s">
        <v>80</v>
      </c>
      <c r="D27" t="s">
        <v>73</v>
      </c>
      <c r="F27" t="s">
        <v>74</v>
      </c>
      <c r="G27">
        <f>BoardQty*2</f>
        <v>0</v>
      </c>
      <c r="H27" s="11">
        <f>MINA(INDIRECT(ADDRESS(ROW(),COLUMN(newark_part_data)+2)),INDIRECT(ADDRESS(ROW(),COLUMN(mouser_part_data)+2)),INDIRECT(ADDRESS(ROW(),COLUMN(digikey_part_data)+2)))</f>
        <v>0</v>
      </c>
      <c r="I27" s="11">
        <f>iferror(G27*H27,"")</f>
        <v>0</v>
      </c>
      <c r="J27">
        <v>3958</v>
      </c>
      <c r="L27" s="11">
        <f>iferror(lookup(if(K27="",G27,K27),{0,1,10,25,50,100,250,500,1000,2000,6000,10000,50000,100000},{0.0,0.76,0.561,0.4556,0.396,0.3267,0.2838,0.231,0.18322,0.1608,0.1578,0.15156,0.147,0.14616}),"")</f>
        <v>0</v>
      </c>
      <c r="M27" s="11">
        <f>iferror(if(K27="",G27,K27)*L27,"")</f>
        <v>0</v>
      </c>
      <c r="N27" t="s">
        <v>143</v>
      </c>
      <c r="O27" s="12" t="s">
        <v>129</v>
      </c>
      <c r="P27">
        <v>3599</v>
      </c>
      <c r="R27" s="11">
        <f>iferror(lookup(if(Q27="",G27,Q27),{0,1,25,50,100,500,1000,2000,4000,8000},{0.0,0.553,0.45,0.39,0.28,0.228,0.182,0.159,0.156,0.15}),"")</f>
        <v>0</v>
      </c>
      <c r="S27" s="11">
        <f>iferror(if(Q27="",G27,Q27)*R27,"")</f>
        <v>0</v>
      </c>
      <c r="T27" t="s">
        <v>163</v>
      </c>
      <c r="U27" s="12" t="s">
        <v>129</v>
      </c>
      <c r="V27">
        <v>0</v>
      </c>
      <c r="X27" s="11">
        <f>iferror(lookup(if(W27="",G27,W27),{0},{0.0}),"")</f>
        <v>0</v>
      </c>
      <c r="Y27" s="11">
        <f>iferror(if(W27="",G27,W27)*X27,"")</f>
        <v>0</v>
      </c>
      <c r="Z27" t="s">
        <v>184</v>
      </c>
      <c r="AA27" s="12" t="s">
        <v>129</v>
      </c>
    </row>
    <row r="28" spans="1:27">
      <c r="A28" t="s">
        <v>81</v>
      </c>
      <c r="B28" t="s">
        <v>82</v>
      </c>
      <c r="D28" t="s">
        <v>16</v>
      </c>
      <c r="F28" t="s">
        <v>83</v>
      </c>
      <c r="G28">
        <f>BoardQty*2</f>
        <v>0</v>
      </c>
      <c r="H28" s="11">
        <f>MINA(INDIRECT(ADDRESS(ROW(),COLUMN(newark_part_data)+2)),INDIRECT(ADDRESS(ROW(),COLUMN(mouser_part_data)+2)),INDIRECT(ADDRESS(ROW(),COLUMN(digikey_part_data)+2)))</f>
        <v>0</v>
      </c>
      <c r="I28" s="11">
        <f>iferror(G28*H28,"")</f>
        <v>0</v>
      </c>
      <c r="J28">
        <v>5681</v>
      </c>
      <c r="L28" s="11">
        <f>iferror(lookup(if(K28="",G28,K28),{0,1,10,25,50,100,400,800,1200,2000,4000,10000,20000,40000},{0.0,2.04,1.67,1.5068,1.466,1.3438,0.8144,0.65153,0.6108,0.57008,0.54972,0.52936,0.51918,0.509}),"")</f>
        <v>0</v>
      </c>
      <c r="M28" s="11">
        <f>iferror(if(K28="",G28,K28)*L28,"")</f>
        <v>0</v>
      </c>
      <c r="N28" t="s">
        <v>145</v>
      </c>
      <c r="O28" s="12" t="s">
        <v>129</v>
      </c>
      <c r="P28">
        <v>1212</v>
      </c>
      <c r="R28" s="11">
        <f>iferror(lookup(if(Q28="",G28,Q28),{0,1,10,100,400,800,2400,10000},{0.0,2.09,1.57,1.26,1.19,0.917,0.59,0.567}),"")</f>
        <v>0</v>
      </c>
      <c r="S28" s="11">
        <f>iferror(if(Q28="",G28,Q28)*R28,"")</f>
        <v>0</v>
      </c>
      <c r="T28" t="s">
        <v>164</v>
      </c>
      <c r="U28" s="12" t="s">
        <v>129</v>
      </c>
      <c r="V28">
        <v>0</v>
      </c>
      <c r="X28" s="11">
        <f>iferror(lookup(if(W28="",G28,W28),{0,1,400,800,1200,2000,4000,10000,20000},{0.0,0.815,0.815,0.651,0.611,0.567,0.549,0.532,0.509}),"")</f>
        <v>0</v>
      </c>
      <c r="Y28" s="11">
        <f>iferror(if(W28="",G28,W28)*X28,"")</f>
        <v>0</v>
      </c>
      <c r="Z28" t="s">
        <v>186</v>
      </c>
      <c r="AA28" s="12" t="s">
        <v>129</v>
      </c>
    </row>
    <row r="29" spans="1:27">
      <c r="A29" t="s">
        <v>84</v>
      </c>
      <c r="B29" t="s">
        <v>85</v>
      </c>
      <c r="D29" t="s">
        <v>86</v>
      </c>
      <c r="F29" t="s">
        <v>87</v>
      </c>
      <c r="G29">
        <f>BoardQty*1</f>
        <v>0</v>
      </c>
      <c r="H29" s="11">
        <f>MINA(INDIRECT(ADDRESS(ROW(),COLUMN(newark_part_data)+2)),INDIRECT(ADDRESS(ROW(),COLUMN(mouser_part_data)+2)),INDIRECT(ADDRESS(ROW(),COLUMN(digikey_part_data)+2)))</f>
        <v>0</v>
      </c>
      <c r="I29" s="11">
        <f>iferror(G29*H29,"")</f>
        <v>0</v>
      </c>
      <c r="J29">
        <v>29550</v>
      </c>
      <c r="L29" s="11">
        <f>iferror(lookup(if(K29="",G29,K29),{0,1,10,100,250,500,1000,5000,10000,20000,30000,50000,100000},{0.0,0.38,0.25,0.1,0.07188,0.05126,0.0375,0.02906,0.025,0.02375,0.0225,0.02063,0.01704}),"")</f>
        <v>0</v>
      </c>
      <c r="M29" s="11">
        <f>iferror(if(K29="",G29,K29)*L29,"")</f>
        <v>0</v>
      </c>
      <c r="N29" t="s">
        <v>146</v>
      </c>
      <c r="O29" s="12" t="s">
        <v>129</v>
      </c>
      <c r="P29">
        <v>7418</v>
      </c>
      <c r="R29" s="11">
        <f>iferror(lookup(if(Q29="",G29,Q29),{0,1,10,100,1000,2500,10000,20000,50000,100000},{0.0,0.168,0.071,0.041,0.034,0.025,0.024,0.022,0.021,0.016}),"")</f>
        <v>0</v>
      </c>
      <c r="S29" s="11">
        <f>iferror(if(Q29="",G29,Q29)*R29,"")</f>
        <v>0</v>
      </c>
      <c r="T29" t="s">
        <v>165</v>
      </c>
      <c r="U29" s="12" t="s">
        <v>129</v>
      </c>
    </row>
    <row r="30" spans="1:27">
      <c r="A30" t="s">
        <v>88</v>
      </c>
      <c r="B30" t="s">
        <v>89</v>
      </c>
      <c r="D30" t="s">
        <v>90</v>
      </c>
      <c r="F30" t="s">
        <v>91</v>
      </c>
      <c r="G30">
        <f>BoardQty*1</f>
        <v>0</v>
      </c>
      <c r="H30" s="11">
        <f>MINA(INDIRECT(ADDRESS(ROW(),COLUMN(newark_part_data)+2)),INDIRECT(ADDRESS(ROW(),COLUMN(mouser_part_data)+2)),INDIRECT(ADDRESS(ROW(),COLUMN(digikey_part_data)+2)))</f>
        <v>0</v>
      </c>
      <c r="I30" s="11">
        <f>iferror(G30*H30,"")</f>
        <v>0</v>
      </c>
      <c r="J30">
        <v>10545</v>
      </c>
      <c r="L30" s="11">
        <f>iferror(lookup(if(K30="",G30,K30),{0,1,10,25,50,100,250,500,1000,2500},{0.0,2.31,1.913,1.7932,1.594,1.4346,1.32304,1.1955,1.06001,1.01618}),"")</f>
        <v>0</v>
      </c>
      <c r="M30" s="11">
        <f>iferror(if(K30="",G30,K30)*L30,"")</f>
        <v>0</v>
      </c>
      <c r="N30" t="s">
        <v>147</v>
      </c>
      <c r="O30" s="12" t="s">
        <v>129</v>
      </c>
    </row>
    <row r="31" spans="1:27">
      <c r="A31" t="s">
        <v>92</v>
      </c>
      <c r="B31" t="s">
        <v>93</v>
      </c>
      <c r="D31" t="s">
        <v>94</v>
      </c>
      <c r="F31" t="s">
        <v>95</v>
      </c>
      <c r="G31">
        <f>BoardQty*1</f>
        <v>0</v>
      </c>
      <c r="H31" s="11">
        <f>MINA(INDIRECT(ADDRESS(ROW(),COLUMN(newark_part_data)+2)),INDIRECT(ADDRESS(ROW(),COLUMN(mouser_part_data)+2)),INDIRECT(ADDRESS(ROW(),COLUMN(digikey_part_data)+2)))</f>
        <v>0</v>
      </c>
      <c r="I31" s="11">
        <f>iferror(G31*H31,"")</f>
        <v>0</v>
      </c>
      <c r="J31">
        <v>109861</v>
      </c>
      <c r="L31" s="11">
        <f>iferror(lookup(if(K31="",G31,K31),{0,1,10,25,50,100,250,500,1200,2400,6000,8400,12000,30000,60000},{0.0,0.46,0.437,0.3744,0.318,0.3056,0.27444,0.26196,0.19845,0.18144,0.1701,0.15876,0.15309,0.15082,0.14742}),"")</f>
        <v>0</v>
      </c>
      <c r="M31" s="11">
        <f>iferror(if(K31="",G31,K31)*L31,"")</f>
        <v>0</v>
      </c>
      <c r="N31" t="s">
        <v>148</v>
      </c>
      <c r="O31" s="12" t="s">
        <v>129</v>
      </c>
      <c r="V31">
        <v>3645</v>
      </c>
      <c r="X31" s="11">
        <f>iferror(lookup(if(W31="",G31,W31),{0,1,10,25,50,100,250,500,1000},{0.0,0.347,0.313,0.278,0.267,0.244,0.232,0.192,0.174}),"")</f>
        <v>0</v>
      </c>
      <c r="Y31" s="11">
        <f>iferror(if(W31="",G31,W31)*X31,"")</f>
        <v>0</v>
      </c>
      <c r="Z31" t="s">
        <v>187</v>
      </c>
      <c r="AA31" s="12" t="s">
        <v>129</v>
      </c>
    </row>
    <row r="32" spans="1:27">
      <c r="A32" t="s">
        <v>96</v>
      </c>
      <c r="B32" t="s">
        <v>97</v>
      </c>
      <c r="D32" t="s">
        <v>98</v>
      </c>
      <c r="F32" t="s">
        <v>99</v>
      </c>
      <c r="G32">
        <f>BoardQty*2</f>
        <v>0</v>
      </c>
      <c r="H32" s="11">
        <f>MINA(INDIRECT(ADDRESS(ROW(),COLUMN(newark_part_data)+2)),INDIRECT(ADDRESS(ROW(),COLUMN(mouser_part_data)+2)),INDIRECT(ADDRESS(ROW(),COLUMN(digikey_part_data)+2)))</f>
        <v>0</v>
      </c>
      <c r="I32" s="11">
        <f>iferror(G32*H32,"")</f>
        <v>0</v>
      </c>
      <c r="J32">
        <v>13868</v>
      </c>
      <c r="L32" s="11">
        <f>iferror(lookup(if(K32="",G32,K32),{0,1,10,50,100,250,500,1000,4000,8000,12000,28000,100000},{0.0,0.34,0.3,0.1824,0.1502,0.12012,0.1094,0.09867,0.07293,0.06864,0.0665,0.06435,0.05577}),"")</f>
        <v>0</v>
      </c>
      <c r="M32" s="11">
        <f>iferror(if(K32="",G32,K32)*L32,"")</f>
        <v>0</v>
      </c>
      <c r="N32" t="s">
        <v>149</v>
      </c>
      <c r="O32" s="12" t="s">
        <v>129</v>
      </c>
      <c r="P32">
        <v>5422</v>
      </c>
      <c r="R32" s="11">
        <f>iferror(lookup(if(Q32="",G32,Q32),{0,1,10,100,1000,4000,8000,24000,48000,100000},{0.0,0.336,0.181,0.109,0.098,0.072,0.066,0.064,0.059,0.056}),"")</f>
        <v>0</v>
      </c>
      <c r="S32" s="11">
        <f>iferror(if(Q32="",G32,Q32)*R32,"")</f>
        <v>0</v>
      </c>
      <c r="T32" t="s">
        <v>166</v>
      </c>
      <c r="U32" s="12" t="s">
        <v>129</v>
      </c>
    </row>
    <row r="33" spans="1:27">
      <c r="A33" t="s">
        <v>100</v>
      </c>
      <c r="B33" t="s">
        <v>101</v>
      </c>
      <c r="D33" t="s">
        <v>102</v>
      </c>
      <c r="F33" t="s">
        <v>103</v>
      </c>
      <c r="G33">
        <f>BoardQty*2</f>
        <v>0</v>
      </c>
      <c r="H33" s="11">
        <f>MINA(INDIRECT(ADDRESS(ROW(),COLUMN(newark_part_data)+2)),INDIRECT(ADDRESS(ROW(),COLUMN(mouser_part_data)+2)),INDIRECT(ADDRESS(ROW(),COLUMN(digikey_part_data)+2)))</f>
        <v>0</v>
      </c>
      <c r="I33" s="11">
        <f>iferror(G33*H33,"")</f>
        <v>0</v>
      </c>
      <c r="J33">
        <v>897</v>
      </c>
      <c r="L33" s="11">
        <f>iferror(lookup(if(K33="",G33,K33),{0,1,10,100,250,500,1000,1250},{0.0,6.78,6.086,4.9928,4.5954,4.12344,2.7,3.105}),"")</f>
        <v>0</v>
      </c>
      <c r="M33" s="11">
        <f>iferror(if(K33="",G33,K33)*L33,"")</f>
        <v>0</v>
      </c>
      <c r="N33" t="s">
        <v>150</v>
      </c>
      <c r="O33" s="12" t="s">
        <v>129</v>
      </c>
      <c r="P33">
        <v>206</v>
      </c>
      <c r="R33" s="11">
        <f>iferror(lookup(if(Q33="",G33,Q33),{0,1,10,25,50,100,250,500,1000},{0.0,5.65,5.07,4.72,4.47,4.15,3.93,3.53,2.73}),"")</f>
        <v>0</v>
      </c>
      <c r="S33" s="11">
        <f>iferror(if(Q33="",G33,Q33)*R33,"")</f>
        <v>0</v>
      </c>
      <c r="T33" t="s">
        <v>167</v>
      </c>
      <c r="U33" s="12" t="s">
        <v>129</v>
      </c>
    </row>
    <row r="34" spans="1:27">
      <c r="A34" t="s">
        <v>104</v>
      </c>
      <c r="B34" t="s">
        <v>105</v>
      </c>
      <c r="D34" t="s">
        <v>106</v>
      </c>
      <c r="F34" t="s">
        <v>107</v>
      </c>
      <c r="G34">
        <f>BoardQty*1</f>
        <v>0</v>
      </c>
      <c r="H34" s="11">
        <f>MINA(INDIRECT(ADDRESS(ROW(),COLUMN(newark_part_data)+2)),INDIRECT(ADDRESS(ROW(),COLUMN(mouser_part_data)+2)),INDIRECT(ADDRESS(ROW(),COLUMN(digikey_part_data)+2)))</f>
        <v>0</v>
      </c>
      <c r="I34" s="11">
        <f>iferror(G34*H34,"")</f>
        <v>0</v>
      </c>
      <c r="J34">
        <v>1865</v>
      </c>
      <c r="L34" s="11">
        <f>iferror(lookup(if(K34="",G34,K34),{0,1,10,50,100,250,500},{0.0,3.0,2.625,2.4374,2.3437,2.25,2.0625}),"")</f>
        <v>0</v>
      </c>
      <c r="M34" s="11">
        <f>iferror(if(K34="",G34,K34)*L34,"")</f>
        <v>0</v>
      </c>
      <c r="N34" t="s">
        <v>151</v>
      </c>
      <c r="O34" s="12" t="s">
        <v>129</v>
      </c>
      <c r="P34">
        <v>1067</v>
      </c>
      <c r="R34" s="11">
        <f>iferror(lookup(if(Q34="",G34,Q34),{0,1,10,25,50,100,250,500},{0.0,2.62,2.28,2.2,2.13,2.04,1.95,1.8}),"")</f>
        <v>0</v>
      </c>
      <c r="S34" s="11">
        <f>iferror(if(Q34="",G34,Q34)*R34,"")</f>
        <v>0</v>
      </c>
      <c r="T34" t="s">
        <v>168</v>
      </c>
      <c r="U34" s="12" t="s">
        <v>129</v>
      </c>
      <c r="V34">
        <v>57</v>
      </c>
      <c r="X34" s="11">
        <f>iferror(lookup(if(W34="",G34,W34),{0,1,10,25,50},{0.0,3.18,2.95,2.66,2.32}),"")</f>
        <v>0</v>
      </c>
      <c r="Y34" s="11">
        <f>iferror(if(W34="",G34,W34)*X34,"")</f>
        <v>0</v>
      </c>
      <c r="Z34" t="s">
        <v>188</v>
      </c>
      <c r="AA34" s="12" t="s">
        <v>129</v>
      </c>
    </row>
    <row r="35" spans="1:27">
      <c r="A35" t="s">
        <v>108</v>
      </c>
      <c r="B35" t="s">
        <v>109</v>
      </c>
      <c r="D35" t="s">
        <v>110</v>
      </c>
      <c r="F35" t="s">
        <v>111</v>
      </c>
      <c r="G35">
        <f>BoardQty*2</f>
        <v>0</v>
      </c>
      <c r="H35" s="11">
        <f>MINA(INDIRECT(ADDRESS(ROW(),COLUMN(newark_part_data)+2)),INDIRECT(ADDRESS(ROW(),COLUMN(mouser_part_data)+2)),INDIRECT(ADDRESS(ROW(),COLUMN(digikey_part_data)+2)))</f>
        <v>0</v>
      </c>
      <c r="I35" s="11">
        <f>iferror(G35*H35,"")</f>
        <v>0</v>
      </c>
      <c r="J35">
        <v>1899</v>
      </c>
      <c r="L35" s="11">
        <f>iferror(lookup(if(K35="",G35,K35),{0,1,10,100,500,1000,2500,5000},{0.0,1.39,1.239,0.966,0.798,0.63,0.588,0.5586}),"")</f>
        <v>0</v>
      </c>
      <c r="M35" s="11">
        <f>iferror(if(K35="",G35,K35)*L35,"")</f>
        <v>0</v>
      </c>
      <c r="N35" t="s">
        <v>152</v>
      </c>
      <c r="O35" s="12" t="s">
        <v>129</v>
      </c>
      <c r="P35">
        <v>5177</v>
      </c>
      <c r="R35" s="11">
        <f>iferror(lookup(if(Q35="",G35,Q35),{0,1,10,100,500,1000,2500,5000,10000},{0.0,1.44,1.16,0.891,0.787,0.621,0.578,0.549,0.529}),"")</f>
        <v>0</v>
      </c>
      <c r="S35" s="11">
        <f>iferror(if(Q35="",G35,Q35)*R35,"")</f>
        <v>0</v>
      </c>
      <c r="T35" t="s">
        <v>169</v>
      </c>
      <c r="U35" s="12" t="s">
        <v>129</v>
      </c>
      <c r="V35">
        <v>5710</v>
      </c>
      <c r="X35" s="11">
        <f>iferror(lookup(if(W35="",G35,W35),{0,1,10,25,100,250,500},{0.0,1.02,0.983,0.786,0.639,0.63,0.626}),"")</f>
        <v>0</v>
      </c>
      <c r="Y35" s="11">
        <f>iferror(if(W35="",G35,W35)*X35,"")</f>
        <v>0</v>
      </c>
      <c r="Z35" t="s">
        <v>189</v>
      </c>
      <c r="AA35" s="12" t="s">
        <v>129</v>
      </c>
    </row>
    <row r="36" spans="1:27">
      <c r="A36" t="s">
        <v>112</v>
      </c>
      <c r="B36" t="s">
        <v>113</v>
      </c>
      <c r="D36" t="s">
        <v>98</v>
      </c>
      <c r="F36" t="s">
        <v>114</v>
      </c>
      <c r="G36">
        <f>BoardQty*1</f>
        <v>0</v>
      </c>
      <c r="H36" s="11">
        <f>MINA(INDIRECT(ADDRESS(ROW(),COLUMN(newark_part_data)+2)),INDIRECT(ADDRESS(ROW(),COLUMN(mouser_part_data)+2)),INDIRECT(ADDRESS(ROW(),COLUMN(digikey_part_data)+2)))</f>
        <v>0</v>
      </c>
      <c r="I36" s="11">
        <f>iferror(G36*H36,"")</f>
        <v>0</v>
      </c>
      <c r="J36">
        <v>183526</v>
      </c>
      <c r="L36" s="11">
        <f>iferror(lookup(if(K36="",G36,K36),{0,1,10,25,50,100,250,500,1000,4000,8000,12000,28000,100000},{0.0,0.1,0.079,0.0716,0.0644,0.0472,0.03432,0.03146,0.02717,0.0208,0.01885,0.0182,0.0169,0.01671}),"")</f>
        <v>0</v>
      </c>
      <c r="M36" s="11">
        <f>iferror(if(K36="",G36,K36)*L36,"")</f>
        <v>0</v>
      </c>
      <c r="N36" t="s">
        <v>153</v>
      </c>
      <c r="O36" s="12" t="s">
        <v>129</v>
      </c>
      <c r="V36">
        <v>57</v>
      </c>
      <c r="X36" s="11">
        <f>iferror(lookup(if(W36="",G36,W36),{0,1,250,500,1000,5000},{0.0,0.055,0.042,0.037,0.034,0.031}),"")</f>
        <v>0</v>
      </c>
      <c r="Y36" s="11">
        <f>iferror(if(W36="",G36,W36)*X36,"")</f>
        <v>0</v>
      </c>
      <c r="Z36" t="s">
        <v>190</v>
      </c>
      <c r="AA36" s="12" t="s">
        <v>129</v>
      </c>
    </row>
    <row r="37" spans="1:27">
      <c r="A37" t="s">
        <v>115</v>
      </c>
      <c r="B37" t="s">
        <v>85</v>
      </c>
      <c r="D37" t="s">
        <v>98</v>
      </c>
      <c r="F37" t="s">
        <v>116</v>
      </c>
      <c r="G37">
        <f>BoardQty*2</f>
        <v>0</v>
      </c>
      <c r="H37" s="11">
        <f>MINA(INDIRECT(ADDRESS(ROW(),COLUMN(newark_part_data)+2)),INDIRECT(ADDRESS(ROW(),COLUMN(mouser_part_data)+2)),INDIRECT(ADDRESS(ROW(),COLUMN(digikey_part_data)+2)))</f>
        <v>0</v>
      </c>
      <c r="I37" s="11">
        <f>iferror(G37*H37,"")</f>
        <v>0</v>
      </c>
      <c r="J37">
        <v>1112899</v>
      </c>
      <c r="L37" s="11">
        <f>iferror(lookup(if(K37="",G37,K37),{0,1,10,50,100,250,500,1000,4000,8000,12000,28000,100000},{0.0,0.1,0.034,0.0182,0.0154,0.0126,0.01078,0.0084,0.00644,0.00588,0.0056,0.00532,0.00385}),"")</f>
        <v>0</v>
      </c>
      <c r="M37" s="11">
        <f>iferror(if(K37="",G37,K37)*L37,"")</f>
        <v>0</v>
      </c>
      <c r="N37" t="s">
        <v>154</v>
      </c>
      <c r="O37" s="12" t="s">
        <v>129</v>
      </c>
      <c r="V37">
        <v>7418</v>
      </c>
      <c r="X37" s="11">
        <f>iferror(lookup(if(W37="",G37,W37),{0,1,10,50,100,250,500,1000},{0.0,0.097,0.043,0.025,0.02,0.017,0.014,0.01}),"")</f>
        <v>0</v>
      </c>
      <c r="Y37" s="11">
        <f>iferror(if(W37="",G37,W37)*X37,"")</f>
        <v>0</v>
      </c>
      <c r="Z37" t="s">
        <v>191</v>
      </c>
      <c r="AA37" s="12" t="s">
        <v>129</v>
      </c>
    </row>
    <row r="38" spans="1:27">
      <c r="A38" t="s">
        <v>117</v>
      </c>
      <c r="B38" t="s">
        <v>118</v>
      </c>
      <c r="D38" t="s">
        <v>44</v>
      </c>
      <c r="F38" t="s">
        <v>119</v>
      </c>
      <c r="G38">
        <f>BoardQty*2</f>
        <v>0</v>
      </c>
      <c r="H38" s="11">
        <f>MINA(INDIRECT(ADDRESS(ROW(),COLUMN(newark_part_data)+2)),INDIRECT(ADDRESS(ROW(),COLUMN(mouser_part_data)+2)),INDIRECT(ADDRESS(ROW(),COLUMN(digikey_part_data)+2)))</f>
        <v>0</v>
      </c>
      <c r="I38" s="11">
        <f>iferror(G38*H38,"")</f>
        <v>0</v>
      </c>
      <c r="J38">
        <v>3536442</v>
      </c>
      <c r="L38" s="11">
        <f>iferror(lookup(if(K38="",G38,K38),{0,1,10,25,100,250,500,1000,2500,5000,10000,25000,50000,125000},{0.0,0.1,0.014,0.01,0.0057,0.00436,0.00348,0.00257,0.00223,0.00167,0.00145,0.00128,0.00117,0.00115}),"")</f>
        <v>0</v>
      </c>
      <c r="M38" s="11">
        <f>iferror(if(K38="",G38,K38)*L38,"")</f>
        <v>0</v>
      </c>
      <c r="N38" t="s">
        <v>155</v>
      </c>
      <c r="O38" s="12" t="s">
        <v>129</v>
      </c>
      <c r="V38">
        <v>4036</v>
      </c>
      <c r="X38" s="11">
        <f>iferror(lookup(if(W38="",G38,W38),{0,1,10,25,100,250,1000},{0.0,0.08,0.014,0.01,0.006,0.004,0.003}),"")</f>
        <v>0</v>
      </c>
      <c r="Y38" s="11">
        <f>iferror(if(W38="",G38,W38)*X38,"")</f>
        <v>0</v>
      </c>
      <c r="Z38" t="s">
        <v>192</v>
      </c>
      <c r="AA38" s="12" t="s">
        <v>129</v>
      </c>
    </row>
    <row r="40" spans="1:27">
      <c r="K40">
        <f t="array" ref="K40">IFERROR(CONCATENATE(TEXT(INDEX($K$7:$K$38,SMALL(IF($N$7:$N$38&lt;&gt;"",IF($K$7:$K$38&lt;&gt;"",ROW($K$7:$K$38)-MIN(ROW($K$7:$K$38))+1,""),""),ROW()-ROW(A$40)+1)),"##0"),","),"")</f>
        <v>0</v>
      </c>
      <c r="L40">
        <f t="array" ref="L40">IFERROR(CONCATENATE((INDEX($N$7:$N$38,SMALL(IF($N$7:$N$38&lt;&gt;"",IF($K$7:$K$38&lt;&gt;"",ROW($K$7:$K$38)-MIN(ROW($K$7:$K$38))+1,""),""),ROW()-ROW(A$40)+1))),","),"")</f>
        <v>0</v>
      </c>
      <c r="M40">
        <f t="array" ref="M40">IFERROR(CONCATENATE((INDEX($A$7:$A$38,SMALL(IF($N$7:$N$38&lt;&gt;"",IF($K$7:$K$38&lt;&gt;"",ROW($K$7:$K$38)-MIN(ROW($K$7:$K$38))+1,""),""),ROW()-ROW(A$40)+1))),),"")</f>
        <v>0</v>
      </c>
      <c r="Q40">
        <f t="array" ref="Q40">IFERROR(CONCATENATE((INDEX($T$7:$T$38,SMALL(IF($T$7:$T$38&lt;&gt;"",IF($Q$7:$Q$38&lt;&gt;"",ROW($Q$7:$Q$38)-MIN(ROW($Q$7:$Q$38))+1,""),""),ROW()-ROW(A$40)+1)))," "),"")</f>
        <v>0</v>
      </c>
      <c r="R40">
        <f t="array" ref="R40">IFERROR(CONCATENATE(TEXT(INDEX($Q$7:$Q$38,SMALL(IF($T$7:$T$38&lt;&gt;"",IF($Q$7:$Q$38&lt;&gt;"",ROW($Q$7:$Q$38)-MIN(ROW($Q$7:$Q$38))+1,""),""),ROW()-ROW(A$40)+1)),"##0")," "),"")</f>
        <v>0</v>
      </c>
      <c r="S40">
        <f t="array" ref="S40">IFERROR(CONCATENATE((INDEX($A$7:$A$38,SMALL(IF($T$7:$T$38&lt;&gt;"",IF($Q$7:$Q$38&lt;&gt;"",ROW($Q$7:$Q$38)-MIN(ROW($Q$7:$Q$38))+1,""),""),ROW()-ROW(A$40)+1))),),"")</f>
        <v>0</v>
      </c>
      <c r="W40">
        <f t="array" ref="W40">IFERROR(CONCATENATE((INDEX($Z$7:$Z$38,SMALL(IF($Z$7:$Z$38&lt;&gt;"",IF($W$7:$W$38&lt;&gt;"",ROW($W$7:$W$38)-MIN(ROW($W$7:$W$38))+1,""),""),ROW()-ROW(A$40)+1))),","),"")</f>
        <v>0</v>
      </c>
      <c r="X40">
        <f t="array" ref="X40">IFERROR(CONCATENATE(TEXT(INDEX($W$7:$W$38,SMALL(IF($Z$7:$Z$38&lt;&gt;"",IF($W$7:$W$38&lt;&gt;"",ROW($W$7:$W$38)-MIN(ROW($W$7:$W$38))+1,""),""),ROW()-ROW(A$40)+1)),"##0"),","),"")</f>
        <v>0</v>
      </c>
      <c r="Y40">
        <f t="array" ref="Y40">IFERROR(CONCATENATE((INDEX($A$7:$A$38,SMALL(IF($Z$7:$Z$38&lt;&gt;"",IF($W$7:$W$38&lt;&gt;"",ROW($W$7:$W$38)-MIN(ROW($W$7:$W$38))+1,""),""),ROW()-ROW(A$40)+1))),),"")</f>
        <v>0</v>
      </c>
    </row>
    <row r="41" spans="1:27">
      <c r="K41">
        <f t="array" ref="K41">IFERROR(CONCATENATE(TEXT(INDEX($K$7:$K$38,SMALL(IF($N$7:$N$38&lt;&gt;"",IF($K$7:$K$38&lt;&gt;"",ROW($K$7:$K$38)-MIN(ROW($K$7:$K$38))+1,""),""),ROW()-ROW(A$40)+1)),"##0"),","),"")</f>
        <v>0</v>
      </c>
      <c r="L41">
        <f t="array" ref="L41">IFERROR(CONCATENATE((INDEX($N$7:$N$38,SMALL(IF($N$7:$N$38&lt;&gt;"",IF($K$7:$K$38&lt;&gt;"",ROW($K$7:$K$38)-MIN(ROW($K$7:$K$38))+1,""),""),ROW()-ROW(A$40)+1))),","),"")</f>
        <v>0</v>
      </c>
      <c r="M41">
        <f t="array" ref="M41">IFERROR(CONCATENATE((INDEX($A$7:$A$38,SMALL(IF($N$7:$N$38&lt;&gt;"",IF($K$7:$K$38&lt;&gt;"",ROW($K$7:$K$38)-MIN(ROW($K$7:$K$38))+1,""),""),ROW()-ROW(A$40)+1))),),"")</f>
        <v>0</v>
      </c>
      <c r="Q41">
        <f t="array" ref="Q41">IFERROR(CONCATENATE((INDEX($T$7:$T$38,SMALL(IF($T$7:$T$38&lt;&gt;"",IF($Q$7:$Q$38&lt;&gt;"",ROW($Q$7:$Q$38)-MIN(ROW($Q$7:$Q$38))+1,""),""),ROW()-ROW(A$40)+1)))," "),"")</f>
        <v>0</v>
      </c>
      <c r="R41">
        <f t="array" ref="R41">IFERROR(CONCATENATE(TEXT(INDEX($Q$7:$Q$38,SMALL(IF($T$7:$T$38&lt;&gt;"",IF($Q$7:$Q$38&lt;&gt;"",ROW($Q$7:$Q$38)-MIN(ROW($Q$7:$Q$38))+1,""),""),ROW()-ROW(A$40)+1)),"##0")," "),"")</f>
        <v>0</v>
      </c>
      <c r="S41">
        <f t="array" ref="S41">IFERROR(CONCATENATE((INDEX($A$7:$A$38,SMALL(IF($T$7:$T$38&lt;&gt;"",IF($Q$7:$Q$38&lt;&gt;"",ROW($Q$7:$Q$38)-MIN(ROW($Q$7:$Q$38))+1,""),""),ROW()-ROW(A$40)+1))),),"")</f>
        <v>0</v>
      </c>
      <c r="W41">
        <f t="array" ref="W41">IFERROR(CONCATENATE((INDEX($Z$7:$Z$38,SMALL(IF($Z$7:$Z$38&lt;&gt;"",IF($W$7:$W$38&lt;&gt;"",ROW($W$7:$W$38)-MIN(ROW($W$7:$W$38))+1,""),""),ROW()-ROW(A$40)+1))),","),"")</f>
        <v>0</v>
      </c>
      <c r="X41">
        <f t="array" ref="X41">IFERROR(CONCATENATE(TEXT(INDEX($W$7:$W$38,SMALL(IF($Z$7:$Z$38&lt;&gt;"",IF($W$7:$W$38&lt;&gt;"",ROW($W$7:$W$38)-MIN(ROW($W$7:$W$38))+1,""),""),ROW()-ROW(A$40)+1)),"##0"),","),"")</f>
        <v>0</v>
      </c>
      <c r="Y41">
        <f t="array" ref="Y41">IFERROR(CONCATENATE((INDEX($A$7:$A$38,SMALL(IF($Z$7:$Z$38&lt;&gt;"",IF($W$7:$W$38&lt;&gt;"",ROW($W$7:$W$38)-MIN(ROW($W$7:$W$38))+1,""),""),ROW()-ROW(A$40)+1))),),"")</f>
        <v>0</v>
      </c>
    </row>
    <row r="42" spans="1:27">
      <c r="K42">
        <f t="array" ref="K42">IFERROR(CONCATENATE(TEXT(INDEX($K$7:$K$38,SMALL(IF($N$7:$N$38&lt;&gt;"",IF($K$7:$K$38&lt;&gt;"",ROW($K$7:$K$38)-MIN(ROW($K$7:$K$38))+1,""),""),ROW()-ROW(A$40)+1)),"##0"),","),"")</f>
        <v>0</v>
      </c>
      <c r="L42">
        <f t="array" ref="L42">IFERROR(CONCATENATE((INDEX($N$7:$N$38,SMALL(IF($N$7:$N$38&lt;&gt;"",IF($K$7:$K$38&lt;&gt;"",ROW($K$7:$K$38)-MIN(ROW($K$7:$K$38))+1,""),""),ROW()-ROW(A$40)+1))),","),"")</f>
        <v>0</v>
      </c>
      <c r="M42">
        <f t="array" ref="M42">IFERROR(CONCATENATE((INDEX($A$7:$A$38,SMALL(IF($N$7:$N$38&lt;&gt;"",IF($K$7:$K$38&lt;&gt;"",ROW($K$7:$K$38)-MIN(ROW($K$7:$K$38))+1,""),""),ROW()-ROW(A$40)+1))),),"")</f>
        <v>0</v>
      </c>
      <c r="Q42">
        <f t="array" ref="Q42">IFERROR(CONCATENATE((INDEX($T$7:$T$38,SMALL(IF($T$7:$T$38&lt;&gt;"",IF($Q$7:$Q$38&lt;&gt;"",ROW($Q$7:$Q$38)-MIN(ROW($Q$7:$Q$38))+1,""),""),ROW()-ROW(A$40)+1)))," "),"")</f>
        <v>0</v>
      </c>
      <c r="R42">
        <f t="array" ref="R42">IFERROR(CONCATENATE(TEXT(INDEX($Q$7:$Q$38,SMALL(IF($T$7:$T$38&lt;&gt;"",IF($Q$7:$Q$38&lt;&gt;"",ROW($Q$7:$Q$38)-MIN(ROW($Q$7:$Q$38))+1,""),""),ROW()-ROW(A$40)+1)),"##0")," "),"")</f>
        <v>0</v>
      </c>
      <c r="S42">
        <f t="array" ref="S42">IFERROR(CONCATENATE((INDEX($A$7:$A$38,SMALL(IF($T$7:$T$38&lt;&gt;"",IF($Q$7:$Q$38&lt;&gt;"",ROW($Q$7:$Q$38)-MIN(ROW($Q$7:$Q$38))+1,""),""),ROW()-ROW(A$40)+1))),),"")</f>
        <v>0</v>
      </c>
      <c r="W42">
        <f t="array" ref="W42">IFERROR(CONCATENATE((INDEX($Z$7:$Z$38,SMALL(IF($Z$7:$Z$38&lt;&gt;"",IF($W$7:$W$38&lt;&gt;"",ROW($W$7:$W$38)-MIN(ROW($W$7:$W$38))+1,""),""),ROW()-ROW(A$40)+1))),","),"")</f>
        <v>0</v>
      </c>
      <c r="X42">
        <f t="array" ref="X42">IFERROR(CONCATENATE(TEXT(INDEX($W$7:$W$38,SMALL(IF($Z$7:$Z$38&lt;&gt;"",IF($W$7:$W$38&lt;&gt;"",ROW($W$7:$W$38)-MIN(ROW($W$7:$W$38))+1,""),""),ROW()-ROW(A$40)+1)),"##0"),","),"")</f>
        <v>0</v>
      </c>
      <c r="Y42">
        <f t="array" ref="Y42">IFERROR(CONCATENATE((INDEX($A$7:$A$38,SMALL(IF($Z$7:$Z$38&lt;&gt;"",IF($W$7:$W$38&lt;&gt;"",ROW($W$7:$W$38)-MIN(ROW($W$7:$W$38))+1,""),""),ROW()-ROW(A$40)+1))),),"")</f>
        <v>0</v>
      </c>
    </row>
    <row r="43" spans="1:27">
      <c r="K43">
        <f t="array" ref="K43">IFERROR(CONCATENATE(TEXT(INDEX($K$7:$K$38,SMALL(IF($N$7:$N$38&lt;&gt;"",IF($K$7:$K$38&lt;&gt;"",ROW($K$7:$K$38)-MIN(ROW($K$7:$K$38))+1,""),""),ROW()-ROW(A$40)+1)),"##0"),","),"")</f>
        <v>0</v>
      </c>
      <c r="L43">
        <f t="array" ref="L43">IFERROR(CONCATENATE((INDEX($N$7:$N$38,SMALL(IF($N$7:$N$38&lt;&gt;"",IF($K$7:$K$38&lt;&gt;"",ROW($K$7:$K$38)-MIN(ROW($K$7:$K$38))+1,""),""),ROW()-ROW(A$40)+1))),","),"")</f>
        <v>0</v>
      </c>
      <c r="M43">
        <f t="array" ref="M43">IFERROR(CONCATENATE((INDEX($A$7:$A$38,SMALL(IF($N$7:$N$38&lt;&gt;"",IF($K$7:$K$38&lt;&gt;"",ROW($K$7:$K$38)-MIN(ROW($K$7:$K$38))+1,""),""),ROW()-ROW(A$40)+1))),),"")</f>
        <v>0</v>
      </c>
      <c r="Q43">
        <f t="array" ref="Q43">IFERROR(CONCATENATE((INDEX($T$7:$T$38,SMALL(IF($T$7:$T$38&lt;&gt;"",IF($Q$7:$Q$38&lt;&gt;"",ROW($Q$7:$Q$38)-MIN(ROW($Q$7:$Q$38))+1,""),""),ROW()-ROW(A$40)+1)))," "),"")</f>
        <v>0</v>
      </c>
      <c r="R43">
        <f t="array" ref="R43">IFERROR(CONCATENATE(TEXT(INDEX($Q$7:$Q$38,SMALL(IF($T$7:$T$38&lt;&gt;"",IF($Q$7:$Q$38&lt;&gt;"",ROW($Q$7:$Q$38)-MIN(ROW($Q$7:$Q$38))+1,""),""),ROW()-ROW(A$40)+1)),"##0")," "),"")</f>
        <v>0</v>
      </c>
      <c r="S43">
        <f t="array" ref="S43">IFERROR(CONCATENATE((INDEX($A$7:$A$38,SMALL(IF($T$7:$T$38&lt;&gt;"",IF($Q$7:$Q$38&lt;&gt;"",ROW($Q$7:$Q$38)-MIN(ROW($Q$7:$Q$38))+1,""),""),ROW()-ROW(A$40)+1))),),"")</f>
        <v>0</v>
      </c>
      <c r="W43">
        <f t="array" ref="W43">IFERROR(CONCATENATE((INDEX($Z$7:$Z$38,SMALL(IF($Z$7:$Z$38&lt;&gt;"",IF($W$7:$W$38&lt;&gt;"",ROW($W$7:$W$38)-MIN(ROW($W$7:$W$38))+1,""),""),ROW()-ROW(A$40)+1))),","),"")</f>
        <v>0</v>
      </c>
      <c r="X43">
        <f t="array" ref="X43">IFERROR(CONCATENATE(TEXT(INDEX($W$7:$W$38,SMALL(IF($Z$7:$Z$38&lt;&gt;"",IF($W$7:$W$38&lt;&gt;"",ROW($W$7:$W$38)-MIN(ROW($W$7:$W$38))+1,""),""),ROW()-ROW(A$40)+1)),"##0"),","),"")</f>
        <v>0</v>
      </c>
      <c r="Y43">
        <f t="array" ref="Y43">IFERROR(CONCATENATE((INDEX($A$7:$A$38,SMALL(IF($Z$7:$Z$38&lt;&gt;"",IF($W$7:$W$38&lt;&gt;"",ROW($W$7:$W$38)-MIN(ROW($W$7:$W$38))+1,""),""),ROW()-ROW(A$40)+1))),),"")</f>
        <v>0</v>
      </c>
    </row>
    <row r="44" spans="1:27">
      <c r="K44">
        <f t="array" ref="K44">IFERROR(CONCATENATE(TEXT(INDEX($K$7:$K$38,SMALL(IF($N$7:$N$38&lt;&gt;"",IF($K$7:$K$38&lt;&gt;"",ROW($K$7:$K$38)-MIN(ROW($K$7:$K$38))+1,""),""),ROW()-ROW(A$40)+1)),"##0"),","),"")</f>
        <v>0</v>
      </c>
      <c r="L44">
        <f t="array" ref="L44">IFERROR(CONCATENATE((INDEX($N$7:$N$38,SMALL(IF($N$7:$N$38&lt;&gt;"",IF($K$7:$K$38&lt;&gt;"",ROW($K$7:$K$38)-MIN(ROW($K$7:$K$38))+1,""),""),ROW()-ROW(A$40)+1))),","),"")</f>
        <v>0</v>
      </c>
      <c r="M44">
        <f t="array" ref="M44">IFERROR(CONCATENATE((INDEX($A$7:$A$38,SMALL(IF($N$7:$N$38&lt;&gt;"",IF($K$7:$K$38&lt;&gt;"",ROW($K$7:$K$38)-MIN(ROW($K$7:$K$38))+1,""),""),ROW()-ROW(A$40)+1))),),"")</f>
        <v>0</v>
      </c>
      <c r="Q44">
        <f t="array" ref="Q44">IFERROR(CONCATENATE((INDEX($T$7:$T$38,SMALL(IF($T$7:$T$38&lt;&gt;"",IF($Q$7:$Q$38&lt;&gt;"",ROW($Q$7:$Q$38)-MIN(ROW($Q$7:$Q$38))+1,""),""),ROW()-ROW(A$40)+1)))," "),"")</f>
        <v>0</v>
      </c>
      <c r="R44">
        <f t="array" ref="R44">IFERROR(CONCATENATE(TEXT(INDEX($Q$7:$Q$38,SMALL(IF($T$7:$T$38&lt;&gt;"",IF($Q$7:$Q$38&lt;&gt;"",ROW($Q$7:$Q$38)-MIN(ROW($Q$7:$Q$38))+1,""),""),ROW()-ROW(A$40)+1)),"##0")," "),"")</f>
        <v>0</v>
      </c>
      <c r="S44">
        <f t="array" ref="S44">IFERROR(CONCATENATE((INDEX($A$7:$A$38,SMALL(IF($T$7:$T$38&lt;&gt;"",IF($Q$7:$Q$38&lt;&gt;"",ROW($Q$7:$Q$38)-MIN(ROW($Q$7:$Q$38))+1,""),""),ROW()-ROW(A$40)+1))),),"")</f>
        <v>0</v>
      </c>
      <c r="W44">
        <f t="array" ref="W44">IFERROR(CONCATENATE((INDEX($Z$7:$Z$38,SMALL(IF($Z$7:$Z$38&lt;&gt;"",IF($W$7:$W$38&lt;&gt;"",ROW($W$7:$W$38)-MIN(ROW($W$7:$W$38))+1,""),""),ROW()-ROW(A$40)+1))),","),"")</f>
        <v>0</v>
      </c>
      <c r="X44">
        <f t="array" ref="X44">IFERROR(CONCATENATE(TEXT(INDEX($W$7:$W$38,SMALL(IF($Z$7:$Z$38&lt;&gt;"",IF($W$7:$W$38&lt;&gt;"",ROW($W$7:$W$38)-MIN(ROW($W$7:$W$38))+1,""),""),ROW()-ROW(A$40)+1)),"##0"),","),"")</f>
        <v>0</v>
      </c>
      <c r="Y44">
        <f t="array" ref="Y44">IFERROR(CONCATENATE((INDEX($A$7:$A$38,SMALL(IF($Z$7:$Z$38&lt;&gt;"",IF($W$7:$W$38&lt;&gt;"",ROW($W$7:$W$38)-MIN(ROW($W$7:$W$38))+1,""),""),ROW()-ROW(A$40)+1))),),"")</f>
        <v>0</v>
      </c>
    </row>
    <row r="45" spans="1:27">
      <c r="K45">
        <f t="array" ref="K45">IFERROR(CONCATENATE(TEXT(INDEX($K$7:$K$38,SMALL(IF($N$7:$N$38&lt;&gt;"",IF($K$7:$K$38&lt;&gt;"",ROW($K$7:$K$38)-MIN(ROW($K$7:$K$38))+1,""),""),ROW()-ROW(A$40)+1)),"##0"),","),"")</f>
        <v>0</v>
      </c>
      <c r="L45">
        <f t="array" ref="L45">IFERROR(CONCATENATE((INDEX($N$7:$N$38,SMALL(IF($N$7:$N$38&lt;&gt;"",IF($K$7:$K$38&lt;&gt;"",ROW($K$7:$K$38)-MIN(ROW($K$7:$K$38))+1,""),""),ROW()-ROW(A$40)+1))),","),"")</f>
        <v>0</v>
      </c>
      <c r="M45">
        <f t="array" ref="M45">IFERROR(CONCATENATE((INDEX($A$7:$A$38,SMALL(IF($N$7:$N$38&lt;&gt;"",IF($K$7:$K$38&lt;&gt;"",ROW($K$7:$K$38)-MIN(ROW($K$7:$K$38))+1,""),""),ROW()-ROW(A$40)+1))),),"")</f>
        <v>0</v>
      </c>
      <c r="Q45">
        <f t="array" ref="Q45">IFERROR(CONCATENATE((INDEX($T$7:$T$38,SMALL(IF($T$7:$T$38&lt;&gt;"",IF($Q$7:$Q$38&lt;&gt;"",ROW($Q$7:$Q$38)-MIN(ROW($Q$7:$Q$38))+1,""),""),ROW()-ROW(A$40)+1)))," "),"")</f>
        <v>0</v>
      </c>
      <c r="R45">
        <f t="array" ref="R45">IFERROR(CONCATENATE(TEXT(INDEX($Q$7:$Q$38,SMALL(IF($T$7:$T$38&lt;&gt;"",IF($Q$7:$Q$38&lt;&gt;"",ROW($Q$7:$Q$38)-MIN(ROW($Q$7:$Q$38))+1,""),""),ROW()-ROW(A$40)+1)),"##0")," "),"")</f>
        <v>0</v>
      </c>
      <c r="S45">
        <f t="array" ref="S45">IFERROR(CONCATENATE((INDEX($A$7:$A$38,SMALL(IF($T$7:$T$38&lt;&gt;"",IF($Q$7:$Q$38&lt;&gt;"",ROW($Q$7:$Q$38)-MIN(ROW($Q$7:$Q$38))+1,""),""),ROW()-ROW(A$40)+1))),),"")</f>
        <v>0</v>
      </c>
      <c r="W45">
        <f t="array" ref="W45">IFERROR(CONCATENATE((INDEX($Z$7:$Z$38,SMALL(IF($Z$7:$Z$38&lt;&gt;"",IF($W$7:$W$38&lt;&gt;"",ROW($W$7:$W$38)-MIN(ROW($W$7:$W$38))+1,""),""),ROW()-ROW(A$40)+1))),","),"")</f>
        <v>0</v>
      </c>
      <c r="X45">
        <f t="array" ref="X45">IFERROR(CONCATENATE(TEXT(INDEX($W$7:$W$38,SMALL(IF($Z$7:$Z$38&lt;&gt;"",IF($W$7:$W$38&lt;&gt;"",ROW($W$7:$W$38)-MIN(ROW($W$7:$W$38))+1,""),""),ROW()-ROW(A$40)+1)),"##0"),","),"")</f>
        <v>0</v>
      </c>
      <c r="Y45">
        <f t="array" ref="Y45">IFERROR(CONCATENATE((INDEX($A$7:$A$38,SMALL(IF($Z$7:$Z$38&lt;&gt;"",IF($W$7:$W$38&lt;&gt;"",ROW($W$7:$W$38)-MIN(ROW($W$7:$W$38))+1,""),""),ROW()-ROW(A$40)+1))),),"")</f>
        <v>0</v>
      </c>
    </row>
    <row r="46" spans="1:27">
      <c r="K46">
        <f t="array" ref="K46">IFERROR(CONCATENATE(TEXT(INDEX($K$7:$K$38,SMALL(IF($N$7:$N$38&lt;&gt;"",IF($K$7:$K$38&lt;&gt;"",ROW($K$7:$K$38)-MIN(ROW($K$7:$K$38))+1,""),""),ROW()-ROW(A$40)+1)),"##0"),","),"")</f>
        <v>0</v>
      </c>
      <c r="L46">
        <f t="array" ref="L46">IFERROR(CONCATENATE((INDEX($N$7:$N$38,SMALL(IF($N$7:$N$38&lt;&gt;"",IF($K$7:$K$38&lt;&gt;"",ROW($K$7:$K$38)-MIN(ROW($K$7:$K$38))+1,""),""),ROW()-ROW(A$40)+1))),","),"")</f>
        <v>0</v>
      </c>
      <c r="M46">
        <f t="array" ref="M46">IFERROR(CONCATENATE((INDEX($A$7:$A$38,SMALL(IF($N$7:$N$38&lt;&gt;"",IF($K$7:$K$38&lt;&gt;"",ROW($K$7:$K$38)-MIN(ROW($K$7:$K$38))+1,""),""),ROW()-ROW(A$40)+1))),),"")</f>
        <v>0</v>
      </c>
      <c r="Q46">
        <f t="array" ref="Q46">IFERROR(CONCATENATE((INDEX($T$7:$T$38,SMALL(IF($T$7:$T$38&lt;&gt;"",IF($Q$7:$Q$38&lt;&gt;"",ROW($Q$7:$Q$38)-MIN(ROW($Q$7:$Q$38))+1,""),""),ROW()-ROW(A$40)+1)))," "),"")</f>
        <v>0</v>
      </c>
      <c r="R46">
        <f t="array" ref="R46">IFERROR(CONCATENATE(TEXT(INDEX($Q$7:$Q$38,SMALL(IF($T$7:$T$38&lt;&gt;"",IF($Q$7:$Q$38&lt;&gt;"",ROW($Q$7:$Q$38)-MIN(ROW($Q$7:$Q$38))+1,""),""),ROW()-ROW(A$40)+1)),"##0")," "),"")</f>
        <v>0</v>
      </c>
      <c r="S46">
        <f t="array" ref="S46">IFERROR(CONCATENATE((INDEX($A$7:$A$38,SMALL(IF($T$7:$T$38&lt;&gt;"",IF($Q$7:$Q$38&lt;&gt;"",ROW($Q$7:$Q$38)-MIN(ROW($Q$7:$Q$38))+1,""),""),ROW()-ROW(A$40)+1))),),"")</f>
        <v>0</v>
      </c>
      <c r="W46">
        <f t="array" ref="W46">IFERROR(CONCATENATE((INDEX($Z$7:$Z$38,SMALL(IF($Z$7:$Z$38&lt;&gt;"",IF($W$7:$W$38&lt;&gt;"",ROW($W$7:$W$38)-MIN(ROW($W$7:$W$38))+1,""),""),ROW()-ROW(A$40)+1))),","),"")</f>
        <v>0</v>
      </c>
      <c r="X46">
        <f t="array" ref="X46">IFERROR(CONCATENATE(TEXT(INDEX($W$7:$W$38,SMALL(IF($Z$7:$Z$38&lt;&gt;"",IF($W$7:$W$38&lt;&gt;"",ROW($W$7:$W$38)-MIN(ROW($W$7:$W$38))+1,""),""),ROW()-ROW(A$40)+1)),"##0"),","),"")</f>
        <v>0</v>
      </c>
      <c r="Y46">
        <f t="array" ref="Y46">IFERROR(CONCATENATE((INDEX($A$7:$A$38,SMALL(IF($Z$7:$Z$38&lt;&gt;"",IF($W$7:$W$38&lt;&gt;"",ROW($W$7:$W$38)-MIN(ROW($W$7:$W$38))+1,""),""),ROW()-ROW(A$40)+1))),),"")</f>
        <v>0</v>
      </c>
    </row>
    <row r="47" spans="1:27">
      <c r="K47">
        <f t="array" ref="K47">IFERROR(CONCATENATE(TEXT(INDEX($K$7:$K$38,SMALL(IF($N$7:$N$38&lt;&gt;"",IF($K$7:$K$38&lt;&gt;"",ROW($K$7:$K$38)-MIN(ROW($K$7:$K$38))+1,""),""),ROW()-ROW(A$40)+1)),"##0"),","),"")</f>
        <v>0</v>
      </c>
      <c r="L47">
        <f t="array" ref="L47">IFERROR(CONCATENATE((INDEX($N$7:$N$38,SMALL(IF($N$7:$N$38&lt;&gt;"",IF($K$7:$K$38&lt;&gt;"",ROW($K$7:$K$38)-MIN(ROW($K$7:$K$38))+1,""),""),ROW()-ROW(A$40)+1))),","),"")</f>
        <v>0</v>
      </c>
      <c r="M47">
        <f t="array" ref="M47">IFERROR(CONCATENATE((INDEX($A$7:$A$38,SMALL(IF($N$7:$N$38&lt;&gt;"",IF($K$7:$K$38&lt;&gt;"",ROW($K$7:$K$38)-MIN(ROW($K$7:$K$38))+1,""),""),ROW()-ROW(A$40)+1))),),"")</f>
        <v>0</v>
      </c>
      <c r="Q47">
        <f t="array" ref="Q47">IFERROR(CONCATENATE((INDEX($T$7:$T$38,SMALL(IF($T$7:$T$38&lt;&gt;"",IF($Q$7:$Q$38&lt;&gt;"",ROW($Q$7:$Q$38)-MIN(ROW($Q$7:$Q$38))+1,""),""),ROW()-ROW(A$40)+1)))," "),"")</f>
        <v>0</v>
      </c>
      <c r="R47">
        <f t="array" ref="R47">IFERROR(CONCATENATE(TEXT(INDEX($Q$7:$Q$38,SMALL(IF($T$7:$T$38&lt;&gt;"",IF($Q$7:$Q$38&lt;&gt;"",ROW($Q$7:$Q$38)-MIN(ROW($Q$7:$Q$38))+1,""),""),ROW()-ROW(A$40)+1)),"##0")," "),"")</f>
        <v>0</v>
      </c>
      <c r="S47">
        <f t="array" ref="S47">IFERROR(CONCATENATE((INDEX($A$7:$A$38,SMALL(IF($T$7:$T$38&lt;&gt;"",IF($Q$7:$Q$38&lt;&gt;"",ROW($Q$7:$Q$38)-MIN(ROW($Q$7:$Q$38))+1,""),""),ROW()-ROW(A$40)+1))),),"")</f>
        <v>0</v>
      </c>
      <c r="W47">
        <f t="array" ref="W47">IFERROR(CONCATENATE((INDEX($Z$7:$Z$38,SMALL(IF($Z$7:$Z$38&lt;&gt;"",IF($W$7:$W$38&lt;&gt;"",ROW($W$7:$W$38)-MIN(ROW($W$7:$W$38))+1,""),""),ROW()-ROW(A$40)+1))),","),"")</f>
        <v>0</v>
      </c>
      <c r="X47">
        <f t="array" ref="X47">IFERROR(CONCATENATE(TEXT(INDEX($W$7:$W$38,SMALL(IF($Z$7:$Z$38&lt;&gt;"",IF($W$7:$W$38&lt;&gt;"",ROW($W$7:$W$38)-MIN(ROW($W$7:$W$38))+1,""),""),ROW()-ROW(A$40)+1)),"##0"),","),"")</f>
        <v>0</v>
      </c>
      <c r="Y47">
        <f t="array" ref="Y47">IFERROR(CONCATENATE((INDEX($A$7:$A$38,SMALL(IF($Z$7:$Z$38&lt;&gt;"",IF($W$7:$W$38&lt;&gt;"",ROW($W$7:$W$38)-MIN(ROW($W$7:$W$38))+1,""),""),ROW()-ROW(A$40)+1))),),"")</f>
        <v>0</v>
      </c>
    </row>
    <row r="48" spans="1:27">
      <c r="K48">
        <f t="array" ref="K48">IFERROR(CONCATENATE(TEXT(INDEX($K$7:$K$38,SMALL(IF($N$7:$N$38&lt;&gt;"",IF($K$7:$K$38&lt;&gt;"",ROW($K$7:$K$38)-MIN(ROW($K$7:$K$38))+1,""),""),ROW()-ROW(A$40)+1)),"##0"),","),"")</f>
        <v>0</v>
      </c>
      <c r="L48">
        <f t="array" ref="L48">IFERROR(CONCATENATE((INDEX($N$7:$N$38,SMALL(IF($N$7:$N$38&lt;&gt;"",IF($K$7:$K$38&lt;&gt;"",ROW($K$7:$K$38)-MIN(ROW($K$7:$K$38))+1,""),""),ROW()-ROW(A$40)+1))),","),"")</f>
        <v>0</v>
      </c>
      <c r="M48">
        <f t="array" ref="M48">IFERROR(CONCATENATE((INDEX($A$7:$A$38,SMALL(IF($N$7:$N$38&lt;&gt;"",IF($K$7:$K$38&lt;&gt;"",ROW($K$7:$K$38)-MIN(ROW($K$7:$K$38))+1,""),""),ROW()-ROW(A$40)+1))),),"")</f>
        <v>0</v>
      </c>
      <c r="Q48">
        <f t="array" ref="Q48">IFERROR(CONCATENATE((INDEX($T$7:$T$38,SMALL(IF($T$7:$T$38&lt;&gt;"",IF($Q$7:$Q$38&lt;&gt;"",ROW($Q$7:$Q$38)-MIN(ROW($Q$7:$Q$38))+1,""),""),ROW()-ROW(A$40)+1)))," "),"")</f>
        <v>0</v>
      </c>
      <c r="R48">
        <f t="array" ref="R48">IFERROR(CONCATENATE(TEXT(INDEX($Q$7:$Q$38,SMALL(IF($T$7:$T$38&lt;&gt;"",IF($Q$7:$Q$38&lt;&gt;"",ROW($Q$7:$Q$38)-MIN(ROW($Q$7:$Q$38))+1,""),""),ROW()-ROW(A$40)+1)),"##0")," "),"")</f>
        <v>0</v>
      </c>
      <c r="S48">
        <f t="array" ref="S48">IFERROR(CONCATENATE((INDEX($A$7:$A$38,SMALL(IF($T$7:$T$38&lt;&gt;"",IF($Q$7:$Q$38&lt;&gt;"",ROW($Q$7:$Q$38)-MIN(ROW($Q$7:$Q$38))+1,""),""),ROW()-ROW(A$40)+1))),),"")</f>
        <v>0</v>
      </c>
      <c r="W48">
        <f t="array" ref="W48">IFERROR(CONCATENATE((INDEX($Z$7:$Z$38,SMALL(IF($Z$7:$Z$38&lt;&gt;"",IF($W$7:$W$38&lt;&gt;"",ROW($W$7:$W$38)-MIN(ROW($W$7:$W$38))+1,""),""),ROW()-ROW(A$40)+1))),","),"")</f>
        <v>0</v>
      </c>
      <c r="X48">
        <f t="array" ref="X48">IFERROR(CONCATENATE(TEXT(INDEX($W$7:$W$38,SMALL(IF($Z$7:$Z$38&lt;&gt;"",IF($W$7:$W$38&lt;&gt;"",ROW($W$7:$W$38)-MIN(ROW($W$7:$W$38))+1,""),""),ROW()-ROW(A$40)+1)),"##0"),","),"")</f>
        <v>0</v>
      </c>
      <c r="Y48">
        <f t="array" ref="Y48">IFERROR(CONCATENATE((INDEX($A$7:$A$38,SMALL(IF($Z$7:$Z$38&lt;&gt;"",IF($W$7:$W$38&lt;&gt;"",ROW($W$7:$W$38)-MIN(ROW($W$7:$W$38))+1,""),""),ROW()-ROW(A$40)+1))),),"")</f>
        <v>0</v>
      </c>
    </row>
    <row r="49" spans="11:25">
      <c r="K49">
        <f t="array" ref="K49">IFERROR(CONCATENATE(TEXT(INDEX($K$7:$K$38,SMALL(IF($N$7:$N$38&lt;&gt;"",IF($K$7:$K$38&lt;&gt;"",ROW($K$7:$K$38)-MIN(ROW($K$7:$K$38))+1,""),""),ROW()-ROW(A$40)+1)),"##0"),","),"")</f>
        <v>0</v>
      </c>
      <c r="L49">
        <f t="array" ref="L49">IFERROR(CONCATENATE((INDEX($N$7:$N$38,SMALL(IF($N$7:$N$38&lt;&gt;"",IF($K$7:$K$38&lt;&gt;"",ROW($K$7:$K$38)-MIN(ROW($K$7:$K$38))+1,""),""),ROW()-ROW(A$40)+1))),","),"")</f>
        <v>0</v>
      </c>
      <c r="M49">
        <f t="array" ref="M49">IFERROR(CONCATENATE((INDEX($A$7:$A$38,SMALL(IF($N$7:$N$38&lt;&gt;"",IF($K$7:$K$38&lt;&gt;"",ROW($K$7:$K$38)-MIN(ROW($K$7:$K$38))+1,""),""),ROW()-ROW(A$40)+1))),),"")</f>
        <v>0</v>
      </c>
      <c r="Q49">
        <f t="array" ref="Q49">IFERROR(CONCATENATE((INDEX($T$7:$T$38,SMALL(IF($T$7:$T$38&lt;&gt;"",IF($Q$7:$Q$38&lt;&gt;"",ROW($Q$7:$Q$38)-MIN(ROW($Q$7:$Q$38))+1,""),""),ROW()-ROW(A$40)+1)))," "),"")</f>
        <v>0</v>
      </c>
      <c r="R49">
        <f t="array" ref="R49">IFERROR(CONCATENATE(TEXT(INDEX($Q$7:$Q$38,SMALL(IF($T$7:$T$38&lt;&gt;"",IF($Q$7:$Q$38&lt;&gt;"",ROW($Q$7:$Q$38)-MIN(ROW($Q$7:$Q$38))+1,""),""),ROW()-ROW(A$40)+1)),"##0")," "),"")</f>
        <v>0</v>
      </c>
      <c r="S49">
        <f t="array" ref="S49">IFERROR(CONCATENATE((INDEX($A$7:$A$38,SMALL(IF($T$7:$T$38&lt;&gt;"",IF($Q$7:$Q$38&lt;&gt;"",ROW($Q$7:$Q$38)-MIN(ROW($Q$7:$Q$38))+1,""),""),ROW()-ROW(A$40)+1))),),"")</f>
        <v>0</v>
      </c>
      <c r="W49">
        <f t="array" ref="W49">IFERROR(CONCATENATE((INDEX($Z$7:$Z$38,SMALL(IF($Z$7:$Z$38&lt;&gt;"",IF($W$7:$W$38&lt;&gt;"",ROW($W$7:$W$38)-MIN(ROW($W$7:$W$38))+1,""),""),ROW()-ROW(A$40)+1))),","),"")</f>
        <v>0</v>
      </c>
      <c r="X49">
        <f t="array" ref="X49">IFERROR(CONCATENATE(TEXT(INDEX($W$7:$W$38,SMALL(IF($Z$7:$Z$38&lt;&gt;"",IF($W$7:$W$38&lt;&gt;"",ROW($W$7:$W$38)-MIN(ROW($W$7:$W$38))+1,""),""),ROW()-ROW(A$40)+1)),"##0"),","),"")</f>
        <v>0</v>
      </c>
      <c r="Y49">
        <f t="array" ref="Y49">IFERROR(CONCATENATE((INDEX($A$7:$A$38,SMALL(IF($Z$7:$Z$38&lt;&gt;"",IF($W$7:$W$38&lt;&gt;"",ROW($W$7:$W$38)-MIN(ROW($W$7:$W$38))+1,""),""),ROW()-ROW(A$40)+1))),),"")</f>
        <v>0</v>
      </c>
    </row>
    <row r="50" spans="11:25">
      <c r="K50">
        <f t="array" ref="K50">IFERROR(CONCATENATE(TEXT(INDEX($K$7:$K$38,SMALL(IF($N$7:$N$38&lt;&gt;"",IF($K$7:$K$38&lt;&gt;"",ROW($K$7:$K$38)-MIN(ROW($K$7:$K$38))+1,""),""),ROW()-ROW(A$40)+1)),"##0"),","),"")</f>
        <v>0</v>
      </c>
      <c r="L50">
        <f t="array" ref="L50">IFERROR(CONCATENATE((INDEX($N$7:$N$38,SMALL(IF($N$7:$N$38&lt;&gt;"",IF($K$7:$K$38&lt;&gt;"",ROW($K$7:$K$38)-MIN(ROW($K$7:$K$38))+1,""),""),ROW()-ROW(A$40)+1))),","),"")</f>
        <v>0</v>
      </c>
      <c r="M50">
        <f t="array" ref="M50">IFERROR(CONCATENATE((INDEX($A$7:$A$38,SMALL(IF($N$7:$N$38&lt;&gt;"",IF($K$7:$K$38&lt;&gt;"",ROW($K$7:$K$38)-MIN(ROW($K$7:$K$38))+1,""),""),ROW()-ROW(A$40)+1))),),"")</f>
        <v>0</v>
      </c>
      <c r="Q50">
        <f t="array" ref="Q50">IFERROR(CONCATENATE((INDEX($T$7:$T$38,SMALL(IF($T$7:$T$38&lt;&gt;"",IF($Q$7:$Q$38&lt;&gt;"",ROW($Q$7:$Q$38)-MIN(ROW($Q$7:$Q$38))+1,""),""),ROW()-ROW(A$40)+1)))," "),"")</f>
        <v>0</v>
      </c>
      <c r="R50">
        <f t="array" ref="R50">IFERROR(CONCATENATE(TEXT(INDEX($Q$7:$Q$38,SMALL(IF($T$7:$T$38&lt;&gt;"",IF($Q$7:$Q$38&lt;&gt;"",ROW($Q$7:$Q$38)-MIN(ROW($Q$7:$Q$38))+1,""),""),ROW()-ROW(A$40)+1)),"##0")," "),"")</f>
        <v>0</v>
      </c>
      <c r="S50">
        <f t="array" ref="S50">IFERROR(CONCATENATE((INDEX($A$7:$A$38,SMALL(IF($T$7:$T$38&lt;&gt;"",IF($Q$7:$Q$38&lt;&gt;"",ROW($Q$7:$Q$38)-MIN(ROW($Q$7:$Q$38))+1,""),""),ROW()-ROW(A$40)+1))),),"")</f>
        <v>0</v>
      </c>
      <c r="W50">
        <f t="array" ref="W50">IFERROR(CONCATENATE((INDEX($Z$7:$Z$38,SMALL(IF($Z$7:$Z$38&lt;&gt;"",IF($W$7:$W$38&lt;&gt;"",ROW($W$7:$W$38)-MIN(ROW($W$7:$W$38))+1,""),""),ROW()-ROW(A$40)+1))),","),"")</f>
        <v>0</v>
      </c>
      <c r="X50">
        <f t="array" ref="X50">IFERROR(CONCATENATE(TEXT(INDEX($W$7:$W$38,SMALL(IF($Z$7:$Z$38&lt;&gt;"",IF($W$7:$W$38&lt;&gt;"",ROW($W$7:$W$38)-MIN(ROW($W$7:$W$38))+1,""),""),ROW()-ROW(A$40)+1)),"##0"),","),"")</f>
        <v>0</v>
      </c>
      <c r="Y50">
        <f t="array" ref="Y50">IFERROR(CONCATENATE((INDEX($A$7:$A$38,SMALL(IF($Z$7:$Z$38&lt;&gt;"",IF($W$7:$W$38&lt;&gt;"",ROW($W$7:$W$38)-MIN(ROW($W$7:$W$38))+1,""),""),ROW()-ROW(A$40)+1))),),"")</f>
        <v>0</v>
      </c>
    </row>
    <row r="51" spans="11:25">
      <c r="K51">
        <f t="array" ref="K51">IFERROR(CONCATENATE(TEXT(INDEX($K$7:$K$38,SMALL(IF($N$7:$N$38&lt;&gt;"",IF($K$7:$K$38&lt;&gt;"",ROW($K$7:$K$38)-MIN(ROW($K$7:$K$38))+1,""),""),ROW()-ROW(A$40)+1)),"##0"),","),"")</f>
        <v>0</v>
      </c>
      <c r="L51">
        <f t="array" ref="L51">IFERROR(CONCATENATE((INDEX($N$7:$N$38,SMALL(IF($N$7:$N$38&lt;&gt;"",IF($K$7:$K$38&lt;&gt;"",ROW($K$7:$K$38)-MIN(ROW($K$7:$K$38))+1,""),""),ROW()-ROW(A$40)+1))),","),"")</f>
        <v>0</v>
      </c>
      <c r="M51">
        <f t="array" ref="M51">IFERROR(CONCATENATE((INDEX($A$7:$A$38,SMALL(IF($N$7:$N$38&lt;&gt;"",IF($K$7:$K$38&lt;&gt;"",ROW($K$7:$K$38)-MIN(ROW($K$7:$K$38))+1,""),""),ROW()-ROW(A$40)+1))),),"")</f>
        <v>0</v>
      </c>
      <c r="Q51">
        <f t="array" ref="Q51">IFERROR(CONCATENATE((INDEX($T$7:$T$38,SMALL(IF($T$7:$T$38&lt;&gt;"",IF($Q$7:$Q$38&lt;&gt;"",ROW($Q$7:$Q$38)-MIN(ROW($Q$7:$Q$38))+1,""),""),ROW()-ROW(A$40)+1)))," "),"")</f>
        <v>0</v>
      </c>
      <c r="R51">
        <f t="array" ref="R51">IFERROR(CONCATENATE(TEXT(INDEX($Q$7:$Q$38,SMALL(IF($T$7:$T$38&lt;&gt;"",IF($Q$7:$Q$38&lt;&gt;"",ROW($Q$7:$Q$38)-MIN(ROW($Q$7:$Q$38))+1,""),""),ROW()-ROW(A$40)+1)),"##0")," "),"")</f>
        <v>0</v>
      </c>
      <c r="S51">
        <f t="array" ref="S51">IFERROR(CONCATENATE((INDEX($A$7:$A$38,SMALL(IF($T$7:$T$38&lt;&gt;"",IF($Q$7:$Q$38&lt;&gt;"",ROW($Q$7:$Q$38)-MIN(ROW($Q$7:$Q$38))+1,""),""),ROW()-ROW(A$40)+1))),),"")</f>
        <v>0</v>
      </c>
      <c r="W51">
        <f t="array" ref="W51">IFERROR(CONCATENATE((INDEX($Z$7:$Z$38,SMALL(IF($Z$7:$Z$38&lt;&gt;"",IF($W$7:$W$38&lt;&gt;"",ROW($W$7:$W$38)-MIN(ROW($W$7:$W$38))+1,""),""),ROW()-ROW(A$40)+1))),","),"")</f>
        <v>0</v>
      </c>
      <c r="X51">
        <f t="array" ref="X51">IFERROR(CONCATENATE(TEXT(INDEX($W$7:$W$38,SMALL(IF($Z$7:$Z$38&lt;&gt;"",IF($W$7:$W$38&lt;&gt;"",ROW($W$7:$W$38)-MIN(ROW($W$7:$W$38))+1,""),""),ROW()-ROW(A$40)+1)),"##0"),","),"")</f>
        <v>0</v>
      </c>
      <c r="Y51">
        <f t="array" ref="Y51">IFERROR(CONCATENATE((INDEX($A$7:$A$38,SMALL(IF($Z$7:$Z$38&lt;&gt;"",IF($W$7:$W$38&lt;&gt;"",ROW($W$7:$W$38)-MIN(ROW($W$7:$W$38))+1,""),""),ROW()-ROW(A$40)+1))),),"")</f>
        <v>0</v>
      </c>
    </row>
    <row r="52" spans="11:25">
      <c r="K52">
        <f t="array" ref="K52">IFERROR(CONCATENATE(TEXT(INDEX($K$7:$K$38,SMALL(IF($N$7:$N$38&lt;&gt;"",IF($K$7:$K$38&lt;&gt;"",ROW($K$7:$K$38)-MIN(ROW($K$7:$K$38))+1,""),""),ROW()-ROW(A$40)+1)),"##0"),","),"")</f>
        <v>0</v>
      </c>
      <c r="L52">
        <f t="array" ref="L52">IFERROR(CONCATENATE((INDEX($N$7:$N$38,SMALL(IF($N$7:$N$38&lt;&gt;"",IF($K$7:$K$38&lt;&gt;"",ROW($K$7:$K$38)-MIN(ROW($K$7:$K$38))+1,""),""),ROW()-ROW(A$40)+1))),","),"")</f>
        <v>0</v>
      </c>
      <c r="M52">
        <f t="array" ref="M52">IFERROR(CONCATENATE((INDEX($A$7:$A$38,SMALL(IF($N$7:$N$38&lt;&gt;"",IF($K$7:$K$38&lt;&gt;"",ROW($K$7:$K$38)-MIN(ROW($K$7:$K$38))+1,""),""),ROW()-ROW(A$40)+1))),),"")</f>
        <v>0</v>
      </c>
      <c r="Q52">
        <f t="array" ref="Q52">IFERROR(CONCATENATE((INDEX($T$7:$T$38,SMALL(IF($T$7:$T$38&lt;&gt;"",IF($Q$7:$Q$38&lt;&gt;"",ROW($Q$7:$Q$38)-MIN(ROW($Q$7:$Q$38))+1,""),""),ROW()-ROW(A$40)+1)))," "),"")</f>
        <v>0</v>
      </c>
      <c r="R52">
        <f t="array" ref="R52">IFERROR(CONCATENATE(TEXT(INDEX($Q$7:$Q$38,SMALL(IF($T$7:$T$38&lt;&gt;"",IF($Q$7:$Q$38&lt;&gt;"",ROW($Q$7:$Q$38)-MIN(ROW($Q$7:$Q$38))+1,""),""),ROW()-ROW(A$40)+1)),"##0")," "),"")</f>
        <v>0</v>
      </c>
      <c r="S52">
        <f t="array" ref="S52">IFERROR(CONCATENATE((INDEX($A$7:$A$38,SMALL(IF($T$7:$T$38&lt;&gt;"",IF($Q$7:$Q$38&lt;&gt;"",ROW($Q$7:$Q$38)-MIN(ROW($Q$7:$Q$38))+1,""),""),ROW()-ROW(A$40)+1))),),"")</f>
        <v>0</v>
      </c>
      <c r="W52">
        <f t="array" ref="W52">IFERROR(CONCATENATE((INDEX($Z$7:$Z$38,SMALL(IF($Z$7:$Z$38&lt;&gt;"",IF($W$7:$W$38&lt;&gt;"",ROW($W$7:$W$38)-MIN(ROW($W$7:$W$38))+1,""),""),ROW()-ROW(A$40)+1))),","),"")</f>
        <v>0</v>
      </c>
      <c r="X52">
        <f t="array" ref="X52">IFERROR(CONCATENATE(TEXT(INDEX($W$7:$W$38,SMALL(IF($Z$7:$Z$38&lt;&gt;"",IF($W$7:$W$38&lt;&gt;"",ROW($W$7:$W$38)-MIN(ROW($W$7:$W$38))+1,""),""),ROW()-ROW(A$40)+1)),"##0"),","),"")</f>
        <v>0</v>
      </c>
      <c r="Y52">
        <f t="array" ref="Y52">IFERROR(CONCATENATE((INDEX($A$7:$A$38,SMALL(IF($Z$7:$Z$38&lt;&gt;"",IF($W$7:$W$38&lt;&gt;"",ROW($W$7:$W$38)-MIN(ROW($W$7:$W$38))+1,""),""),ROW()-ROW(A$40)+1))),),"")</f>
        <v>0</v>
      </c>
    </row>
    <row r="53" spans="11:25">
      <c r="K53">
        <f t="array" ref="K53">IFERROR(CONCATENATE(TEXT(INDEX($K$7:$K$38,SMALL(IF($N$7:$N$38&lt;&gt;"",IF($K$7:$K$38&lt;&gt;"",ROW($K$7:$K$38)-MIN(ROW($K$7:$K$38))+1,""),""),ROW()-ROW(A$40)+1)),"##0"),","),"")</f>
        <v>0</v>
      </c>
      <c r="L53">
        <f t="array" ref="L53">IFERROR(CONCATENATE((INDEX($N$7:$N$38,SMALL(IF($N$7:$N$38&lt;&gt;"",IF($K$7:$K$38&lt;&gt;"",ROW($K$7:$K$38)-MIN(ROW($K$7:$K$38))+1,""),""),ROW()-ROW(A$40)+1))),","),"")</f>
        <v>0</v>
      </c>
      <c r="M53">
        <f t="array" ref="M53">IFERROR(CONCATENATE((INDEX($A$7:$A$38,SMALL(IF($N$7:$N$38&lt;&gt;"",IF($K$7:$K$38&lt;&gt;"",ROW($K$7:$K$38)-MIN(ROW($K$7:$K$38))+1,""),""),ROW()-ROW(A$40)+1))),),"")</f>
        <v>0</v>
      </c>
      <c r="Q53">
        <f t="array" ref="Q53">IFERROR(CONCATENATE((INDEX($T$7:$T$38,SMALL(IF($T$7:$T$38&lt;&gt;"",IF($Q$7:$Q$38&lt;&gt;"",ROW($Q$7:$Q$38)-MIN(ROW($Q$7:$Q$38))+1,""),""),ROW()-ROW(A$40)+1)))," "),"")</f>
        <v>0</v>
      </c>
      <c r="R53">
        <f t="array" ref="R53">IFERROR(CONCATENATE(TEXT(INDEX($Q$7:$Q$38,SMALL(IF($T$7:$T$38&lt;&gt;"",IF($Q$7:$Q$38&lt;&gt;"",ROW($Q$7:$Q$38)-MIN(ROW($Q$7:$Q$38))+1,""),""),ROW()-ROW(A$40)+1)),"##0")," "),"")</f>
        <v>0</v>
      </c>
      <c r="S53">
        <f t="array" ref="S53">IFERROR(CONCATENATE((INDEX($A$7:$A$38,SMALL(IF($T$7:$T$38&lt;&gt;"",IF($Q$7:$Q$38&lt;&gt;"",ROW($Q$7:$Q$38)-MIN(ROW($Q$7:$Q$38))+1,""),""),ROW()-ROW(A$40)+1))),),"")</f>
        <v>0</v>
      </c>
      <c r="W53">
        <f t="array" ref="W53">IFERROR(CONCATENATE((INDEX($Z$7:$Z$38,SMALL(IF($Z$7:$Z$38&lt;&gt;"",IF($W$7:$W$38&lt;&gt;"",ROW($W$7:$W$38)-MIN(ROW($W$7:$W$38))+1,""),""),ROW()-ROW(A$40)+1))),","),"")</f>
        <v>0</v>
      </c>
      <c r="X53">
        <f t="array" ref="X53">IFERROR(CONCATENATE(TEXT(INDEX($W$7:$W$38,SMALL(IF($Z$7:$Z$38&lt;&gt;"",IF($W$7:$W$38&lt;&gt;"",ROW($W$7:$W$38)-MIN(ROW($W$7:$W$38))+1,""),""),ROW()-ROW(A$40)+1)),"##0"),","),"")</f>
        <v>0</v>
      </c>
      <c r="Y53">
        <f t="array" ref="Y53">IFERROR(CONCATENATE((INDEX($A$7:$A$38,SMALL(IF($Z$7:$Z$38&lt;&gt;"",IF($W$7:$W$38&lt;&gt;"",ROW($W$7:$W$38)-MIN(ROW($W$7:$W$38))+1,""),""),ROW()-ROW(A$40)+1))),),"")</f>
        <v>0</v>
      </c>
    </row>
    <row r="54" spans="11:25">
      <c r="K54">
        <f t="array" ref="K54">IFERROR(CONCATENATE(TEXT(INDEX($K$7:$K$38,SMALL(IF($N$7:$N$38&lt;&gt;"",IF($K$7:$K$38&lt;&gt;"",ROW($K$7:$K$38)-MIN(ROW($K$7:$K$38))+1,""),""),ROW()-ROW(A$40)+1)),"##0"),","),"")</f>
        <v>0</v>
      </c>
      <c r="L54">
        <f t="array" ref="L54">IFERROR(CONCATENATE((INDEX($N$7:$N$38,SMALL(IF($N$7:$N$38&lt;&gt;"",IF($K$7:$K$38&lt;&gt;"",ROW($K$7:$K$38)-MIN(ROW($K$7:$K$38))+1,""),""),ROW()-ROW(A$40)+1))),","),"")</f>
        <v>0</v>
      </c>
      <c r="M54">
        <f t="array" ref="M54">IFERROR(CONCATENATE((INDEX($A$7:$A$38,SMALL(IF($N$7:$N$38&lt;&gt;"",IF($K$7:$K$38&lt;&gt;"",ROW($K$7:$K$38)-MIN(ROW($K$7:$K$38))+1,""),""),ROW()-ROW(A$40)+1))),),"")</f>
        <v>0</v>
      </c>
      <c r="Q54">
        <f t="array" ref="Q54">IFERROR(CONCATENATE((INDEX($T$7:$T$38,SMALL(IF($T$7:$T$38&lt;&gt;"",IF($Q$7:$Q$38&lt;&gt;"",ROW($Q$7:$Q$38)-MIN(ROW($Q$7:$Q$38))+1,""),""),ROW()-ROW(A$40)+1)))," "),"")</f>
        <v>0</v>
      </c>
      <c r="R54">
        <f t="array" ref="R54">IFERROR(CONCATENATE(TEXT(INDEX($Q$7:$Q$38,SMALL(IF($T$7:$T$38&lt;&gt;"",IF($Q$7:$Q$38&lt;&gt;"",ROW($Q$7:$Q$38)-MIN(ROW($Q$7:$Q$38))+1,""),""),ROW()-ROW(A$40)+1)),"##0")," "),"")</f>
        <v>0</v>
      </c>
      <c r="S54">
        <f t="array" ref="S54">IFERROR(CONCATENATE((INDEX($A$7:$A$38,SMALL(IF($T$7:$T$38&lt;&gt;"",IF($Q$7:$Q$38&lt;&gt;"",ROW($Q$7:$Q$38)-MIN(ROW($Q$7:$Q$38))+1,""),""),ROW()-ROW(A$40)+1))),),"")</f>
        <v>0</v>
      </c>
      <c r="W54">
        <f t="array" ref="W54">IFERROR(CONCATENATE((INDEX($Z$7:$Z$38,SMALL(IF($Z$7:$Z$38&lt;&gt;"",IF($W$7:$W$38&lt;&gt;"",ROW($W$7:$W$38)-MIN(ROW($W$7:$W$38))+1,""),""),ROW()-ROW(A$40)+1))),","),"")</f>
        <v>0</v>
      </c>
      <c r="X54">
        <f t="array" ref="X54">IFERROR(CONCATENATE(TEXT(INDEX($W$7:$W$38,SMALL(IF($Z$7:$Z$38&lt;&gt;"",IF($W$7:$W$38&lt;&gt;"",ROW($W$7:$W$38)-MIN(ROW($W$7:$W$38))+1,""),""),ROW()-ROW(A$40)+1)),"##0"),","),"")</f>
        <v>0</v>
      </c>
      <c r="Y54">
        <f t="array" ref="Y54">IFERROR(CONCATENATE((INDEX($A$7:$A$38,SMALL(IF($Z$7:$Z$38&lt;&gt;"",IF($W$7:$W$38&lt;&gt;"",ROW($W$7:$W$38)-MIN(ROW($W$7:$W$38))+1,""),""),ROW()-ROW(A$40)+1))),),"")</f>
        <v>0</v>
      </c>
    </row>
    <row r="55" spans="11:25">
      <c r="K55">
        <f t="array" ref="K55">IFERROR(CONCATENATE(TEXT(INDEX($K$7:$K$38,SMALL(IF($N$7:$N$38&lt;&gt;"",IF($K$7:$K$38&lt;&gt;"",ROW($K$7:$K$38)-MIN(ROW($K$7:$K$38))+1,""),""),ROW()-ROW(A$40)+1)),"##0"),","),"")</f>
        <v>0</v>
      </c>
      <c r="L55">
        <f t="array" ref="L55">IFERROR(CONCATENATE((INDEX($N$7:$N$38,SMALL(IF($N$7:$N$38&lt;&gt;"",IF($K$7:$K$38&lt;&gt;"",ROW($K$7:$K$38)-MIN(ROW($K$7:$K$38))+1,""),""),ROW()-ROW(A$40)+1))),","),"")</f>
        <v>0</v>
      </c>
      <c r="M55">
        <f t="array" ref="M55">IFERROR(CONCATENATE((INDEX($A$7:$A$38,SMALL(IF($N$7:$N$38&lt;&gt;"",IF($K$7:$K$38&lt;&gt;"",ROW($K$7:$K$38)-MIN(ROW($K$7:$K$38))+1,""),""),ROW()-ROW(A$40)+1))),),"")</f>
        <v>0</v>
      </c>
      <c r="Q55">
        <f t="array" ref="Q55">IFERROR(CONCATENATE((INDEX($T$7:$T$38,SMALL(IF($T$7:$T$38&lt;&gt;"",IF($Q$7:$Q$38&lt;&gt;"",ROW($Q$7:$Q$38)-MIN(ROW($Q$7:$Q$38))+1,""),""),ROW()-ROW(A$40)+1)))," "),"")</f>
        <v>0</v>
      </c>
      <c r="R55">
        <f t="array" ref="R55">IFERROR(CONCATENATE(TEXT(INDEX($Q$7:$Q$38,SMALL(IF($T$7:$T$38&lt;&gt;"",IF($Q$7:$Q$38&lt;&gt;"",ROW($Q$7:$Q$38)-MIN(ROW($Q$7:$Q$38))+1,""),""),ROW()-ROW(A$40)+1)),"##0")," "),"")</f>
        <v>0</v>
      </c>
      <c r="S55">
        <f t="array" ref="S55">IFERROR(CONCATENATE((INDEX($A$7:$A$38,SMALL(IF($T$7:$T$38&lt;&gt;"",IF($Q$7:$Q$38&lt;&gt;"",ROW($Q$7:$Q$38)-MIN(ROW($Q$7:$Q$38))+1,""),""),ROW()-ROW(A$40)+1))),),"")</f>
        <v>0</v>
      </c>
      <c r="W55">
        <f t="array" ref="W55">IFERROR(CONCATENATE((INDEX($Z$7:$Z$38,SMALL(IF($Z$7:$Z$38&lt;&gt;"",IF($W$7:$W$38&lt;&gt;"",ROW($W$7:$W$38)-MIN(ROW($W$7:$W$38))+1,""),""),ROW()-ROW(A$40)+1))),","),"")</f>
        <v>0</v>
      </c>
      <c r="X55">
        <f t="array" ref="X55">IFERROR(CONCATENATE(TEXT(INDEX($W$7:$W$38,SMALL(IF($Z$7:$Z$38&lt;&gt;"",IF($W$7:$W$38&lt;&gt;"",ROW($W$7:$W$38)-MIN(ROW($W$7:$W$38))+1,""),""),ROW()-ROW(A$40)+1)),"##0"),","),"")</f>
        <v>0</v>
      </c>
      <c r="Y55">
        <f t="array" ref="Y55">IFERROR(CONCATENATE((INDEX($A$7:$A$38,SMALL(IF($Z$7:$Z$38&lt;&gt;"",IF($W$7:$W$38&lt;&gt;"",ROW($W$7:$W$38)-MIN(ROW($W$7:$W$38))+1,""),""),ROW()-ROW(A$40)+1))),),"")</f>
        <v>0</v>
      </c>
    </row>
    <row r="56" spans="11:25">
      <c r="K56">
        <f t="array" ref="K56">IFERROR(CONCATENATE(TEXT(INDEX($K$7:$K$38,SMALL(IF($N$7:$N$38&lt;&gt;"",IF($K$7:$K$38&lt;&gt;"",ROW($K$7:$K$38)-MIN(ROW($K$7:$K$38))+1,""),""),ROW()-ROW(A$40)+1)),"##0"),","),"")</f>
        <v>0</v>
      </c>
      <c r="L56">
        <f t="array" ref="L56">IFERROR(CONCATENATE((INDEX($N$7:$N$38,SMALL(IF($N$7:$N$38&lt;&gt;"",IF($K$7:$K$38&lt;&gt;"",ROW($K$7:$K$38)-MIN(ROW($K$7:$K$38))+1,""),""),ROW()-ROW(A$40)+1))),","),"")</f>
        <v>0</v>
      </c>
      <c r="M56">
        <f t="array" ref="M56">IFERROR(CONCATENATE((INDEX($A$7:$A$38,SMALL(IF($N$7:$N$38&lt;&gt;"",IF($K$7:$K$38&lt;&gt;"",ROW($K$7:$K$38)-MIN(ROW($K$7:$K$38))+1,""),""),ROW()-ROW(A$40)+1))),),"")</f>
        <v>0</v>
      </c>
      <c r="Q56">
        <f t="array" ref="Q56">IFERROR(CONCATENATE((INDEX($T$7:$T$38,SMALL(IF($T$7:$T$38&lt;&gt;"",IF($Q$7:$Q$38&lt;&gt;"",ROW($Q$7:$Q$38)-MIN(ROW($Q$7:$Q$38))+1,""),""),ROW()-ROW(A$40)+1)))," "),"")</f>
        <v>0</v>
      </c>
      <c r="R56">
        <f t="array" ref="R56">IFERROR(CONCATENATE(TEXT(INDEX($Q$7:$Q$38,SMALL(IF($T$7:$T$38&lt;&gt;"",IF($Q$7:$Q$38&lt;&gt;"",ROW($Q$7:$Q$38)-MIN(ROW($Q$7:$Q$38))+1,""),""),ROW()-ROW(A$40)+1)),"##0")," "),"")</f>
        <v>0</v>
      </c>
      <c r="S56">
        <f t="array" ref="S56">IFERROR(CONCATENATE((INDEX($A$7:$A$38,SMALL(IF($T$7:$T$38&lt;&gt;"",IF($Q$7:$Q$38&lt;&gt;"",ROW($Q$7:$Q$38)-MIN(ROW($Q$7:$Q$38))+1,""),""),ROW()-ROW(A$40)+1))),),"")</f>
        <v>0</v>
      </c>
      <c r="W56">
        <f t="array" ref="W56">IFERROR(CONCATENATE((INDEX($Z$7:$Z$38,SMALL(IF($Z$7:$Z$38&lt;&gt;"",IF($W$7:$W$38&lt;&gt;"",ROW($W$7:$W$38)-MIN(ROW($W$7:$W$38))+1,""),""),ROW()-ROW(A$40)+1))),","),"")</f>
        <v>0</v>
      </c>
      <c r="X56">
        <f t="array" ref="X56">IFERROR(CONCATENATE(TEXT(INDEX($W$7:$W$38,SMALL(IF($Z$7:$Z$38&lt;&gt;"",IF($W$7:$W$38&lt;&gt;"",ROW($W$7:$W$38)-MIN(ROW($W$7:$W$38))+1,""),""),ROW()-ROW(A$40)+1)),"##0"),","),"")</f>
        <v>0</v>
      </c>
      <c r="Y56">
        <f t="array" ref="Y56">IFERROR(CONCATENATE((INDEX($A$7:$A$38,SMALL(IF($Z$7:$Z$38&lt;&gt;"",IF($W$7:$W$38&lt;&gt;"",ROW($W$7:$W$38)-MIN(ROW($W$7:$W$38))+1,""),""),ROW()-ROW(A$40)+1))),),"")</f>
        <v>0</v>
      </c>
    </row>
    <row r="57" spans="11:25">
      <c r="K57">
        <f t="array" ref="K57">IFERROR(CONCATENATE(TEXT(INDEX($K$7:$K$38,SMALL(IF($N$7:$N$38&lt;&gt;"",IF($K$7:$K$38&lt;&gt;"",ROW($K$7:$K$38)-MIN(ROW($K$7:$K$38))+1,""),""),ROW()-ROW(A$40)+1)),"##0"),","),"")</f>
        <v>0</v>
      </c>
      <c r="L57">
        <f t="array" ref="L57">IFERROR(CONCATENATE((INDEX($N$7:$N$38,SMALL(IF($N$7:$N$38&lt;&gt;"",IF($K$7:$K$38&lt;&gt;"",ROW($K$7:$K$38)-MIN(ROW($K$7:$K$38))+1,""),""),ROW()-ROW(A$40)+1))),","),"")</f>
        <v>0</v>
      </c>
      <c r="M57">
        <f t="array" ref="M57">IFERROR(CONCATENATE((INDEX($A$7:$A$38,SMALL(IF($N$7:$N$38&lt;&gt;"",IF($K$7:$K$38&lt;&gt;"",ROW($K$7:$K$38)-MIN(ROW($K$7:$K$38))+1,""),""),ROW()-ROW(A$40)+1))),),"")</f>
        <v>0</v>
      </c>
      <c r="Q57">
        <f t="array" ref="Q57">IFERROR(CONCATENATE((INDEX($T$7:$T$38,SMALL(IF($T$7:$T$38&lt;&gt;"",IF($Q$7:$Q$38&lt;&gt;"",ROW($Q$7:$Q$38)-MIN(ROW($Q$7:$Q$38))+1,""),""),ROW()-ROW(A$40)+1)))," "),"")</f>
        <v>0</v>
      </c>
      <c r="R57">
        <f t="array" ref="R57">IFERROR(CONCATENATE(TEXT(INDEX($Q$7:$Q$38,SMALL(IF($T$7:$T$38&lt;&gt;"",IF($Q$7:$Q$38&lt;&gt;"",ROW($Q$7:$Q$38)-MIN(ROW($Q$7:$Q$38))+1,""),""),ROW()-ROW(A$40)+1)),"##0")," "),"")</f>
        <v>0</v>
      </c>
      <c r="S57">
        <f t="array" ref="S57">IFERROR(CONCATENATE((INDEX($A$7:$A$38,SMALL(IF($T$7:$T$38&lt;&gt;"",IF($Q$7:$Q$38&lt;&gt;"",ROW($Q$7:$Q$38)-MIN(ROW($Q$7:$Q$38))+1,""),""),ROW()-ROW(A$40)+1))),),"")</f>
        <v>0</v>
      </c>
      <c r="W57">
        <f t="array" ref="W57">IFERROR(CONCATENATE((INDEX($Z$7:$Z$38,SMALL(IF($Z$7:$Z$38&lt;&gt;"",IF($W$7:$W$38&lt;&gt;"",ROW($W$7:$W$38)-MIN(ROW($W$7:$W$38))+1,""),""),ROW()-ROW(A$40)+1))),","),"")</f>
        <v>0</v>
      </c>
      <c r="X57">
        <f t="array" ref="X57">IFERROR(CONCATENATE(TEXT(INDEX($W$7:$W$38,SMALL(IF($Z$7:$Z$38&lt;&gt;"",IF($W$7:$W$38&lt;&gt;"",ROW($W$7:$W$38)-MIN(ROW($W$7:$W$38))+1,""),""),ROW()-ROW(A$40)+1)),"##0"),","),"")</f>
        <v>0</v>
      </c>
      <c r="Y57">
        <f t="array" ref="Y57">IFERROR(CONCATENATE((INDEX($A$7:$A$38,SMALL(IF($Z$7:$Z$38&lt;&gt;"",IF($W$7:$W$38&lt;&gt;"",ROW($W$7:$W$38)-MIN(ROW($W$7:$W$38))+1,""),""),ROW()-ROW(A$40)+1))),),"")</f>
        <v>0</v>
      </c>
    </row>
    <row r="58" spans="11:25">
      <c r="K58">
        <f t="array" ref="K58">IFERROR(CONCATENATE(TEXT(INDEX($K$7:$K$38,SMALL(IF($N$7:$N$38&lt;&gt;"",IF($K$7:$K$38&lt;&gt;"",ROW($K$7:$K$38)-MIN(ROW($K$7:$K$38))+1,""),""),ROW()-ROW(A$40)+1)),"##0"),","),"")</f>
        <v>0</v>
      </c>
      <c r="L58">
        <f t="array" ref="L58">IFERROR(CONCATENATE((INDEX($N$7:$N$38,SMALL(IF($N$7:$N$38&lt;&gt;"",IF($K$7:$K$38&lt;&gt;"",ROW($K$7:$K$38)-MIN(ROW($K$7:$K$38))+1,""),""),ROW()-ROW(A$40)+1))),","),"")</f>
        <v>0</v>
      </c>
      <c r="M58">
        <f t="array" ref="M58">IFERROR(CONCATENATE((INDEX($A$7:$A$38,SMALL(IF($N$7:$N$38&lt;&gt;"",IF($K$7:$K$38&lt;&gt;"",ROW($K$7:$K$38)-MIN(ROW($K$7:$K$38))+1,""),""),ROW()-ROW(A$40)+1))),),"")</f>
        <v>0</v>
      </c>
      <c r="Q58">
        <f t="array" ref="Q58">IFERROR(CONCATENATE((INDEX($T$7:$T$38,SMALL(IF($T$7:$T$38&lt;&gt;"",IF($Q$7:$Q$38&lt;&gt;"",ROW($Q$7:$Q$38)-MIN(ROW($Q$7:$Q$38))+1,""),""),ROW()-ROW(A$40)+1)))," "),"")</f>
        <v>0</v>
      </c>
      <c r="R58">
        <f t="array" ref="R58">IFERROR(CONCATENATE(TEXT(INDEX($Q$7:$Q$38,SMALL(IF($T$7:$T$38&lt;&gt;"",IF($Q$7:$Q$38&lt;&gt;"",ROW($Q$7:$Q$38)-MIN(ROW($Q$7:$Q$38))+1,""),""),ROW()-ROW(A$40)+1)),"##0")," "),"")</f>
        <v>0</v>
      </c>
      <c r="S58">
        <f t="array" ref="S58">IFERROR(CONCATENATE((INDEX($A$7:$A$38,SMALL(IF($T$7:$T$38&lt;&gt;"",IF($Q$7:$Q$38&lt;&gt;"",ROW($Q$7:$Q$38)-MIN(ROW($Q$7:$Q$38))+1,""),""),ROW()-ROW(A$40)+1))),),"")</f>
        <v>0</v>
      </c>
      <c r="W58">
        <f t="array" ref="W58">IFERROR(CONCATENATE((INDEX($Z$7:$Z$38,SMALL(IF($Z$7:$Z$38&lt;&gt;"",IF($W$7:$W$38&lt;&gt;"",ROW($W$7:$W$38)-MIN(ROW($W$7:$W$38))+1,""),""),ROW()-ROW(A$40)+1))),","),"")</f>
        <v>0</v>
      </c>
      <c r="X58">
        <f t="array" ref="X58">IFERROR(CONCATENATE(TEXT(INDEX($W$7:$W$38,SMALL(IF($Z$7:$Z$38&lt;&gt;"",IF($W$7:$W$38&lt;&gt;"",ROW($W$7:$W$38)-MIN(ROW($W$7:$W$38))+1,""),""),ROW()-ROW(A$40)+1)),"##0"),","),"")</f>
        <v>0</v>
      </c>
      <c r="Y58">
        <f t="array" ref="Y58">IFERROR(CONCATENATE((INDEX($A$7:$A$38,SMALL(IF($Z$7:$Z$38&lt;&gt;"",IF($W$7:$W$38&lt;&gt;"",ROW($W$7:$W$38)-MIN(ROW($W$7:$W$38))+1,""),""),ROW()-ROW(A$40)+1))),),"")</f>
        <v>0</v>
      </c>
    </row>
    <row r="59" spans="11:25">
      <c r="K59">
        <f t="array" ref="K59">IFERROR(CONCATENATE(TEXT(INDEX($K$7:$K$38,SMALL(IF($N$7:$N$38&lt;&gt;"",IF($K$7:$K$38&lt;&gt;"",ROW($K$7:$K$38)-MIN(ROW($K$7:$K$38))+1,""),""),ROW()-ROW(A$40)+1)),"##0"),","),"")</f>
        <v>0</v>
      </c>
      <c r="L59">
        <f t="array" ref="L59">IFERROR(CONCATENATE((INDEX($N$7:$N$38,SMALL(IF($N$7:$N$38&lt;&gt;"",IF($K$7:$K$38&lt;&gt;"",ROW($K$7:$K$38)-MIN(ROW($K$7:$K$38))+1,""),""),ROW()-ROW(A$40)+1))),","),"")</f>
        <v>0</v>
      </c>
      <c r="M59">
        <f t="array" ref="M59">IFERROR(CONCATENATE((INDEX($A$7:$A$38,SMALL(IF($N$7:$N$38&lt;&gt;"",IF($K$7:$K$38&lt;&gt;"",ROW($K$7:$K$38)-MIN(ROW($K$7:$K$38))+1,""),""),ROW()-ROW(A$40)+1))),),"")</f>
        <v>0</v>
      </c>
      <c r="Q59">
        <f t="array" ref="Q59">IFERROR(CONCATENATE((INDEX($T$7:$T$38,SMALL(IF($T$7:$T$38&lt;&gt;"",IF($Q$7:$Q$38&lt;&gt;"",ROW($Q$7:$Q$38)-MIN(ROW($Q$7:$Q$38))+1,""),""),ROW()-ROW(A$40)+1)))," "),"")</f>
        <v>0</v>
      </c>
      <c r="R59">
        <f t="array" ref="R59">IFERROR(CONCATENATE(TEXT(INDEX($Q$7:$Q$38,SMALL(IF($T$7:$T$38&lt;&gt;"",IF($Q$7:$Q$38&lt;&gt;"",ROW($Q$7:$Q$38)-MIN(ROW($Q$7:$Q$38))+1,""),""),ROW()-ROW(A$40)+1)),"##0")," "),"")</f>
        <v>0</v>
      </c>
      <c r="S59">
        <f t="array" ref="S59">IFERROR(CONCATENATE((INDEX($A$7:$A$38,SMALL(IF($T$7:$T$38&lt;&gt;"",IF($Q$7:$Q$38&lt;&gt;"",ROW($Q$7:$Q$38)-MIN(ROW($Q$7:$Q$38))+1,""),""),ROW()-ROW(A$40)+1))),),"")</f>
        <v>0</v>
      </c>
      <c r="W59">
        <f t="array" ref="W59">IFERROR(CONCATENATE((INDEX($Z$7:$Z$38,SMALL(IF($Z$7:$Z$38&lt;&gt;"",IF($W$7:$W$38&lt;&gt;"",ROW($W$7:$W$38)-MIN(ROW($W$7:$W$38))+1,""),""),ROW()-ROW(A$40)+1))),","),"")</f>
        <v>0</v>
      </c>
      <c r="X59">
        <f t="array" ref="X59">IFERROR(CONCATENATE(TEXT(INDEX($W$7:$W$38,SMALL(IF($Z$7:$Z$38&lt;&gt;"",IF($W$7:$W$38&lt;&gt;"",ROW($W$7:$W$38)-MIN(ROW($W$7:$W$38))+1,""),""),ROW()-ROW(A$40)+1)),"##0"),","),"")</f>
        <v>0</v>
      </c>
      <c r="Y59">
        <f t="array" ref="Y59">IFERROR(CONCATENATE((INDEX($A$7:$A$38,SMALL(IF($Z$7:$Z$38&lt;&gt;"",IF($W$7:$W$38&lt;&gt;"",ROW($W$7:$W$38)-MIN(ROW($W$7:$W$38))+1,""),""),ROW()-ROW(A$40)+1))),),"")</f>
        <v>0</v>
      </c>
    </row>
    <row r="60" spans="11:25">
      <c r="K60">
        <f t="array" ref="K60">IFERROR(CONCATENATE(TEXT(INDEX($K$7:$K$38,SMALL(IF($N$7:$N$38&lt;&gt;"",IF($K$7:$K$38&lt;&gt;"",ROW($K$7:$K$38)-MIN(ROW($K$7:$K$38))+1,""),""),ROW()-ROW(A$40)+1)),"##0"),","),"")</f>
        <v>0</v>
      </c>
      <c r="L60">
        <f t="array" ref="L60">IFERROR(CONCATENATE((INDEX($N$7:$N$38,SMALL(IF($N$7:$N$38&lt;&gt;"",IF($K$7:$K$38&lt;&gt;"",ROW($K$7:$K$38)-MIN(ROW($K$7:$K$38))+1,""),""),ROW()-ROW(A$40)+1))),","),"")</f>
        <v>0</v>
      </c>
      <c r="M60">
        <f t="array" ref="M60">IFERROR(CONCATENATE((INDEX($A$7:$A$38,SMALL(IF($N$7:$N$38&lt;&gt;"",IF($K$7:$K$38&lt;&gt;"",ROW($K$7:$K$38)-MIN(ROW($K$7:$K$38))+1,""),""),ROW()-ROW(A$40)+1))),),"")</f>
        <v>0</v>
      </c>
      <c r="Q60">
        <f t="array" ref="Q60">IFERROR(CONCATENATE((INDEX($T$7:$T$38,SMALL(IF($T$7:$T$38&lt;&gt;"",IF($Q$7:$Q$38&lt;&gt;"",ROW($Q$7:$Q$38)-MIN(ROW($Q$7:$Q$38))+1,""),""),ROW()-ROW(A$40)+1)))," "),"")</f>
        <v>0</v>
      </c>
      <c r="R60">
        <f t="array" ref="R60">IFERROR(CONCATENATE(TEXT(INDEX($Q$7:$Q$38,SMALL(IF($T$7:$T$38&lt;&gt;"",IF($Q$7:$Q$38&lt;&gt;"",ROW($Q$7:$Q$38)-MIN(ROW($Q$7:$Q$38))+1,""),""),ROW()-ROW(A$40)+1)),"##0")," "),"")</f>
        <v>0</v>
      </c>
      <c r="S60">
        <f t="array" ref="S60">IFERROR(CONCATENATE((INDEX($A$7:$A$38,SMALL(IF($T$7:$T$38&lt;&gt;"",IF($Q$7:$Q$38&lt;&gt;"",ROW($Q$7:$Q$38)-MIN(ROW($Q$7:$Q$38))+1,""),""),ROW()-ROW(A$40)+1))),),"")</f>
        <v>0</v>
      </c>
      <c r="W60">
        <f t="array" ref="W60">IFERROR(CONCATENATE((INDEX($Z$7:$Z$38,SMALL(IF($Z$7:$Z$38&lt;&gt;"",IF($W$7:$W$38&lt;&gt;"",ROW($W$7:$W$38)-MIN(ROW($W$7:$W$38))+1,""),""),ROW()-ROW(A$40)+1))),","),"")</f>
        <v>0</v>
      </c>
      <c r="X60">
        <f t="array" ref="X60">IFERROR(CONCATENATE(TEXT(INDEX($W$7:$W$38,SMALL(IF($Z$7:$Z$38&lt;&gt;"",IF($W$7:$W$38&lt;&gt;"",ROW($W$7:$W$38)-MIN(ROW($W$7:$W$38))+1,""),""),ROW()-ROW(A$40)+1)),"##0"),","),"")</f>
        <v>0</v>
      </c>
      <c r="Y60">
        <f t="array" ref="Y60">IFERROR(CONCATENATE((INDEX($A$7:$A$38,SMALL(IF($Z$7:$Z$38&lt;&gt;"",IF($W$7:$W$38&lt;&gt;"",ROW($W$7:$W$38)-MIN(ROW($W$7:$W$38))+1,""),""),ROW()-ROW(A$40)+1))),),"")</f>
        <v>0</v>
      </c>
    </row>
    <row r="61" spans="11:25">
      <c r="K61">
        <f t="array" ref="K61">IFERROR(CONCATENATE(TEXT(INDEX($K$7:$K$38,SMALL(IF($N$7:$N$38&lt;&gt;"",IF($K$7:$K$38&lt;&gt;"",ROW($K$7:$K$38)-MIN(ROW($K$7:$K$38))+1,""),""),ROW()-ROW(A$40)+1)),"##0"),","),"")</f>
        <v>0</v>
      </c>
      <c r="L61">
        <f t="array" ref="L61">IFERROR(CONCATENATE((INDEX($N$7:$N$38,SMALL(IF($N$7:$N$38&lt;&gt;"",IF($K$7:$K$38&lt;&gt;"",ROW($K$7:$K$38)-MIN(ROW($K$7:$K$38))+1,""),""),ROW()-ROW(A$40)+1))),","),"")</f>
        <v>0</v>
      </c>
      <c r="M61">
        <f t="array" ref="M61">IFERROR(CONCATENATE((INDEX($A$7:$A$38,SMALL(IF($N$7:$N$38&lt;&gt;"",IF($K$7:$K$38&lt;&gt;"",ROW($K$7:$K$38)-MIN(ROW($K$7:$K$38))+1,""),""),ROW()-ROW(A$40)+1))),),"")</f>
        <v>0</v>
      </c>
      <c r="Q61">
        <f t="array" ref="Q61">IFERROR(CONCATENATE((INDEX($T$7:$T$38,SMALL(IF($T$7:$T$38&lt;&gt;"",IF($Q$7:$Q$38&lt;&gt;"",ROW($Q$7:$Q$38)-MIN(ROW($Q$7:$Q$38))+1,""),""),ROW()-ROW(A$40)+1)))," "),"")</f>
        <v>0</v>
      </c>
      <c r="R61">
        <f t="array" ref="R61">IFERROR(CONCATENATE(TEXT(INDEX($Q$7:$Q$38,SMALL(IF($T$7:$T$38&lt;&gt;"",IF($Q$7:$Q$38&lt;&gt;"",ROW($Q$7:$Q$38)-MIN(ROW($Q$7:$Q$38))+1,""),""),ROW()-ROW(A$40)+1)),"##0")," "),"")</f>
        <v>0</v>
      </c>
      <c r="S61">
        <f t="array" ref="S61">IFERROR(CONCATENATE((INDEX($A$7:$A$38,SMALL(IF($T$7:$T$38&lt;&gt;"",IF($Q$7:$Q$38&lt;&gt;"",ROW($Q$7:$Q$38)-MIN(ROW($Q$7:$Q$38))+1,""),""),ROW()-ROW(A$40)+1))),),"")</f>
        <v>0</v>
      </c>
      <c r="W61">
        <f t="array" ref="W61">IFERROR(CONCATENATE((INDEX($Z$7:$Z$38,SMALL(IF($Z$7:$Z$38&lt;&gt;"",IF($W$7:$W$38&lt;&gt;"",ROW($W$7:$W$38)-MIN(ROW($W$7:$W$38))+1,""),""),ROW()-ROW(A$40)+1))),","),"")</f>
        <v>0</v>
      </c>
      <c r="X61">
        <f t="array" ref="X61">IFERROR(CONCATENATE(TEXT(INDEX($W$7:$W$38,SMALL(IF($Z$7:$Z$38&lt;&gt;"",IF($W$7:$W$38&lt;&gt;"",ROW($W$7:$W$38)-MIN(ROW($W$7:$W$38))+1,""),""),ROW()-ROW(A$40)+1)),"##0"),","),"")</f>
        <v>0</v>
      </c>
      <c r="Y61">
        <f t="array" ref="Y61">IFERROR(CONCATENATE((INDEX($A$7:$A$38,SMALL(IF($Z$7:$Z$38&lt;&gt;"",IF($W$7:$W$38&lt;&gt;"",ROW($W$7:$W$38)-MIN(ROW($W$7:$W$38))+1,""),""),ROW()-ROW(A$40)+1))),),"")</f>
        <v>0</v>
      </c>
    </row>
    <row r="62" spans="11:25">
      <c r="K62">
        <f t="array" ref="K62">IFERROR(CONCATENATE(TEXT(INDEX($K$7:$K$38,SMALL(IF($N$7:$N$38&lt;&gt;"",IF($K$7:$K$38&lt;&gt;"",ROW($K$7:$K$38)-MIN(ROW($K$7:$K$38))+1,""),""),ROW()-ROW(A$40)+1)),"##0"),","),"")</f>
        <v>0</v>
      </c>
      <c r="L62">
        <f t="array" ref="L62">IFERROR(CONCATENATE((INDEX($N$7:$N$38,SMALL(IF($N$7:$N$38&lt;&gt;"",IF($K$7:$K$38&lt;&gt;"",ROW($K$7:$K$38)-MIN(ROW($K$7:$K$38))+1,""),""),ROW()-ROW(A$40)+1))),","),"")</f>
        <v>0</v>
      </c>
      <c r="M62">
        <f t="array" ref="M62">IFERROR(CONCATENATE((INDEX($A$7:$A$38,SMALL(IF($N$7:$N$38&lt;&gt;"",IF($K$7:$K$38&lt;&gt;"",ROW($K$7:$K$38)-MIN(ROW($K$7:$K$38))+1,""),""),ROW()-ROW(A$40)+1))),),"")</f>
        <v>0</v>
      </c>
      <c r="Q62">
        <f t="array" ref="Q62">IFERROR(CONCATENATE((INDEX($T$7:$T$38,SMALL(IF($T$7:$T$38&lt;&gt;"",IF($Q$7:$Q$38&lt;&gt;"",ROW($Q$7:$Q$38)-MIN(ROW($Q$7:$Q$38))+1,""),""),ROW()-ROW(A$40)+1)))," "),"")</f>
        <v>0</v>
      </c>
      <c r="R62">
        <f t="array" ref="R62">IFERROR(CONCATENATE(TEXT(INDEX($Q$7:$Q$38,SMALL(IF($T$7:$T$38&lt;&gt;"",IF($Q$7:$Q$38&lt;&gt;"",ROW($Q$7:$Q$38)-MIN(ROW($Q$7:$Q$38))+1,""),""),ROW()-ROW(A$40)+1)),"##0")," "),"")</f>
        <v>0</v>
      </c>
      <c r="S62">
        <f t="array" ref="S62">IFERROR(CONCATENATE((INDEX($A$7:$A$38,SMALL(IF($T$7:$T$38&lt;&gt;"",IF($Q$7:$Q$38&lt;&gt;"",ROW($Q$7:$Q$38)-MIN(ROW($Q$7:$Q$38))+1,""),""),ROW()-ROW(A$40)+1))),),"")</f>
        <v>0</v>
      </c>
      <c r="W62">
        <f t="array" ref="W62">IFERROR(CONCATENATE((INDEX($Z$7:$Z$38,SMALL(IF($Z$7:$Z$38&lt;&gt;"",IF($W$7:$W$38&lt;&gt;"",ROW($W$7:$W$38)-MIN(ROW($W$7:$W$38))+1,""),""),ROW()-ROW(A$40)+1))),","),"")</f>
        <v>0</v>
      </c>
      <c r="X62">
        <f t="array" ref="X62">IFERROR(CONCATENATE(TEXT(INDEX($W$7:$W$38,SMALL(IF($Z$7:$Z$38&lt;&gt;"",IF($W$7:$W$38&lt;&gt;"",ROW($W$7:$W$38)-MIN(ROW($W$7:$W$38))+1,""),""),ROW()-ROW(A$40)+1)),"##0"),","),"")</f>
        <v>0</v>
      </c>
      <c r="Y62">
        <f t="array" ref="Y62">IFERROR(CONCATENATE((INDEX($A$7:$A$38,SMALL(IF($Z$7:$Z$38&lt;&gt;"",IF($W$7:$W$38&lt;&gt;"",ROW($W$7:$W$38)-MIN(ROW($W$7:$W$38))+1,""),""),ROW()-ROW(A$40)+1))),),"")</f>
        <v>0</v>
      </c>
    </row>
    <row r="63" spans="11:25">
      <c r="K63">
        <f t="array" ref="K63">IFERROR(CONCATENATE(TEXT(INDEX($K$7:$K$38,SMALL(IF($N$7:$N$38&lt;&gt;"",IF($K$7:$K$38&lt;&gt;"",ROW($K$7:$K$38)-MIN(ROW($K$7:$K$38))+1,""),""),ROW()-ROW(A$40)+1)),"##0"),","),"")</f>
        <v>0</v>
      </c>
      <c r="L63">
        <f t="array" ref="L63">IFERROR(CONCATENATE((INDEX($N$7:$N$38,SMALL(IF($N$7:$N$38&lt;&gt;"",IF($K$7:$K$38&lt;&gt;"",ROW($K$7:$K$38)-MIN(ROW($K$7:$K$38))+1,""),""),ROW()-ROW(A$40)+1))),","),"")</f>
        <v>0</v>
      </c>
      <c r="M63">
        <f t="array" ref="M63">IFERROR(CONCATENATE((INDEX($A$7:$A$38,SMALL(IF($N$7:$N$38&lt;&gt;"",IF($K$7:$K$38&lt;&gt;"",ROW($K$7:$K$38)-MIN(ROW($K$7:$K$38))+1,""),""),ROW()-ROW(A$40)+1))),),"")</f>
        <v>0</v>
      </c>
      <c r="Q63">
        <f t="array" ref="Q63">IFERROR(CONCATENATE((INDEX($T$7:$T$38,SMALL(IF($T$7:$T$38&lt;&gt;"",IF($Q$7:$Q$38&lt;&gt;"",ROW($Q$7:$Q$38)-MIN(ROW($Q$7:$Q$38))+1,""),""),ROW()-ROW(A$40)+1)))," "),"")</f>
        <v>0</v>
      </c>
      <c r="R63">
        <f t="array" ref="R63">IFERROR(CONCATENATE(TEXT(INDEX($Q$7:$Q$38,SMALL(IF($T$7:$T$38&lt;&gt;"",IF($Q$7:$Q$38&lt;&gt;"",ROW($Q$7:$Q$38)-MIN(ROW($Q$7:$Q$38))+1,""),""),ROW()-ROW(A$40)+1)),"##0")," "),"")</f>
        <v>0</v>
      </c>
      <c r="S63">
        <f t="array" ref="S63">IFERROR(CONCATENATE((INDEX($A$7:$A$38,SMALL(IF($T$7:$T$38&lt;&gt;"",IF($Q$7:$Q$38&lt;&gt;"",ROW($Q$7:$Q$38)-MIN(ROW($Q$7:$Q$38))+1,""),""),ROW()-ROW(A$40)+1))),),"")</f>
        <v>0</v>
      </c>
      <c r="W63">
        <f t="array" ref="W63">IFERROR(CONCATENATE((INDEX($Z$7:$Z$38,SMALL(IF($Z$7:$Z$38&lt;&gt;"",IF($W$7:$W$38&lt;&gt;"",ROW($W$7:$W$38)-MIN(ROW($W$7:$W$38))+1,""),""),ROW()-ROW(A$40)+1))),","),"")</f>
        <v>0</v>
      </c>
      <c r="X63">
        <f t="array" ref="X63">IFERROR(CONCATENATE(TEXT(INDEX($W$7:$W$38,SMALL(IF($Z$7:$Z$38&lt;&gt;"",IF($W$7:$W$38&lt;&gt;"",ROW($W$7:$W$38)-MIN(ROW($W$7:$W$38))+1,""),""),ROW()-ROW(A$40)+1)),"##0"),","),"")</f>
        <v>0</v>
      </c>
      <c r="Y63">
        <f t="array" ref="Y63">IFERROR(CONCATENATE((INDEX($A$7:$A$38,SMALL(IF($Z$7:$Z$38&lt;&gt;"",IF($W$7:$W$38&lt;&gt;"",ROW($W$7:$W$38)-MIN(ROW($W$7:$W$38))+1,""),""),ROW()-ROW(A$40)+1))),),"")</f>
        <v>0</v>
      </c>
    </row>
    <row r="64" spans="11:25">
      <c r="K64">
        <f t="array" ref="K64">IFERROR(CONCATENATE(TEXT(INDEX($K$7:$K$38,SMALL(IF($N$7:$N$38&lt;&gt;"",IF($K$7:$K$38&lt;&gt;"",ROW($K$7:$K$38)-MIN(ROW($K$7:$K$38))+1,""),""),ROW()-ROW(A$40)+1)),"##0"),","),"")</f>
        <v>0</v>
      </c>
      <c r="L64">
        <f t="array" ref="L64">IFERROR(CONCATENATE((INDEX($N$7:$N$38,SMALL(IF($N$7:$N$38&lt;&gt;"",IF($K$7:$K$38&lt;&gt;"",ROW($K$7:$K$38)-MIN(ROW($K$7:$K$38))+1,""),""),ROW()-ROW(A$40)+1))),","),"")</f>
        <v>0</v>
      </c>
      <c r="M64">
        <f t="array" ref="M64">IFERROR(CONCATENATE((INDEX($A$7:$A$38,SMALL(IF($N$7:$N$38&lt;&gt;"",IF($K$7:$K$38&lt;&gt;"",ROW($K$7:$K$38)-MIN(ROW($K$7:$K$38))+1,""),""),ROW()-ROW(A$40)+1))),),"")</f>
        <v>0</v>
      </c>
      <c r="Q64">
        <f t="array" ref="Q64">IFERROR(CONCATENATE((INDEX($T$7:$T$38,SMALL(IF($T$7:$T$38&lt;&gt;"",IF($Q$7:$Q$38&lt;&gt;"",ROW($Q$7:$Q$38)-MIN(ROW($Q$7:$Q$38))+1,""),""),ROW()-ROW(A$40)+1)))," "),"")</f>
        <v>0</v>
      </c>
      <c r="R64">
        <f t="array" ref="R64">IFERROR(CONCATENATE(TEXT(INDEX($Q$7:$Q$38,SMALL(IF($T$7:$T$38&lt;&gt;"",IF($Q$7:$Q$38&lt;&gt;"",ROW($Q$7:$Q$38)-MIN(ROW($Q$7:$Q$38))+1,""),""),ROW()-ROW(A$40)+1)),"##0")," "),"")</f>
        <v>0</v>
      </c>
      <c r="S64">
        <f t="array" ref="S64">IFERROR(CONCATENATE((INDEX($A$7:$A$38,SMALL(IF($T$7:$T$38&lt;&gt;"",IF($Q$7:$Q$38&lt;&gt;"",ROW($Q$7:$Q$38)-MIN(ROW($Q$7:$Q$38))+1,""),""),ROW()-ROW(A$40)+1))),),"")</f>
        <v>0</v>
      </c>
      <c r="W64">
        <f t="array" ref="W64">IFERROR(CONCATENATE((INDEX($Z$7:$Z$38,SMALL(IF($Z$7:$Z$38&lt;&gt;"",IF($W$7:$W$38&lt;&gt;"",ROW($W$7:$W$38)-MIN(ROW($W$7:$W$38))+1,""),""),ROW()-ROW(A$40)+1))),","),"")</f>
        <v>0</v>
      </c>
      <c r="X64">
        <f t="array" ref="X64">IFERROR(CONCATENATE(TEXT(INDEX($W$7:$W$38,SMALL(IF($Z$7:$Z$38&lt;&gt;"",IF($W$7:$W$38&lt;&gt;"",ROW($W$7:$W$38)-MIN(ROW($W$7:$W$38))+1,""),""),ROW()-ROW(A$40)+1)),"##0"),","),"")</f>
        <v>0</v>
      </c>
      <c r="Y64">
        <f t="array" ref="Y64">IFERROR(CONCATENATE((INDEX($A$7:$A$38,SMALL(IF($Z$7:$Z$38&lt;&gt;"",IF($W$7:$W$38&lt;&gt;"",ROW($W$7:$W$38)-MIN(ROW($W$7:$W$38))+1,""),""),ROW()-ROW(A$40)+1))),),"")</f>
        <v>0</v>
      </c>
    </row>
    <row r="65" spans="11:25">
      <c r="K65">
        <f t="array" ref="K65">IFERROR(CONCATENATE(TEXT(INDEX($K$7:$K$38,SMALL(IF($N$7:$N$38&lt;&gt;"",IF($K$7:$K$38&lt;&gt;"",ROW($K$7:$K$38)-MIN(ROW($K$7:$K$38))+1,""),""),ROW()-ROW(A$40)+1)),"##0"),","),"")</f>
        <v>0</v>
      </c>
      <c r="L65">
        <f t="array" ref="L65">IFERROR(CONCATENATE((INDEX($N$7:$N$38,SMALL(IF($N$7:$N$38&lt;&gt;"",IF($K$7:$K$38&lt;&gt;"",ROW($K$7:$K$38)-MIN(ROW($K$7:$K$38))+1,""),""),ROW()-ROW(A$40)+1))),","),"")</f>
        <v>0</v>
      </c>
      <c r="M65">
        <f t="array" ref="M65">IFERROR(CONCATENATE((INDEX($A$7:$A$38,SMALL(IF($N$7:$N$38&lt;&gt;"",IF($K$7:$K$38&lt;&gt;"",ROW($K$7:$K$38)-MIN(ROW($K$7:$K$38))+1,""),""),ROW()-ROW(A$40)+1))),),"")</f>
        <v>0</v>
      </c>
      <c r="Q65">
        <f t="array" ref="Q65">IFERROR(CONCATENATE((INDEX($T$7:$T$38,SMALL(IF($T$7:$T$38&lt;&gt;"",IF($Q$7:$Q$38&lt;&gt;"",ROW($Q$7:$Q$38)-MIN(ROW($Q$7:$Q$38))+1,""),""),ROW()-ROW(A$40)+1)))," "),"")</f>
        <v>0</v>
      </c>
      <c r="R65">
        <f t="array" ref="R65">IFERROR(CONCATENATE(TEXT(INDEX($Q$7:$Q$38,SMALL(IF($T$7:$T$38&lt;&gt;"",IF($Q$7:$Q$38&lt;&gt;"",ROW($Q$7:$Q$38)-MIN(ROW($Q$7:$Q$38))+1,""),""),ROW()-ROW(A$40)+1)),"##0")," "),"")</f>
        <v>0</v>
      </c>
      <c r="S65">
        <f t="array" ref="S65">IFERROR(CONCATENATE((INDEX($A$7:$A$38,SMALL(IF($T$7:$T$38&lt;&gt;"",IF($Q$7:$Q$38&lt;&gt;"",ROW($Q$7:$Q$38)-MIN(ROW($Q$7:$Q$38))+1,""),""),ROW()-ROW(A$40)+1))),),"")</f>
        <v>0</v>
      </c>
      <c r="W65">
        <f t="array" ref="W65">IFERROR(CONCATENATE((INDEX($Z$7:$Z$38,SMALL(IF($Z$7:$Z$38&lt;&gt;"",IF($W$7:$W$38&lt;&gt;"",ROW($W$7:$W$38)-MIN(ROW($W$7:$W$38))+1,""),""),ROW()-ROW(A$40)+1))),","),"")</f>
        <v>0</v>
      </c>
      <c r="X65">
        <f t="array" ref="X65">IFERROR(CONCATENATE(TEXT(INDEX($W$7:$W$38,SMALL(IF($Z$7:$Z$38&lt;&gt;"",IF($W$7:$W$38&lt;&gt;"",ROW($W$7:$W$38)-MIN(ROW($W$7:$W$38))+1,""),""),ROW()-ROW(A$40)+1)),"##0"),","),"")</f>
        <v>0</v>
      </c>
      <c r="Y65">
        <f t="array" ref="Y65">IFERROR(CONCATENATE((INDEX($A$7:$A$38,SMALL(IF($Z$7:$Z$38&lt;&gt;"",IF($W$7:$W$38&lt;&gt;"",ROW($W$7:$W$38)-MIN(ROW($W$7:$W$38))+1,""),""),ROW()-ROW(A$40)+1))),),"")</f>
        <v>0</v>
      </c>
    </row>
    <row r="66" spans="11:25">
      <c r="K66">
        <f t="array" ref="K66">IFERROR(CONCATENATE(TEXT(INDEX($K$7:$K$38,SMALL(IF($N$7:$N$38&lt;&gt;"",IF($K$7:$K$38&lt;&gt;"",ROW($K$7:$K$38)-MIN(ROW($K$7:$K$38))+1,""),""),ROW()-ROW(A$40)+1)),"##0"),","),"")</f>
        <v>0</v>
      </c>
      <c r="L66">
        <f t="array" ref="L66">IFERROR(CONCATENATE((INDEX($N$7:$N$38,SMALL(IF($N$7:$N$38&lt;&gt;"",IF($K$7:$K$38&lt;&gt;"",ROW($K$7:$K$38)-MIN(ROW($K$7:$K$38))+1,""),""),ROW()-ROW(A$40)+1))),","),"")</f>
        <v>0</v>
      </c>
      <c r="M66">
        <f t="array" ref="M66">IFERROR(CONCATENATE((INDEX($A$7:$A$38,SMALL(IF($N$7:$N$38&lt;&gt;"",IF($K$7:$K$38&lt;&gt;"",ROW($K$7:$K$38)-MIN(ROW($K$7:$K$38))+1,""),""),ROW()-ROW(A$40)+1))),),"")</f>
        <v>0</v>
      </c>
      <c r="Q66">
        <f t="array" ref="Q66">IFERROR(CONCATENATE((INDEX($T$7:$T$38,SMALL(IF($T$7:$T$38&lt;&gt;"",IF($Q$7:$Q$38&lt;&gt;"",ROW($Q$7:$Q$38)-MIN(ROW($Q$7:$Q$38))+1,""),""),ROW()-ROW(A$40)+1)))," "),"")</f>
        <v>0</v>
      </c>
      <c r="R66">
        <f t="array" ref="R66">IFERROR(CONCATENATE(TEXT(INDEX($Q$7:$Q$38,SMALL(IF($T$7:$T$38&lt;&gt;"",IF($Q$7:$Q$38&lt;&gt;"",ROW($Q$7:$Q$38)-MIN(ROW($Q$7:$Q$38))+1,""),""),ROW()-ROW(A$40)+1)),"##0")," "),"")</f>
        <v>0</v>
      </c>
      <c r="S66">
        <f t="array" ref="S66">IFERROR(CONCATENATE((INDEX($A$7:$A$38,SMALL(IF($T$7:$T$38&lt;&gt;"",IF($Q$7:$Q$38&lt;&gt;"",ROW($Q$7:$Q$38)-MIN(ROW($Q$7:$Q$38))+1,""),""),ROW()-ROW(A$40)+1))),),"")</f>
        <v>0</v>
      </c>
      <c r="W66">
        <f t="array" ref="W66">IFERROR(CONCATENATE((INDEX($Z$7:$Z$38,SMALL(IF($Z$7:$Z$38&lt;&gt;"",IF($W$7:$W$38&lt;&gt;"",ROW($W$7:$W$38)-MIN(ROW($W$7:$W$38))+1,""),""),ROW()-ROW(A$40)+1))),","),"")</f>
        <v>0</v>
      </c>
      <c r="X66">
        <f t="array" ref="X66">IFERROR(CONCATENATE(TEXT(INDEX($W$7:$W$38,SMALL(IF($Z$7:$Z$38&lt;&gt;"",IF($W$7:$W$38&lt;&gt;"",ROW($W$7:$W$38)-MIN(ROW($W$7:$W$38))+1,""),""),ROW()-ROW(A$40)+1)),"##0"),","),"")</f>
        <v>0</v>
      </c>
      <c r="Y66">
        <f t="array" ref="Y66">IFERROR(CONCATENATE((INDEX($A$7:$A$38,SMALL(IF($Z$7:$Z$38&lt;&gt;"",IF($W$7:$W$38&lt;&gt;"",ROW($W$7:$W$38)-MIN(ROW($W$7:$W$38))+1,""),""),ROW()-ROW(A$40)+1))),),"")</f>
        <v>0</v>
      </c>
    </row>
    <row r="67" spans="11:25">
      <c r="K67">
        <f t="array" ref="K67">IFERROR(CONCATENATE(TEXT(INDEX($K$7:$K$38,SMALL(IF($N$7:$N$38&lt;&gt;"",IF($K$7:$K$38&lt;&gt;"",ROW($K$7:$K$38)-MIN(ROW($K$7:$K$38))+1,""),""),ROW()-ROW(A$40)+1)),"##0"),","),"")</f>
        <v>0</v>
      </c>
      <c r="L67">
        <f t="array" ref="L67">IFERROR(CONCATENATE((INDEX($N$7:$N$38,SMALL(IF($N$7:$N$38&lt;&gt;"",IF($K$7:$K$38&lt;&gt;"",ROW($K$7:$K$38)-MIN(ROW($K$7:$K$38))+1,""),""),ROW()-ROW(A$40)+1))),","),"")</f>
        <v>0</v>
      </c>
      <c r="M67">
        <f t="array" ref="M67">IFERROR(CONCATENATE((INDEX($A$7:$A$38,SMALL(IF($N$7:$N$38&lt;&gt;"",IF($K$7:$K$38&lt;&gt;"",ROW($K$7:$K$38)-MIN(ROW($K$7:$K$38))+1,""),""),ROW()-ROW(A$40)+1))),),"")</f>
        <v>0</v>
      </c>
      <c r="Q67">
        <f t="array" ref="Q67">IFERROR(CONCATENATE((INDEX($T$7:$T$38,SMALL(IF($T$7:$T$38&lt;&gt;"",IF($Q$7:$Q$38&lt;&gt;"",ROW($Q$7:$Q$38)-MIN(ROW($Q$7:$Q$38))+1,""),""),ROW()-ROW(A$40)+1)))," "),"")</f>
        <v>0</v>
      </c>
      <c r="R67">
        <f t="array" ref="R67">IFERROR(CONCATENATE(TEXT(INDEX($Q$7:$Q$38,SMALL(IF($T$7:$T$38&lt;&gt;"",IF($Q$7:$Q$38&lt;&gt;"",ROW($Q$7:$Q$38)-MIN(ROW($Q$7:$Q$38))+1,""),""),ROW()-ROW(A$40)+1)),"##0")," "),"")</f>
        <v>0</v>
      </c>
      <c r="S67">
        <f t="array" ref="S67">IFERROR(CONCATENATE((INDEX($A$7:$A$38,SMALL(IF($T$7:$T$38&lt;&gt;"",IF($Q$7:$Q$38&lt;&gt;"",ROW($Q$7:$Q$38)-MIN(ROW($Q$7:$Q$38))+1,""),""),ROW()-ROW(A$40)+1))),),"")</f>
        <v>0</v>
      </c>
      <c r="W67">
        <f t="array" ref="W67">IFERROR(CONCATENATE((INDEX($Z$7:$Z$38,SMALL(IF($Z$7:$Z$38&lt;&gt;"",IF($W$7:$W$38&lt;&gt;"",ROW($W$7:$W$38)-MIN(ROW($W$7:$W$38))+1,""),""),ROW()-ROW(A$40)+1))),","),"")</f>
        <v>0</v>
      </c>
      <c r="X67">
        <f t="array" ref="X67">IFERROR(CONCATENATE(TEXT(INDEX($W$7:$W$38,SMALL(IF($Z$7:$Z$38&lt;&gt;"",IF($W$7:$W$38&lt;&gt;"",ROW($W$7:$W$38)-MIN(ROW($W$7:$W$38))+1,""),""),ROW()-ROW(A$40)+1)),"##0"),","),"")</f>
        <v>0</v>
      </c>
      <c r="Y67">
        <f t="array" ref="Y67">IFERROR(CONCATENATE((INDEX($A$7:$A$38,SMALL(IF($Z$7:$Z$38&lt;&gt;"",IF($W$7:$W$38&lt;&gt;"",ROW($W$7:$W$38)-MIN(ROW($W$7:$W$38))+1,""),""),ROW()-ROW(A$40)+1))),),"")</f>
        <v>0</v>
      </c>
    </row>
    <row r="68" spans="11:25">
      <c r="K68">
        <f t="array" ref="K68">IFERROR(CONCATENATE(TEXT(INDEX($K$7:$K$38,SMALL(IF($N$7:$N$38&lt;&gt;"",IF($K$7:$K$38&lt;&gt;"",ROW($K$7:$K$38)-MIN(ROW($K$7:$K$38))+1,""),""),ROW()-ROW(A$40)+1)),"##0"),","),"")</f>
        <v>0</v>
      </c>
      <c r="L68">
        <f t="array" ref="L68">IFERROR(CONCATENATE((INDEX($N$7:$N$38,SMALL(IF($N$7:$N$38&lt;&gt;"",IF($K$7:$K$38&lt;&gt;"",ROW($K$7:$K$38)-MIN(ROW($K$7:$K$38))+1,""),""),ROW()-ROW(A$40)+1))),","),"")</f>
        <v>0</v>
      </c>
      <c r="M68">
        <f t="array" ref="M68">IFERROR(CONCATENATE((INDEX($A$7:$A$38,SMALL(IF($N$7:$N$38&lt;&gt;"",IF($K$7:$K$38&lt;&gt;"",ROW($K$7:$K$38)-MIN(ROW($K$7:$K$38))+1,""),""),ROW()-ROW(A$40)+1))),),"")</f>
        <v>0</v>
      </c>
      <c r="Q68">
        <f t="array" ref="Q68">IFERROR(CONCATENATE((INDEX($T$7:$T$38,SMALL(IF($T$7:$T$38&lt;&gt;"",IF($Q$7:$Q$38&lt;&gt;"",ROW($Q$7:$Q$38)-MIN(ROW($Q$7:$Q$38))+1,""),""),ROW()-ROW(A$40)+1)))," "),"")</f>
        <v>0</v>
      </c>
      <c r="R68">
        <f t="array" ref="R68">IFERROR(CONCATENATE(TEXT(INDEX($Q$7:$Q$38,SMALL(IF($T$7:$T$38&lt;&gt;"",IF($Q$7:$Q$38&lt;&gt;"",ROW($Q$7:$Q$38)-MIN(ROW($Q$7:$Q$38))+1,""),""),ROW()-ROW(A$40)+1)),"##0")," "),"")</f>
        <v>0</v>
      </c>
      <c r="S68">
        <f t="array" ref="S68">IFERROR(CONCATENATE((INDEX($A$7:$A$38,SMALL(IF($T$7:$T$38&lt;&gt;"",IF($Q$7:$Q$38&lt;&gt;"",ROW($Q$7:$Q$38)-MIN(ROW($Q$7:$Q$38))+1,""),""),ROW()-ROW(A$40)+1))),),"")</f>
        <v>0</v>
      </c>
      <c r="W68">
        <f t="array" ref="W68">IFERROR(CONCATENATE((INDEX($Z$7:$Z$38,SMALL(IF($Z$7:$Z$38&lt;&gt;"",IF($W$7:$W$38&lt;&gt;"",ROW($W$7:$W$38)-MIN(ROW($W$7:$W$38))+1,""),""),ROW()-ROW(A$40)+1))),","),"")</f>
        <v>0</v>
      </c>
      <c r="X68">
        <f t="array" ref="X68">IFERROR(CONCATENATE(TEXT(INDEX($W$7:$W$38,SMALL(IF($Z$7:$Z$38&lt;&gt;"",IF($W$7:$W$38&lt;&gt;"",ROW($W$7:$W$38)-MIN(ROW($W$7:$W$38))+1,""),""),ROW()-ROW(A$40)+1)),"##0"),","),"")</f>
        <v>0</v>
      </c>
      <c r="Y68">
        <f t="array" ref="Y68">IFERROR(CONCATENATE((INDEX($A$7:$A$38,SMALL(IF($Z$7:$Z$38&lt;&gt;"",IF($W$7:$W$38&lt;&gt;"",ROW($W$7:$W$38)-MIN(ROW($W$7:$W$38))+1,""),""),ROW()-ROW(A$40)+1))),),"")</f>
        <v>0</v>
      </c>
    </row>
    <row r="69" spans="11:25">
      <c r="K69">
        <f t="array" ref="K69">IFERROR(CONCATENATE(TEXT(INDEX($K$7:$K$38,SMALL(IF($N$7:$N$38&lt;&gt;"",IF($K$7:$K$38&lt;&gt;"",ROW($K$7:$K$38)-MIN(ROW($K$7:$K$38))+1,""),""),ROW()-ROW(A$40)+1)),"##0"),","),"")</f>
        <v>0</v>
      </c>
      <c r="L69">
        <f t="array" ref="L69">IFERROR(CONCATENATE((INDEX($N$7:$N$38,SMALL(IF($N$7:$N$38&lt;&gt;"",IF($K$7:$K$38&lt;&gt;"",ROW($K$7:$K$38)-MIN(ROW($K$7:$K$38))+1,""),""),ROW()-ROW(A$40)+1))),","),"")</f>
        <v>0</v>
      </c>
      <c r="M69">
        <f t="array" ref="M69">IFERROR(CONCATENATE((INDEX($A$7:$A$38,SMALL(IF($N$7:$N$38&lt;&gt;"",IF($K$7:$K$38&lt;&gt;"",ROW($K$7:$K$38)-MIN(ROW($K$7:$K$38))+1,""),""),ROW()-ROW(A$40)+1))),),"")</f>
        <v>0</v>
      </c>
      <c r="Q69">
        <f t="array" ref="Q69">IFERROR(CONCATENATE((INDEX($T$7:$T$38,SMALL(IF($T$7:$T$38&lt;&gt;"",IF($Q$7:$Q$38&lt;&gt;"",ROW($Q$7:$Q$38)-MIN(ROW($Q$7:$Q$38))+1,""),""),ROW()-ROW(A$40)+1)))," "),"")</f>
        <v>0</v>
      </c>
      <c r="R69">
        <f t="array" ref="R69">IFERROR(CONCATENATE(TEXT(INDEX($Q$7:$Q$38,SMALL(IF($T$7:$T$38&lt;&gt;"",IF($Q$7:$Q$38&lt;&gt;"",ROW($Q$7:$Q$38)-MIN(ROW($Q$7:$Q$38))+1,""),""),ROW()-ROW(A$40)+1)),"##0")," "),"")</f>
        <v>0</v>
      </c>
      <c r="S69">
        <f t="array" ref="S69">IFERROR(CONCATENATE((INDEX($A$7:$A$38,SMALL(IF($T$7:$T$38&lt;&gt;"",IF($Q$7:$Q$38&lt;&gt;"",ROW($Q$7:$Q$38)-MIN(ROW($Q$7:$Q$38))+1,""),""),ROW()-ROW(A$40)+1))),),"")</f>
        <v>0</v>
      </c>
      <c r="W69">
        <f t="array" ref="W69">IFERROR(CONCATENATE((INDEX($Z$7:$Z$38,SMALL(IF($Z$7:$Z$38&lt;&gt;"",IF($W$7:$W$38&lt;&gt;"",ROW($W$7:$W$38)-MIN(ROW($W$7:$W$38))+1,""),""),ROW()-ROW(A$40)+1))),","),"")</f>
        <v>0</v>
      </c>
      <c r="X69">
        <f t="array" ref="X69">IFERROR(CONCATENATE(TEXT(INDEX($W$7:$W$38,SMALL(IF($Z$7:$Z$38&lt;&gt;"",IF($W$7:$W$38&lt;&gt;"",ROW($W$7:$W$38)-MIN(ROW($W$7:$W$38))+1,""),""),ROW()-ROW(A$40)+1)),"##0"),","),"")</f>
        <v>0</v>
      </c>
      <c r="Y69">
        <f t="array" ref="Y69">IFERROR(CONCATENATE((INDEX($A$7:$A$38,SMALL(IF($Z$7:$Z$38&lt;&gt;"",IF($W$7:$W$38&lt;&gt;"",ROW($W$7:$W$38)-MIN(ROW($W$7:$W$38))+1,""),""),ROW()-ROW(A$40)+1))),),"")</f>
        <v>0</v>
      </c>
    </row>
    <row r="70" spans="11:25">
      <c r="K70">
        <f t="array" ref="K70">IFERROR(CONCATENATE(TEXT(INDEX($K$7:$K$38,SMALL(IF($N$7:$N$38&lt;&gt;"",IF($K$7:$K$38&lt;&gt;"",ROW($K$7:$K$38)-MIN(ROW($K$7:$K$38))+1,""),""),ROW()-ROW(A$40)+1)),"##0"),","),"")</f>
        <v>0</v>
      </c>
      <c r="L70">
        <f t="array" ref="L70">IFERROR(CONCATENATE((INDEX($N$7:$N$38,SMALL(IF($N$7:$N$38&lt;&gt;"",IF($K$7:$K$38&lt;&gt;"",ROW($K$7:$K$38)-MIN(ROW($K$7:$K$38))+1,""),""),ROW()-ROW(A$40)+1))),","),"")</f>
        <v>0</v>
      </c>
      <c r="M70">
        <f t="array" ref="M70">IFERROR(CONCATENATE((INDEX($A$7:$A$38,SMALL(IF($N$7:$N$38&lt;&gt;"",IF($K$7:$K$38&lt;&gt;"",ROW($K$7:$K$38)-MIN(ROW($K$7:$K$38))+1,""),""),ROW()-ROW(A$40)+1))),),"")</f>
        <v>0</v>
      </c>
      <c r="Q70">
        <f t="array" ref="Q70">IFERROR(CONCATENATE((INDEX($T$7:$T$38,SMALL(IF($T$7:$T$38&lt;&gt;"",IF($Q$7:$Q$38&lt;&gt;"",ROW($Q$7:$Q$38)-MIN(ROW($Q$7:$Q$38))+1,""),""),ROW()-ROW(A$40)+1)))," "),"")</f>
        <v>0</v>
      </c>
      <c r="R70">
        <f t="array" ref="R70">IFERROR(CONCATENATE(TEXT(INDEX($Q$7:$Q$38,SMALL(IF($T$7:$T$38&lt;&gt;"",IF($Q$7:$Q$38&lt;&gt;"",ROW($Q$7:$Q$38)-MIN(ROW($Q$7:$Q$38))+1,""),""),ROW()-ROW(A$40)+1)),"##0")," "),"")</f>
        <v>0</v>
      </c>
      <c r="S70">
        <f t="array" ref="S70">IFERROR(CONCATENATE((INDEX($A$7:$A$38,SMALL(IF($T$7:$T$38&lt;&gt;"",IF($Q$7:$Q$38&lt;&gt;"",ROW($Q$7:$Q$38)-MIN(ROW($Q$7:$Q$38))+1,""),""),ROW()-ROW(A$40)+1))),),"")</f>
        <v>0</v>
      </c>
      <c r="W70">
        <f t="array" ref="W70">IFERROR(CONCATENATE((INDEX($Z$7:$Z$38,SMALL(IF($Z$7:$Z$38&lt;&gt;"",IF($W$7:$W$38&lt;&gt;"",ROW($W$7:$W$38)-MIN(ROW($W$7:$W$38))+1,""),""),ROW()-ROW(A$40)+1))),","),"")</f>
        <v>0</v>
      </c>
      <c r="X70">
        <f t="array" ref="X70">IFERROR(CONCATENATE(TEXT(INDEX($W$7:$W$38,SMALL(IF($Z$7:$Z$38&lt;&gt;"",IF($W$7:$W$38&lt;&gt;"",ROW($W$7:$W$38)-MIN(ROW($W$7:$W$38))+1,""),""),ROW()-ROW(A$40)+1)),"##0"),","),"")</f>
        <v>0</v>
      </c>
      <c r="Y70">
        <f t="array" ref="Y70">IFERROR(CONCATENATE((INDEX($A$7:$A$38,SMALL(IF($Z$7:$Z$38&lt;&gt;"",IF($W$7:$W$38&lt;&gt;"",ROW($W$7:$W$38)-MIN(ROW($W$7:$W$38))+1,""),""),ROW()-ROW(A$40)+1))),),"")</f>
        <v>0</v>
      </c>
    </row>
    <row r="71" spans="11:25">
      <c r="K71">
        <f t="array" ref="K71">IFERROR(CONCATENATE(TEXT(INDEX($K$7:$K$38,SMALL(IF($N$7:$N$38&lt;&gt;"",IF($K$7:$K$38&lt;&gt;"",ROW($K$7:$K$38)-MIN(ROW($K$7:$K$38))+1,""),""),ROW()-ROW(A$40)+1)),"##0"),","),"")</f>
        <v>0</v>
      </c>
      <c r="L71">
        <f t="array" ref="L71">IFERROR(CONCATENATE((INDEX($N$7:$N$38,SMALL(IF($N$7:$N$38&lt;&gt;"",IF($K$7:$K$38&lt;&gt;"",ROW($K$7:$K$38)-MIN(ROW($K$7:$K$38))+1,""),""),ROW()-ROW(A$40)+1))),","),"")</f>
        <v>0</v>
      </c>
      <c r="M71">
        <f t="array" ref="M71">IFERROR(CONCATENATE((INDEX($A$7:$A$38,SMALL(IF($N$7:$N$38&lt;&gt;"",IF($K$7:$K$38&lt;&gt;"",ROW($K$7:$K$38)-MIN(ROW($K$7:$K$38))+1,""),""),ROW()-ROW(A$40)+1))),),"")</f>
        <v>0</v>
      </c>
      <c r="Q71">
        <f t="array" ref="Q71">IFERROR(CONCATENATE((INDEX($T$7:$T$38,SMALL(IF($T$7:$T$38&lt;&gt;"",IF($Q$7:$Q$38&lt;&gt;"",ROW($Q$7:$Q$38)-MIN(ROW($Q$7:$Q$38))+1,""),""),ROW()-ROW(A$40)+1)))," "),"")</f>
        <v>0</v>
      </c>
      <c r="R71">
        <f t="array" ref="R71">IFERROR(CONCATENATE(TEXT(INDEX($Q$7:$Q$38,SMALL(IF($T$7:$T$38&lt;&gt;"",IF($Q$7:$Q$38&lt;&gt;"",ROW($Q$7:$Q$38)-MIN(ROW($Q$7:$Q$38))+1,""),""),ROW()-ROW(A$40)+1)),"##0")," "),"")</f>
        <v>0</v>
      </c>
      <c r="S71">
        <f t="array" ref="S71">IFERROR(CONCATENATE((INDEX($A$7:$A$38,SMALL(IF($T$7:$T$38&lt;&gt;"",IF($Q$7:$Q$38&lt;&gt;"",ROW($Q$7:$Q$38)-MIN(ROW($Q$7:$Q$38))+1,""),""),ROW()-ROW(A$40)+1))),),"")</f>
        <v>0</v>
      </c>
      <c r="W71">
        <f t="array" ref="W71">IFERROR(CONCATENATE((INDEX($Z$7:$Z$38,SMALL(IF($Z$7:$Z$38&lt;&gt;"",IF($W$7:$W$38&lt;&gt;"",ROW($W$7:$W$38)-MIN(ROW($W$7:$W$38))+1,""),""),ROW()-ROW(A$40)+1))),","),"")</f>
        <v>0</v>
      </c>
      <c r="X71">
        <f t="array" ref="X71">IFERROR(CONCATENATE(TEXT(INDEX($W$7:$W$38,SMALL(IF($Z$7:$Z$38&lt;&gt;"",IF($W$7:$W$38&lt;&gt;"",ROW($W$7:$W$38)-MIN(ROW($W$7:$W$38))+1,""),""),ROW()-ROW(A$40)+1)),"##0"),","),"")</f>
        <v>0</v>
      </c>
      <c r="Y71">
        <f t="array" ref="Y71">IFERROR(CONCATENATE((INDEX($A$7:$A$38,SMALL(IF($Z$7:$Z$38&lt;&gt;"",IF($W$7:$W$38&lt;&gt;"",ROW($W$7:$W$38)-MIN(ROW($W$7:$W$38))+1,""),""),ROW()-ROW(A$40)+1))),),"")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18">
    <cfRule type="cellIs" dxfId="0" priority="21" operator="lessThanOrEqual">
      <formula>H18</formula>
    </cfRule>
  </conditionalFormatting>
  <conditionalFormatting sqref="L20">
    <cfRule type="cellIs" dxfId="0" priority="23" operator="lessThanOrEqual">
      <formula>H20</formula>
    </cfRule>
  </conditionalFormatting>
  <conditionalFormatting sqref="L21">
    <cfRule type="cellIs" dxfId="0" priority="25" operator="lessThanOrEqual">
      <formula>H21</formula>
    </cfRule>
  </conditionalFormatting>
  <conditionalFormatting sqref="L23">
    <cfRule type="cellIs" dxfId="0" priority="27" operator="lessThanOrEqual">
      <formula>H23</formula>
    </cfRule>
  </conditionalFormatting>
  <conditionalFormatting sqref="L25">
    <cfRule type="cellIs" dxfId="0" priority="29" operator="lessThanOrEqual">
      <formula>H25</formula>
    </cfRule>
  </conditionalFormatting>
  <conditionalFormatting sqref="L26">
    <cfRule type="cellIs" dxfId="0" priority="31" operator="lessThanOrEqual">
      <formula>H26</formula>
    </cfRule>
  </conditionalFormatting>
  <conditionalFormatting sqref="L27">
    <cfRule type="cellIs" dxfId="0" priority="33" operator="lessThanOrEqual">
      <formula>H27</formula>
    </cfRule>
  </conditionalFormatting>
  <conditionalFormatting sqref="L28">
    <cfRule type="cellIs" dxfId="0" priority="35" operator="lessThanOrEqual">
      <formula>H28</formula>
    </cfRule>
  </conditionalFormatting>
  <conditionalFormatting sqref="L29">
    <cfRule type="cellIs" dxfId="0" priority="37" operator="lessThanOrEqual">
      <formula>H29</formula>
    </cfRule>
  </conditionalFormatting>
  <conditionalFormatting sqref="L30">
    <cfRule type="cellIs" dxfId="0" priority="39" operator="lessThanOrEqual">
      <formula>H30</formula>
    </cfRule>
  </conditionalFormatting>
  <conditionalFormatting sqref="L31">
    <cfRule type="cellIs" dxfId="0" priority="41" operator="lessThanOrEqual">
      <formula>H31</formula>
    </cfRule>
  </conditionalFormatting>
  <conditionalFormatting sqref="L32">
    <cfRule type="cellIs" dxfId="0" priority="43" operator="lessThanOrEqual">
      <formula>H32</formula>
    </cfRule>
  </conditionalFormatting>
  <conditionalFormatting sqref="L33">
    <cfRule type="cellIs" dxfId="0" priority="45" operator="lessThanOrEqual">
      <formula>H33</formula>
    </cfRule>
  </conditionalFormatting>
  <conditionalFormatting sqref="L34">
    <cfRule type="cellIs" dxfId="0" priority="47" operator="lessThanOrEqual">
      <formula>H34</formula>
    </cfRule>
  </conditionalFormatting>
  <conditionalFormatting sqref="L35">
    <cfRule type="cellIs" dxfId="0" priority="49" operator="lessThanOrEqual">
      <formula>H35</formula>
    </cfRule>
  </conditionalFormatting>
  <conditionalFormatting sqref="L36">
    <cfRule type="cellIs" dxfId="0" priority="51" operator="lessThanOrEqual">
      <formula>H36</formula>
    </cfRule>
  </conditionalFormatting>
  <conditionalFormatting sqref="L37">
    <cfRule type="cellIs" dxfId="0" priority="53" operator="lessThanOrEqual">
      <formula>H37</formula>
    </cfRule>
  </conditionalFormatting>
  <conditionalFormatting sqref="L38">
    <cfRule type="cellIs" dxfId="0" priority="55" operator="lessThanOrEqual">
      <formula>H38</formula>
    </cfRule>
  </conditionalFormatting>
  <conditionalFormatting sqref="L7">
    <cfRule type="cellIs" dxfId="0" priority="1" operator="lessThanOrEqual">
      <formula>H7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18">
    <cfRule type="cellIs" dxfId="0" priority="22" operator="lessThanOrEqual">
      <formula>I18</formula>
    </cfRule>
  </conditionalFormatting>
  <conditionalFormatting sqref="M20">
    <cfRule type="cellIs" dxfId="0" priority="24" operator="lessThanOrEqual">
      <formula>I20</formula>
    </cfRule>
  </conditionalFormatting>
  <conditionalFormatting sqref="M21">
    <cfRule type="cellIs" dxfId="0" priority="26" operator="lessThanOrEqual">
      <formula>I21</formula>
    </cfRule>
  </conditionalFormatting>
  <conditionalFormatting sqref="M23">
    <cfRule type="cellIs" dxfId="0" priority="28" operator="lessThanOrEqual">
      <formula>I23</formula>
    </cfRule>
  </conditionalFormatting>
  <conditionalFormatting sqref="M25">
    <cfRule type="cellIs" dxfId="0" priority="30" operator="lessThanOrEqual">
      <formula>I25</formula>
    </cfRule>
  </conditionalFormatting>
  <conditionalFormatting sqref="M26">
    <cfRule type="cellIs" dxfId="0" priority="32" operator="lessThanOrEqual">
      <formula>I26</formula>
    </cfRule>
  </conditionalFormatting>
  <conditionalFormatting sqref="M27">
    <cfRule type="cellIs" dxfId="0" priority="34" operator="lessThanOrEqual">
      <formula>I27</formula>
    </cfRule>
  </conditionalFormatting>
  <conditionalFormatting sqref="M28">
    <cfRule type="cellIs" dxfId="0" priority="36" operator="lessThanOrEqual">
      <formula>I28</formula>
    </cfRule>
  </conditionalFormatting>
  <conditionalFormatting sqref="M29">
    <cfRule type="cellIs" dxfId="0" priority="38" operator="lessThanOrEqual">
      <formula>I29</formula>
    </cfRule>
  </conditionalFormatting>
  <conditionalFormatting sqref="M30">
    <cfRule type="cellIs" dxfId="0" priority="40" operator="lessThanOrEqual">
      <formula>I30</formula>
    </cfRule>
  </conditionalFormatting>
  <conditionalFormatting sqref="M31">
    <cfRule type="cellIs" dxfId="0" priority="42" operator="lessThanOrEqual">
      <formula>I31</formula>
    </cfRule>
  </conditionalFormatting>
  <conditionalFormatting sqref="M32">
    <cfRule type="cellIs" dxfId="0" priority="44" operator="lessThanOrEqual">
      <formula>I32</formula>
    </cfRule>
  </conditionalFormatting>
  <conditionalFormatting sqref="M33">
    <cfRule type="cellIs" dxfId="0" priority="46" operator="lessThanOrEqual">
      <formula>I33</formula>
    </cfRule>
  </conditionalFormatting>
  <conditionalFormatting sqref="M34">
    <cfRule type="cellIs" dxfId="0" priority="48" operator="lessThanOrEqual">
      <formula>I34</formula>
    </cfRule>
  </conditionalFormatting>
  <conditionalFormatting sqref="M35">
    <cfRule type="cellIs" dxfId="0" priority="50" operator="lessThanOrEqual">
      <formula>I35</formula>
    </cfRule>
  </conditionalFormatting>
  <conditionalFormatting sqref="M36">
    <cfRule type="cellIs" dxfId="0" priority="52" operator="lessThanOrEqual">
      <formula>I36</formula>
    </cfRule>
  </conditionalFormatting>
  <conditionalFormatting sqref="M37">
    <cfRule type="cellIs" dxfId="0" priority="54" operator="lessThanOrEqual">
      <formula>I37</formula>
    </cfRule>
  </conditionalFormatting>
  <conditionalFormatting sqref="M38">
    <cfRule type="cellIs" dxfId="0" priority="56" operator="lessThanOrEqual">
      <formula>I38</formula>
    </cfRule>
  </conditionalFormatting>
  <conditionalFormatting sqref="M7">
    <cfRule type="cellIs" dxfId="0" priority="2" operator="lessThanOrEqual">
      <formula>I7</formula>
    </cfRule>
  </conditionalFormatting>
  <conditionalFormatting sqref="M9">
    <cfRule type="cellIs" dxfId="0" priority="4" operator="lessThanOrEqual">
      <formula>I9</formula>
    </cfRule>
  </conditionalFormatting>
  <conditionalFormatting sqref="R10">
    <cfRule type="cellIs" dxfId="0" priority="59" operator="lessThanOrEqual">
      <formula>H10</formula>
    </cfRule>
  </conditionalFormatting>
  <conditionalFormatting sqref="R13">
    <cfRule type="cellIs" dxfId="0" priority="61" operator="lessThanOrEqual">
      <formula>H13</formula>
    </cfRule>
  </conditionalFormatting>
  <conditionalFormatting sqref="R16">
    <cfRule type="cellIs" dxfId="0" priority="63" operator="lessThanOrEqual">
      <formula>H16</formula>
    </cfRule>
  </conditionalFormatting>
  <conditionalFormatting sqref="R18">
    <cfRule type="cellIs" dxfId="0" priority="65" operator="lessThanOrEqual">
      <formula>H18</formula>
    </cfRule>
  </conditionalFormatting>
  <conditionalFormatting sqref="R20">
    <cfRule type="cellIs" dxfId="0" priority="67" operator="lessThanOrEqual">
      <formula>H20</formula>
    </cfRule>
  </conditionalFormatting>
  <conditionalFormatting sqref="R22">
    <cfRule type="cellIs" dxfId="0" priority="69" operator="lessThanOrEqual">
      <formula>H22</formula>
    </cfRule>
  </conditionalFormatting>
  <conditionalFormatting sqref="R25">
    <cfRule type="cellIs" dxfId="0" priority="71" operator="lessThanOrEqual">
      <formula>H25</formula>
    </cfRule>
  </conditionalFormatting>
  <conditionalFormatting sqref="R27">
    <cfRule type="cellIs" dxfId="0" priority="73" operator="lessThanOrEqual">
      <formula>H27</formula>
    </cfRule>
  </conditionalFormatting>
  <conditionalFormatting sqref="R28">
    <cfRule type="cellIs" dxfId="0" priority="75" operator="lessThanOrEqual">
      <formula>H28</formula>
    </cfRule>
  </conditionalFormatting>
  <conditionalFormatting sqref="R29">
    <cfRule type="cellIs" dxfId="0" priority="77" operator="lessThanOrEqual">
      <formula>H29</formula>
    </cfRule>
  </conditionalFormatting>
  <conditionalFormatting sqref="R32">
    <cfRule type="cellIs" dxfId="0" priority="79" operator="lessThanOrEqual">
      <formula>H32</formula>
    </cfRule>
  </conditionalFormatting>
  <conditionalFormatting sqref="R33">
    <cfRule type="cellIs" dxfId="0" priority="81" operator="lessThanOrEqual">
      <formula>H33</formula>
    </cfRule>
  </conditionalFormatting>
  <conditionalFormatting sqref="R34">
    <cfRule type="cellIs" dxfId="0" priority="83" operator="lessThanOrEqual">
      <formula>H34</formula>
    </cfRule>
  </conditionalFormatting>
  <conditionalFormatting sqref="R35">
    <cfRule type="cellIs" dxfId="0" priority="85" operator="lessThanOrEqual">
      <formula>H35</formula>
    </cfRule>
  </conditionalFormatting>
  <conditionalFormatting sqref="R8">
    <cfRule type="cellIs" dxfId="0" priority="57" operator="lessThanOrEqual">
      <formula>H8</formula>
    </cfRule>
  </conditionalFormatting>
  <conditionalFormatting sqref="S10">
    <cfRule type="cellIs" dxfId="0" priority="60" operator="lessThanOrEqual">
      <formula>I10</formula>
    </cfRule>
  </conditionalFormatting>
  <conditionalFormatting sqref="S13">
    <cfRule type="cellIs" dxfId="0" priority="62" operator="lessThanOrEqual">
      <formula>I13</formula>
    </cfRule>
  </conditionalFormatting>
  <conditionalFormatting sqref="S16">
    <cfRule type="cellIs" dxfId="0" priority="64" operator="lessThanOrEqual">
      <formula>I16</formula>
    </cfRule>
  </conditionalFormatting>
  <conditionalFormatting sqref="S18">
    <cfRule type="cellIs" dxfId="0" priority="66" operator="lessThanOrEqual">
      <formula>I18</formula>
    </cfRule>
  </conditionalFormatting>
  <conditionalFormatting sqref="S20">
    <cfRule type="cellIs" dxfId="0" priority="68" operator="lessThanOrEqual">
      <formula>I20</formula>
    </cfRule>
  </conditionalFormatting>
  <conditionalFormatting sqref="S22">
    <cfRule type="cellIs" dxfId="0" priority="70" operator="lessThanOrEqual">
      <formula>I22</formula>
    </cfRule>
  </conditionalFormatting>
  <conditionalFormatting sqref="S25">
    <cfRule type="cellIs" dxfId="0" priority="72" operator="lessThanOrEqual">
      <formula>I25</formula>
    </cfRule>
  </conditionalFormatting>
  <conditionalFormatting sqref="S27">
    <cfRule type="cellIs" dxfId="0" priority="74" operator="lessThanOrEqual">
      <formula>I27</formula>
    </cfRule>
  </conditionalFormatting>
  <conditionalFormatting sqref="S28">
    <cfRule type="cellIs" dxfId="0" priority="76" operator="lessThanOrEqual">
      <formula>I28</formula>
    </cfRule>
  </conditionalFormatting>
  <conditionalFormatting sqref="S29">
    <cfRule type="cellIs" dxfId="0" priority="78" operator="lessThanOrEqual">
      <formula>I29</formula>
    </cfRule>
  </conditionalFormatting>
  <conditionalFormatting sqref="S32">
    <cfRule type="cellIs" dxfId="0" priority="80" operator="lessThanOrEqual">
      <formula>I32</formula>
    </cfRule>
  </conditionalFormatting>
  <conditionalFormatting sqref="S33">
    <cfRule type="cellIs" dxfId="0" priority="82" operator="lessThanOrEqual">
      <formula>I33</formula>
    </cfRule>
  </conditionalFormatting>
  <conditionalFormatting sqref="S34">
    <cfRule type="cellIs" dxfId="0" priority="84" operator="lessThanOrEqual">
      <formula>I34</formula>
    </cfRule>
  </conditionalFormatting>
  <conditionalFormatting sqref="S35">
    <cfRule type="cellIs" dxfId="0" priority="86" operator="lessThanOrEqual">
      <formula>I35</formula>
    </cfRule>
  </conditionalFormatting>
  <conditionalFormatting sqref="S8">
    <cfRule type="cellIs" dxfId="0" priority="58" operator="lessThanOrEqual">
      <formula>I8</formula>
    </cfRule>
  </conditionalFormatting>
  <conditionalFormatting sqref="X12">
    <cfRule type="cellIs" dxfId="0" priority="93" operator="lessThanOrEqual">
      <formula>H12</formula>
    </cfRule>
  </conditionalFormatting>
  <conditionalFormatting sqref="X13">
    <cfRule type="cellIs" dxfId="0" priority="95" operator="lessThanOrEqual">
      <formula>H13</formula>
    </cfRule>
  </conditionalFormatting>
  <conditionalFormatting sqref="X14">
    <cfRule type="cellIs" dxfId="0" priority="97" operator="lessThanOrEqual">
      <formula>H14</formula>
    </cfRule>
  </conditionalFormatting>
  <conditionalFormatting sqref="X15">
    <cfRule type="cellIs" dxfId="0" priority="99" operator="lessThanOrEqual">
      <formula>H15</formula>
    </cfRule>
  </conditionalFormatting>
  <conditionalFormatting sqref="X16">
    <cfRule type="cellIs" dxfId="0" priority="101" operator="lessThanOrEqual">
      <formula>H16</formula>
    </cfRule>
  </conditionalFormatting>
  <conditionalFormatting sqref="X17">
    <cfRule type="cellIs" dxfId="0" priority="103" operator="lessThanOrEqual">
      <formula>H17</formula>
    </cfRule>
  </conditionalFormatting>
  <conditionalFormatting sqref="X18">
    <cfRule type="cellIs" dxfId="0" priority="105" operator="lessThanOrEqual">
      <formula>H18</formula>
    </cfRule>
  </conditionalFormatting>
  <conditionalFormatting sqref="X20">
    <cfRule type="cellIs" dxfId="0" priority="107" operator="lessThanOrEqual">
      <formula>H20</formula>
    </cfRule>
  </conditionalFormatting>
  <conditionalFormatting sqref="X21">
    <cfRule type="cellIs" dxfId="0" priority="109" operator="lessThanOrEqual">
      <formula>H21</formula>
    </cfRule>
  </conditionalFormatting>
  <conditionalFormatting sqref="X22">
    <cfRule type="cellIs" dxfId="0" priority="111" operator="lessThanOrEqual">
      <formula>H22</formula>
    </cfRule>
  </conditionalFormatting>
  <conditionalFormatting sqref="X23">
    <cfRule type="cellIs" dxfId="0" priority="113" operator="lessThanOrEqual">
      <formula>H23</formula>
    </cfRule>
  </conditionalFormatting>
  <conditionalFormatting sqref="X25">
    <cfRule type="cellIs" dxfId="0" priority="115" operator="lessThanOrEqual">
      <formula>H25</formula>
    </cfRule>
  </conditionalFormatting>
  <conditionalFormatting sqref="X26">
    <cfRule type="cellIs" dxfId="0" priority="117" operator="lessThanOrEqual">
      <formula>H26</formula>
    </cfRule>
  </conditionalFormatting>
  <conditionalFormatting sqref="X27">
    <cfRule type="cellIs" dxfId="0" priority="119" operator="lessThanOrEqual">
      <formula>H27</formula>
    </cfRule>
  </conditionalFormatting>
  <conditionalFormatting sqref="X28">
    <cfRule type="cellIs" dxfId="0" priority="121" operator="lessThanOrEqual">
      <formula>H28</formula>
    </cfRule>
  </conditionalFormatting>
  <conditionalFormatting sqref="X31">
    <cfRule type="cellIs" dxfId="0" priority="123" operator="lessThanOrEqual">
      <formula>H31</formula>
    </cfRule>
  </conditionalFormatting>
  <conditionalFormatting sqref="X34">
    <cfRule type="cellIs" dxfId="0" priority="125" operator="lessThanOrEqual">
      <formula>H34</formula>
    </cfRule>
  </conditionalFormatting>
  <conditionalFormatting sqref="X35">
    <cfRule type="cellIs" dxfId="0" priority="127" operator="lessThanOrEqual">
      <formula>H35</formula>
    </cfRule>
  </conditionalFormatting>
  <conditionalFormatting sqref="X36">
    <cfRule type="cellIs" dxfId="0" priority="129" operator="lessThanOrEqual">
      <formula>H36</formula>
    </cfRule>
  </conditionalFormatting>
  <conditionalFormatting sqref="X37">
    <cfRule type="cellIs" dxfId="0" priority="131" operator="lessThanOrEqual">
      <formula>H37</formula>
    </cfRule>
  </conditionalFormatting>
  <conditionalFormatting sqref="X38">
    <cfRule type="cellIs" dxfId="0" priority="133" operator="lessThanOrEqual">
      <formula>H38</formula>
    </cfRule>
  </conditionalFormatting>
  <conditionalFormatting sqref="X7">
    <cfRule type="cellIs" dxfId="0" priority="87" operator="lessThanOrEqual">
      <formula>H7</formula>
    </cfRule>
  </conditionalFormatting>
  <conditionalFormatting sqref="X8">
    <cfRule type="cellIs" dxfId="0" priority="89" operator="lessThanOrEqual">
      <formula>H8</formula>
    </cfRule>
  </conditionalFormatting>
  <conditionalFormatting sqref="X9">
    <cfRule type="cellIs" dxfId="0" priority="91" operator="lessThanOrEqual">
      <formula>H9</formula>
    </cfRule>
  </conditionalFormatting>
  <conditionalFormatting sqref="Y12">
    <cfRule type="cellIs" dxfId="0" priority="94" operator="lessThanOrEqual">
      <formula>I12</formula>
    </cfRule>
  </conditionalFormatting>
  <conditionalFormatting sqref="Y13">
    <cfRule type="cellIs" dxfId="0" priority="96" operator="lessThanOrEqual">
      <formula>I13</formula>
    </cfRule>
  </conditionalFormatting>
  <conditionalFormatting sqref="Y14">
    <cfRule type="cellIs" dxfId="0" priority="98" operator="lessThanOrEqual">
      <formula>I14</formula>
    </cfRule>
  </conditionalFormatting>
  <conditionalFormatting sqref="Y15">
    <cfRule type="cellIs" dxfId="0" priority="100" operator="lessThanOrEqual">
      <formula>I15</formula>
    </cfRule>
  </conditionalFormatting>
  <conditionalFormatting sqref="Y16">
    <cfRule type="cellIs" dxfId="0" priority="102" operator="lessThanOrEqual">
      <formula>I16</formula>
    </cfRule>
  </conditionalFormatting>
  <conditionalFormatting sqref="Y17">
    <cfRule type="cellIs" dxfId="0" priority="104" operator="lessThanOrEqual">
      <formula>I17</formula>
    </cfRule>
  </conditionalFormatting>
  <conditionalFormatting sqref="Y18">
    <cfRule type="cellIs" dxfId="0" priority="106" operator="lessThanOrEqual">
      <formula>I18</formula>
    </cfRule>
  </conditionalFormatting>
  <conditionalFormatting sqref="Y20">
    <cfRule type="cellIs" dxfId="0" priority="108" operator="lessThanOrEqual">
      <formula>I20</formula>
    </cfRule>
  </conditionalFormatting>
  <conditionalFormatting sqref="Y21">
    <cfRule type="cellIs" dxfId="0" priority="110" operator="lessThanOrEqual">
      <formula>I21</formula>
    </cfRule>
  </conditionalFormatting>
  <conditionalFormatting sqref="Y22">
    <cfRule type="cellIs" dxfId="0" priority="112" operator="lessThanOrEqual">
      <formula>I22</formula>
    </cfRule>
  </conditionalFormatting>
  <conditionalFormatting sqref="Y23">
    <cfRule type="cellIs" dxfId="0" priority="114" operator="lessThanOrEqual">
      <formula>I23</formula>
    </cfRule>
  </conditionalFormatting>
  <conditionalFormatting sqref="Y25">
    <cfRule type="cellIs" dxfId="0" priority="116" operator="lessThanOrEqual">
      <formula>I25</formula>
    </cfRule>
  </conditionalFormatting>
  <conditionalFormatting sqref="Y26">
    <cfRule type="cellIs" dxfId="0" priority="118" operator="lessThanOrEqual">
      <formula>I26</formula>
    </cfRule>
  </conditionalFormatting>
  <conditionalFormatting sqref="Y27">
    <cfRule type="cellIs" dxfId="0" priority="120" operator="lessThanOrEqual">
      <formula>I27</formula>
    </cfRule>
  </conditionalFormatting>
  <conditionalFormatting sqref="Y28">
    <cfRule type="cellIs" dxfId="0" priority="122" operator="lessThanOrEqual">
      <formula>I28</formula>
    </cfRule>
  </conditionalFormatting>
  <conditionalFormatting sqref="Y31">
    <cfRule type="cellIs" dxfId="0" priority="124" operator="lessThanOrEqual">
      <formula>I31</formula>
    </cfRule>
  </conditionalFormatting>
  <conditionalFormatting sqref="Y34">
    <cfRule type="cellIs" dxfId="0" priority="126" operator="lessThanOrEqual">
      <formula>I34</formula>
    </cfRule>
  </conditionalFormatting>
  <conditionalFormatting sqref="Y35">
    <cfRule type="cellIs" dxfId="0" priority="128" operator="lessThanOrEqual">
      <formula>I35</formula>
    </cfRule>
  </conditionalFormatting>
  <conditionalFormatting sqref="Y36">
    <cfRule type="cellIs" dxfId="0" priority="130" operator="lessThanOrEqual">
      <formula>I36</formula>
    </cfRule>
  </conditionalFormatting>
  <conditionalFormatting sqref="Y37">
    <cfRule type="cellIs" dxfId="0" priority="132" operator="lessThanOrEqual">
      <formula>I37</formula>
    </cfRule>
  </conditionalFormatting>
  <conditionalFormatting sqref="Y38">
    <cfRule type="cellIs" dxfId="0" priority="134" operator="lessThanOrEqual">
      <formula>I38</formula>
    </cfRule>
  </conditionalFormatting>
  <conditionalFormatting sqref="Y7">
    <cfRule type="cellIs" dxfId="0" priority="88" operator="lessThanOrEqual">
      <formula>I7</formula>
    </cfRule>
  </conditionalFormatting>
  <conditionalFormatting sqref="Y8">
    <cfRule type="cellIs" dxfId="0" priority="90" operator="lessThanOrEqual">
      <formula>I8</formula>
    </cfRule>
  </conditionalFormatting>
  <conditionalFormatting sqref="Y9">
    <cfRule type="cellIs" dxfId="0" priority="92" operator="lessThanOrEqual">
      <formula>I9</formula>
    </cfRule>
  </conditionalFormatting>
  <hyperlinks>
    <hyperlink ref="O7" r:id="rId1"/>
    <hyperlink ref="AA7" r:id="rId2"/>
    <hyperlink ref="U8" r:id="rId3"/>
    <hyperlink ref="AA8" r:id="rId4"/>
    <hyperlink ref="O9" r:id="rId5"/>
    <hyperlink ref="AA9" r:id="rId6"/>
    <hyperlink ref="O10" r:id="rId7"/>
    <hyperlink ref="U10" r:id="rId8"/>
    <hyperlink ref="O11" r:id="rId9"/>
    <hyperlink ref="O12" r:id="rId10"/>
    <hyperlink ref="AA12" r:id="rId11"/>
    <hyperlink ref="O13" r:id="rId12"/>
    <hyperlink ref="U13" r:id="rId13"/>
    <hyperlink ref="AA13" r:id="rId14"/>
    <hyperlink ref="O14" r:id="rId15"/>
    <hyperlink ref="AA14" r:id="rId16"/>
    <hyperlink ref="O15" r:id="rId17"/>
    <hyperlink ref="AA15" r:id="rId18"/>
    <hyperlink ref="O16" r:id="rId19"/>
    <hyperlink ref="U16" r:id="rId20"/>
    <hyperlink ref="AA16" r:id="rId21"/>
    <hyperlink ref="O17" r:id="rId22"/>
    <hyperlink ref="AA17" r:id="rId23"/>
    <hyperlink ref="O18" r:id="rId24"/>
    <hyperlink ref="U18" r:id="rId25"/>
    <hyperlink ref="AA18" r:id="rId26"/>
    <hyperlink ref="O20" r:id="rId27"/>
    <hyperlink ref="U20" r:id="rId28"/>
    <hyperlink ref="AA20" r:id="rId29"/>
    <hyperlink ref="O21" r:id="rId30"/>
    <hyperlink ref="AA21" r:id="rId31"/>
    <hyperlink ref="U22" r:id="rId32"/>
    <hyperlink ref="AA22" r:id="rId33"/>
    <hyperlink ref="O23" r:id="rId34"/>
    <hyperlink ref="AA23" r:id="rId35"/>
    <hyperlink ref="O25" r:id="rId36"/>
    <hyperlink ref="U25" r:id="rId37"/>
    <hyperlink ref="AA25" r:id="rId38"/>
    <hyperlink ref="O26" r:id="rId39"/>
    <hyperlink ref="AA26" r:id="rId40"/>
    <hyperlink ref="O27" r:id="rId41"/>
    <hyperlink ref="U27" r:id="rId42"/>
    <hyperlink ref="AA27" r:id="rId43"/>
    <hyperlink ref="O28" r:id="rId44"/>
    <hyperlink ref="U28" r:id="rId45"/>
    <hyperlink ref="AA28" r:id="rId46"/>
    <hyperlink ref="O29" r:id="rId47"/>
    <hyperlink ref="U29" r:id="rId48"/>
    <hyperlink ref="O30" r:id="rId49"/>
    <hyperlink ref="O31" r:id="rId50"/>
    <hyperlink ref="AA31" r:id="rId51"/>
    <hyperlink ref="O32" r:id="rId52"/>
    <hyperlink ref="U32" r:id="rId53"/>
    <hyperlink ref="O33" r:id="rId54"/>
    <hyperlink ref="U33" r:id="rId55"/>
    <hyperlink ref="O34" r:id="rId56"/>
    <hyperlink ref="U34" r:id="rId57"/>
    <hyperlink ref="AA34" r:id="rId58"/>
    <hyperlink ref="O35" r:id="rId59"/>
    <hyperlink ref="U35" r:id="rId60"/>
    <hyperlink ref="AA35" r:id="rId61"/>
    <hyperlink ref="O36" r:id="rId62"/>
    <hyperlink ref="AA36" r:id="rId63"/>
    <hyperlink ref="O37" r:id="rId64"/>
    <hyperlink ref="AA37" r:id="rId65"/>
    <hyperlink ref="O38" r:id="rId66"/>
    <hyperlink ref="AA38" r:id="rId67"/>
  </hyperlinks>
  <pageMargins left="0.7" right="0.7" top="0.75" bottom="0.75" header="0.3" footer="0.3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2016-05-03T09:35:26Z</dcterms:created>
  <dcterms:modified xsi:type="dcterms:W3CDTF">2016-05-03T09:35:26Z</dcterms:modified>
</cp:coreProperties>
</file>