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"/>
    </mc:Choice>
  </mc:AlternateContent>
  <xr:revisionPtr revIDLastSave="0" documentId="13_ncr:1_{1347842B-5783-45CF-BDE4-93772817FB0E}" xr6:coauthVersionLast="47" xr6:coauthVersionMax="47" xr10:uidLastSave="{00000000-0000-0000-0000-000000000000}"/>
  <bookViews>
    <workbookView xWindow="-28920" yWindow="-120" windowWidth="29040" windowHeight="15840" activeTab="1" xr2:uid="{AA96BDC6-3A9B-4C76-9D78-C4C8DF3570E9}"/>
  </bookViews>
  <sheets>
    <sheet name="Sheet1" sheetId="1" r:id="rId1"/>
    <sheet name="new spring rate (2)" sheetId="5" r:id="rId2"/>
    <sheet name="new spring rate" sheetId="4" r:id="rId3"/>
    <sheet name="old spring rate" sheetId="2" r:id="rId4"/>
    <sheet name="mass properti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5" l="1"/>
  <c r="D26" i="5"/>
  <c r="G6" i="5"/>
  <c r="F14" i="5"/>
  <c r="F22" i="5" s="1"/>
  <c r="F15" i="5"/>
  <c r="F23" i="5" s="1"/>
  <c r="G7" i="5"/>
  <c r="E13" i="5"/>
  <c r="E21" i="5"/>
  <c r="B16" i="5"/>
  <c r="F16" i="5"/>
  <c r="F21" i="5"/>
  <c r="A10" i="4"/>
  <c r="F19" i="5"/>
  <c r="F20" i="5"/>
  <c r="F24" i="5"/>
  <c r="F18" i="5"/>
  <c r="E24" i="5"/>
  <c r="E12" i="5"/>
  <c r="E20" i="5" s="1"/>
  <c r="E14" i="5"/>
  <c r="E22" i="5" s="1"/>
  <c r="E15" i="5"/>
  <c r="E23" i="5" s="1"/>
  <c r="E16" i="5"/>
  <c r="E10" i="5"/>
  <c r="E18" i="5" s="1"/>
  <c r="B11" i="5"/>
  <c r="B12" i="5"/>
  <c r="B13" i="5"/>
  <c r="B14" i="5"/>
  <c r="B15" i="5"/>
  <c r="B10" i="5"/>
  <c r="D4" i="5"/>
  <c r="D12" i="5" s="1"/>
  <c r="D5" i="5"/>
  <c r="D13" i="5" s="1"/>
  <c r="D6" i="5"/>
  <c r="D7" i="5"/>
  <c r="D15" i="5" s="1"/>
  <c r="D8" i="5"/>
  <c r="D16" i="5" s="1"/>
  <c r="D2" i="5"/>
  <c r="D10" i="5" s="1"/>
  <c r="E3" i="5"/>
  <c r="D3" i="5" s="1"/>
  <c r="D3" i="4"/>
  <c r="F10" i="4"/>
  <c r="F2" i="4"/>
  <c r="E11" i="4"/>
  <c r="E12" i="4"/>
  <c r="E10" i="4"/>
  <c r="D12" i="4"/>
  <c r="D10" i="4"/>
  <c r="C12" i="4"/>
  <c r="F12" i="4" s="1"/>
  <c r="C10" i="4"/>
  <c r="D8" i="4"/>
  <c r="D7" i="4"/>
  <c r="D11" i="4" s="1"/>
  <c r="D6" i="4"/>
  <c r="C8" i="4"/>
  <c r="C6" i="4"/>
  <c r="D2" i="4"/>
  <c r="C2" i="4"/>
  <c r="G4" i="4"/>
  <c r="E4" i="4"/>
  <c r="C4" i="4"/>
  <c r="F4" i="4" s="1"/>
  <c r="C3" i="4"/>
  <c r="C7" i="4" s="1"/>
  <c r="F6" i="4"/>
  <c r="G6" i="4" s="1"/>
  <c r="F8" i="4"/>
  <c r="G8" i="4" s="1"/>
  <c r="B28" i="3"/>
  <c r="B27" i="3"/>
  <c r="D24" i="3"/>
  <c r="D23" i="3"/>
  <c r="D22" i="3"/>
  <c r="D21" i="3"/>
  <c r="D20" i="3"/>
  <c r="D1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B26" i="3"/>
  <c r="B25" i="3"/>
  <c r="D17" i="2"/>
  <c r="C21" i="2"/>
  <c r="F21" i="2" s="1"/>
  <c r="C20" i="2"/>
  <c r="F20" i="2" s="1"/>
  <c r="D18" i="2"/>
  <c r="C18" i="2"/>
  <c r="F18" i="2" s="1"/>
  <c r="G18" i="2" s="1"/>
  <c r="C17" i="2"/>
  <c r="F17" i="2" s="1"/>
  <c r="G17" i="2" s="1"/>
  <c r="D12" i="2"/>
  <c r="D6" i="2"/>
  <c r="G8" i="2"/>
  <c r="G9" i="2"/>
  <c r="D9" i="2"/>
  <c r="D11" i="2"/>
  <c r="C11" i="2" s="1"/>
  <c r="F11" i="2" s="1"/>
  <c r="G11" i="2" s="1"/>
  <c r="C15" i="2"/>
  <c r="C14" i="2"/>
  <c r="C12" i="2"/>
  <c r="F12" i="2" s="1"/>
  <c r="G12" i="2" s="1"/>
  <c r="D5" i="2"/>
  <c r="C9" i="2"/>
  <c r="D8" i="2"/>
  <c r="C8" i="2"/>
  <c r="D2" i="2"/>
  <c r="C2" i="2" s="1"/>
  <c r="C6" i="2"/>
  <c r="F6" i="2" s="1"/>
  <c r="G6" i="2" s="1"/>
  <c r="C5" i="2"/>
  <c r="F5" i="2" s="1"/>
  <c r="G5" i="2" s="1"/>
  <c r="C3" i="2"/>
  <c r="F3" i="2" s="1"/>
  <c r="G3" i="2" s="1"/>
  <c r="C2" i="1"/>
  <c r="E2" i="1" s="1"/>
  <c r="E5" i="1"/>
  <c r="H12" i="1" s="1"/>
  <c r="E3" i="1"/>
  <c r="G3" i="5" l="1"/>
  <c r="H3" i="5" s="1"/>
  <c r="D11" i="5"/>
  <c r="D24" i="5"/>
  <c r="G24" i="5" s="1"/>
  <c r="B24" i="5" s="1"/>
  <c r="G16" i="5"/>
  <c r="H16" i="5" s="1"/>
  <c r="E11" i="5"/>
  <c r="E19" i="5" s="1"/>
  <c r="G8" i="5"/>
  <c r="H8" i="5" s="1"/>
  <c r="G4" i="5"/>
  <c r="F8" i="5"/>
  <c r="B26" i="5"/>
  <c r="G5" i="5"/>
  <c r="F5" i="5" s="1"/>
  <c r="F6" i="5"/>
  <c r="D21" i="5"/>
  <c r="G13" i="5"/>
  <c r="H13" i="5" s="1"/>
  <c r="D18" i="5"/>
  <c r="G10" i="5"/>
  <c r="H10" i="5" s="1"/>
  <c r="G2" i="5"/>
  <c r="H2" i="5" s="1"/>
  <c r="G15" i="5"/>
  <c r="H15" i="5" s="1"/>
  <c r="D23" i="5"/>
  <c r="G23" i="5" s="1"/>
  <c r="B23" i="5" s="1"/>
  <c r="F7" i="5"/>
  <c r="H7" i="5"/>
  <c r="D14" i="5"/>
  <c r="H6" i="5"/>
  <c r="G12" i="5"/>
  <c r="H12" i="5" s="1"/>
  <c r="D20" i="5"/>
  <c r="H4" i="5"/>
  <c r="C11" i="4"/>
  <c r="F11" i="4" s="1"/>
  <c r="F7" i="4"/>
  <c r="G7" i="4" s="1"/>
  <c r="F3" i="4"/>
  <c r="G3" i="4" s="1"/>
  <c r="E3" i="4"/>
  <c r="E2" i="4"/>
  <c r="G2" i="4"/>
  <c r="F2" i="2"/>
  <c r="G2" i="2" s="1"/>
  <c r="A20" i="2"/>
  <c r="A21" i="2"/>
  <c r="F8" i="2"/>
  <c r="A8" i="2" s="1"/>
  <c r="F9" i="2"/>
  <c r="A9" i="2" s="1"/>
  <c r="F15" i="2"/>
  <c r="A15" i="2" s="1"/>
  <c r="F14" i="2"/>
  <c r="A14" i="2" s="1"/>
  <c r="E3" i="2"/>
  <c r="E2" i="2"/>
  <c r="H11" i="1"/>
  <c r="H5" i="5" l="1"/>
  <c r="G11" i="5"/>
  <c r="H11" i="5" s="1"/>
  <c r="D19" i="5"/>
  <c r="F3" i="5"/>
  <c r="G21" i="5"/>
  <c r="B21" i="5" s="1"/>
  <c r="F2" i="5"/>
  <c r="G14" i="5"/>
  <c r="H14" i="5" s="1"/>
  <c r="D22" i="5"/>
  <c r="G22" i="5" s="1"/>
  <c r="B22" i="5" s="1"/>
  <c r="F4" i="5"/>
  <c r="G20" i="5"/>
  <c r="B20" i="5" s="1"/>
  <c r="A12" i="4"/>
  <c r="A11" i="4"/>
  <c r="G19" i="5" l="1"/>
  <c r="B19" i="5" s="1"/>
  <c r="G18" i="5"/>
  <c r="B18" i="5" s="1"/>
</calcChain>
</file>

<file path=xl/sharedStrings.xml><?xml version="1.0" encoding="utf-8"?>
<sst xmlns="http://schemas.openxmlformats.org/spreadsheetml/2006/main" count="177" uniqueCount="75">
  <si>
    <t>N-m/rad</t>
  </si>
  <si>
    <t>Music Wire</t>
  </si>
  <si>
    <t>d</t>
  </si>
  <si>
    <t>mm</t>
  </si>
  <si>
    <t>wire diameter</t>
  </si>
  <si>
    <t>modulus of elasticity</t>
  </si>
  <si>
    <t>E</t>
  </si>
  <si>
    <t>number of active coils</t>
  </si>
  <si>
    <t>n</t>
  </si>
  <si>
    <t>mean coil diameter</t>
  </si>
  <si>
    <t>D</t>
  </si>
  <si>
    <t>Desired Spring Rate</t>
  </si>
  <si>
    <t># coils</t>
  </si>
  <si>
    <t>GPa</t>
  </si>
  <si>
    <t>m</t>
  </si>
  <si>
    <t>Pa</t>
  </si>
  <si>
    <t>mean coil diameter
(mm)</t>
  </si>
  <si>
    <t>ASTM A288 E:</t>
  </si>
  <si>
    <t>mandrel OD
(mm)</t>
  </si>
  <si>
    <t>wire diameter
(mm)                                                              (in)</t>
  </si>
  <si>
    <t>notes</t>
  </si>
  <si>
    <t>first iteration of calculations - wanted higher number of coils but ended up being too wide</t>
  </si>
  <si>
    <t>second iteration of calculations - fewer coils</t>
  </si>
  <si>
    <t xml:space="preserve">third iteration of calculations - add an eighth of a coil </t>
  </si>
  <si>
    <t>22.7mm mandrel OD for springback</t>
  </si>
  <si>
    <t>Part</t>
  </si>
  <si>
    <t>Mass (g)</t>
  </si>
  <si>
    <t>BL_012v5</t>
  </si>
  <si>
    <t>medium nut</t>
  </si>
  <si>
    <t>BL_002.rat</t>
  </si>
  <si>
    <t>post and screw</t>
  </si>
  <si>
    <t>BL_003v3</t>
  </si>
  <si>
    <t>BO_025v6</t>
  </si>
  <si>
    <t>6597K8</t>
  </si>
  <si>
    <t>6597K19</t>
  </si>
  <si>
    <t>6597K118</t>
  </si>
  <si>
    <t>6597K119</t>
  </si>
  <si>
    <t>BL_011j2</t>
  </si>
  <si>
    <t>BL_004v4</t>
  </si>
  <si>
    <t>BL_005.rat</t>
  </si>
  <si>
    <t>BL_011j3</t>
  </si>
  <si>
    <t>BL_006v2</t>
  </si>
  <si>
    <t>BL_007v2</t>
  </si>
  <si>
    <t>BL_008</t>
  </si>
  <si>
    <t>BL_009</t>
  </si>
  <si>
    <t>BL_010</t>
  </si>
  <si>
    <t>large nut</t>
  </si>
  <si>
    <t>nuts (m)</t>
  </si>
  <si>
    <t>x</t>
  </si>
  <si>
    <t>encoder + mount small</t>
  </si>
  <si>
    <t>encoder + mount large</t>
  </si>
  <si>
    <t>dshaft 119mm</t>
  </si>
  <si>
    <t>dshaft 80mm</t>
  </si>
  <si>
    <t>dshaft 52mm</t>
  </si>
  <si>
    <t>4-40 SHS 1250</t>
  </si>
  <si>
    <t>4-40 SHS 0500</t>
  </si>
  <si>
    <t>limb 1</t>
  </si>
  <si>
    <t>limb 2</t>
  </si>
  <si>
    <t>limb 3</t>
  </si>
  <si>
    <t>L</t>
  </si>
  <si>
    <t>R</t>
  </si>
  <si>
    <t>measured new leg properties</t>
  </si>
  <si>
    <t>K118 adjusted hip spring</t>
  </si>
  <si>
    <t>K119 hip spring</t>
  </si>
  <si>
    <t>ankle spring</t>
  </si>
  <si>
    <t>mandrel OD takes spring-back into consideration</t>
  </si>
  <si>
    <t>mean coil diameter and spring rate back calculated from measured mandrel OD</t>
  </si>
  <si>
    <t xml:space="preserve"> mandrel OD coefficients:</t>
  </si>
  <si>
    <t>K118 hip spring</t>
  </si>
  <si>
    <t>K119 adjusted hip spring</t>
  </si>
  <si>
    <t>K118 knee spring</t>
  </si>
  <si>
    <t>K119 adjusted knee spring</t>
  </si>
  <si>
    <t>Spring</t>
  </si>
  <si>
    <t>all hip springs need to have 1/8 coil past a full turn for proper assembly</t>
  </si>
  <si>
    <t>Actual K119 hip 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</si>
</sst>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3" borderId="0" xfId="0" applyNumberFormat="1" applyFill="1"/>
    <xf numFmtId="0" fontId="0" fillId="4" borderId="0" xfId="0" applyFill="1" applyAlignment="1">
      <alignment horizontal="right"/>
    </xf>
    <xf numFmtId="165" fontId="0" fillId="0" borderId="0" xfId="0" applyNumberFormat="1"/>
    <xf numFmtId="165" fontId="0" fillId="2" borderId="0" xfId="0" applyNumberFormat="1" applyFill="1"/>
    <xf numFmtId="165" fontId="0" fillId="5" borderId="0" xfId="0" applyNumberFormat="1" applyFill="1"/>
    <xf numFmtId="0" fontId="0" fillId="5" borderId="0" xfId="0" applyFill="1"/>
    <xf numFmtId="13" fontId="0" fillId="3" borderId="0" xfId="0" applyNumberFormat="1" applyFill="1"/>
    <xf numFmtId="13" fontId="0" fillId="5" borderId="0" xfId="0" applyNumberFormat="1" applyFill="1"/>
    <xf numFmtId="2" fontId="0" fillId="5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166" fontId="0" fillId="5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wrapText="1"/>
    </xf>
    <xf numFmtId="0" fontId="0" fillId="0" borderId="0" xfId="0" applyFill="1"/>
    <xf numFmtId="2" fontId="0" fillId="0" borderId="0" xfId="0" applyNumberFormat="1" applyFill="1"/>
    <xf numFmtId="165" fontId="0" fillId="0" borderId="0" xfId="0" applyNumberFormat="1" applyFill="1"/>
    <xf numFmtId="13" fontId="0" fillId="0" borderId="0" xfId="0" applyNumberFormat="1" applyFill="1"/>
    <xf numFmtId="166" fontId="0" fillId="0" borderId="0" xfId="0" applyNumberFormat="1" applyFill="1"/>
    <xf numFmtId="2" fontId="0" fillId="6" borderId="0" xfId="0" applyNumberFormat="1" applyFill="1"/>
    <xf numFmtId="0" fontId="0" fillId="6" borderId="0" xfId="0" applyFill="1"/>
    <xf numFmtId="165" fontId="0" fillId="6" borderId="0" xfId="0" applyNumberFormat="1" applyFill="1"/>
    <xf numFmtId="13" fontId="0" fillId="6" borderId="0" xfId="0" applyNumberFormat="1" applyFill="1"/>
    <xf numFmtId="166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1D6A-8B5B-40FE-AEF4-5564C1CFA095}">
  <dimension ref="A1:H17"/>
  <sheetViews>
    <sheetView workbookViewId="0">
      <selection activeCell="C6" sqref="C6"/>
    </sheetView>
  </sheetViews>
  <sheetFormatPr defaultRowHeight="15" x14ac:dyDescent="0.25"/>
  <cols>
    <col min="1" max="1" width="26" customWidth="1"/>
    <col min="5" max="5" width="10" bestFit="1" customWidth="1"/>
    <col min="7" max="7" width="14.28515625" customWidth="1"/>
  </cols>
  <sheetData>
    <row r="1" spans="1:8" x14ac:dyDescent="0.25">
      <c r="A1" s="20" t="s">
        <v>1</v>
      </c>
      <c r="B1" s="20"/>
      <c r="C1" s="20"/>
      <c r="D1" s="20"/>
    </row>
    <row r="2" spans="1:8" x14ac:dyDescent="0.25">
      <c r="A2" t="s">
        <v>4</v>
      </c>
      <c r="B2" t="s">
        <v>2</v>
      </c>
      <c r="C2">
        <f>3.18*2</f>
        <v>6.36</v>
      </c>
      <c r="D2" t="s">
        <v>3</v>
      </c>
      <c r="E2">
        <f>C2/1000</f>
        <v>6.3600000000000002E-3</v>
      </c>
      <c r="F2" t="s">
        <v>14</v>
      </c>
    </row>
    <row r="3" spans="1:8" x14ac:dyDescent="0.25">
      <c r="A3" t="s">
        <v>5</v>
      </c>
      <c r="B3" t="s">
        <v>6</v>
      </c>
      <c r="C3">
        <v>203.4</v>
      </c>
      <c r="D3" t="s">
        <v>13</v>
      </c>
      <c r="E3">
        <f>C3*1000000000</f>
        <v>203400000000</v>
      </c>
      <c r="F3" t="s">
        <v>15</v>
      </c>
    </row>
    <row r="4" spans="1:8" x14ac:dyDescent="0.25">
      <c r="A4" t="s">
        <v>7</v>
      </c>
      <c r="B4" t="s">
        <v>8</v>
      </c>
    </row>
    <row r="5" spans="1:8" x14ac:dyDescent="0.25">
      <c r="A5" t="s">
        <v>9</v>
      </c>
      <c r="B5" t="s">
        <v>10</v>
      </c>
      <c r="C5">
        <v>25</v>
      </c>
      <c r="D5" t="s">
        <v>3</v>
      </c>
      <c r="E5">
        <f>C5/1000</f>
        <v>2.5000000000000001E-2</v>
      </c>
      <c r="F5" t="s">
        <v>14</v>
      </c>
    </row>
    <row r="10" spans="1:8" x14ac:dyDescent="0.25">
      <c r="A10" s="20" t="s">
        <v>11</v>
      </c>
      <c r="B10" s="20"/>
      <c r="G10" t="s">
        <v>4</v>
      </c>
      <c r="H10" t="s">
        <v>12</v>
      </c>
    </row>
    <row r="11" spans="1:8" x14ac:dyDescent="0.25">
      <c r="A11">
        <v>40</v>
      </c>
      <c r="B11" t="s">
        <v>0</v>
      </c>
      <c r="C11" s="2"/>
      <c r="F11" s="1"/>
      <c r="G11">
        <v>7.14</v>
      </c>
      <c r="H11" s="2">
        <f>(((G11/1000)^4)*E$3)/(64*E$5*$A11)</f>
        <v>8.259691405108498</v>
      </c>
    </row>
    <row r="12" spans="1:8" x14ac:dyDescent="0.25">
      <c r="A12">
        <v>19</v>
      </c>
      <c r="B12" t="s">
        <v>0</v>
      </c>
      <c r="C12" s="2"/>
      <c r="F12" s="1"/>
      <c r="G12">
        <v>6.35</v>
      </c>
      <c r="H12" s="2">
        <f>(((G12/1000)^4)*E$3)/(64*E$5*$A12)</f>
        <v>10.878581410238485</v>
      </c>
    </row>
    <row r="17" spans="1:2" x14ac:dyDescent="0.25">
      <c r="A17" s="20"/>
      <c r="B17" s="20"/>
    </row>
  </sheetData>
  <mergeCells count="3">
    <mergeCell ref="A10:B10"/>
    <mergeCell ref="A1:D1"/>
    <mergeCell ref="A17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1DA6-A82C-4E0B-8128-7A6EA08A4D8F}">
  <dimension ref="A1:J31"/>
  <sheetViews>
    <sheetView tabSelected="1" workbookViewId="0">
      <selection activeCell="B30" sqref="B30:B31"/>
    </sheetView>
  </sheetViews>
  <sheetFormatPr defaultRowHeight="15" x14ac:dyDescent="0.25"/>
  <cols>
    <col min="1" max="1" width="32" customWidth="1"/>
    <col min="2" max="2" width="19.140625" customWidth="1"/>
    <col min="4" max="8" width="29.85546875" customWidth="1"/>
    <col min="10" max="10" width="73.140625" customWidth="1"/>
  </cols>
  <sheetData>
    <row r="1" spans="1:10" ht="30" x14ac:dyDescent="0.25">
      <c r="A1" s="3" t="s">
        <v>72</v>
      </c>
      <c r="B1" s="21" t="s">
        <v>11</v>
      </c>
      <c r="C1" s="21"/>
      <c r="D1" s="22" t="s">
        <v>19</v>
      </c>
      <c r="E1" s="22"/>
      <c r="F1" s="3" t="s">
        <v>7</v>
      </c>
      <c r="G1" s="4" t="s">
        <v>16</v>
      </c>
      <c r="H1" s="4" t="s">
        <v>18</v>
      </c>
      <c r="J1" s="3" t="s">
        <v>20</v>
      </c>
    </row>
    <row r="2" spans="1:10" x14ac:dyDescent="0.25">
      <c r="A2" t="s">
        <v>68</v>
      </c>
      <c r="B2" s="8">
        <v>5.1749999999999998</v>
      </c>
      <c r="C2" t="s">
        <v>0</v>
      </c>
      <c r="D2" s="10">
        <f>CONVERT(E2,"in","mm")</f>
        <v>3.96875</v>
      </c>
      <c r="E2" s="14">
        <v>0.15625</v>
      </c>
      <c r="F2" s="5">
        <f>(($C$29*1000000000)*(D2/1000)^4)/(64*(G2/1000)*B2)</f>
        <v>4.265592252574681</v>
      </c>
      <c r="G2" s="6">
        <f>25.4*1.25+D2</f>
        <v>35.71875</v>
      </c>
      <c r="H2" s="10">
        <f>IFERROR(($C$30*(G2/D2)+$C$31)*G2-D2,"")</f>
        <v>27.185143749999998</v>
      </c>
    </row>
    <row r="3" spans="1:10" x14ac:dyDescent="0.25">
      <c r="A3" t="s">
        <v>62</v>
      </c>
      <c r="B3" s="8">
        <v>4.7408000000000001</v>
      </c>
      <c r="C3" t="s">
        <v>0</v>
      </c>
      <c r="D3" s="10">
        <f t="shared" ref="D3:D8" si="0">CONVERT(E3,"in","mm")</f>
        <v>3.96875</v>
      </c>
      <c r="E3" s="14">
        <f>5/32</f>
        <v>0.15625</v>
      </c>
      <c r="F3" s="5">
        <f>(($C$29*1000000000)*(D3/1000)^4)/(64*(G3/1000)*B3)</f>
        <v>4.65626896453636</v>
      </c>
      <c r="G3" s="6">
        <f>25.4*1.25+D3</f>
        <v>35.71875</v>
      </c>
      <c r="H3" s="10">
        <f>IFERROR(($C$30*(G3/D3)+$C$31)*G3-D3,"")</f>
        <v>27.185143749999998</v>
      </c>
    </row>
    <row r="4" spans="1:10" x14ac:dyDescent="0.25">
      <c r="A4" t="s">
        <v>63</v>
      </c>
      <c r="B4" s="8">
        <v>13.224299999999999</v>
      </c>
      <c r="C4" t="s">
        <v>0</v>
      </c>
      <c r="D4" s="10">
        <f t="shared" si="0"/>
        <v>5.5562500000000004</v>
      </c>
      <c r="E4" s="14">
        <v>0.21875</v>
      </c>
      <c r="F4" s="5">
        <f>(($C$29*1000000000)*(D4/1000)^4)/(64*(G4/1000)*B4)</f>
        <v>6.1396526085935168</v>
      </c>
      <c r="G4" s="6">
        <f>25.4*1.25+D4</f>
        <v>37.306249999999999</v>
      </c>
      <c r="H4" s="10">
        <f>IFERROR(($C$30*(G4/D4)+$C$31)*G4-D4,"")</f>
        <v>28.043890535714283</v>
      </c>
    </row>
    <row r="5" spans="1:10" x14ac:dyDescent="0.25">
      <c r="A5" t="s">
        <v>69</v>
      </c>
      <c r="B5" s="8">
        <v>6.8902999999999999</v>
      </c>
      <c r="C5" t="s">
        <v>0</v>
      </c>
      <c r="D5" s="10">
        <f t="shared" si="0"/>
        <v>3.96875</v>
      </c>
      <c r="E5" s="14">
        <v>0.15625</v>
      </c>
      <c r="F5" s="5">
        <f>(($C$29*1000000000)*(D5/1000)^4)/(64*(G5/1000)*B5)</f>
        <v>3.8963893849141193</v>
      </c>
      <c r="G5" s="6">
        <f>25.4*1+D5</f>
        <v>29.368749999999999</v>
      </c>
      <c r="H5" s="10">
        <f>IFERROR(($C$30*(G5/D5)+$C$31)*G5-D5,"")</f>
        <v>22.231699249999998</v>
      </c>
    </row>
    <row r="6" spans="1:10" x14ac:dyDescent="0.25">
      <c r="A6" t="s">
        <v>70</v>
      </c>
      <c r="B6" s="8">
        <v>4.024</v>
      </c>
      <c r="C6" t="s">
        <v>0</v>
      </c>
      <c r="D6" s="10">
        <f t="shared" si="0"/>
        <v>3.96875</v>
      </c>
      <c r="E6" s="14">
        <v>0.15625</v>
      </c>
      <c r="F6" s="5">
        <f>(($C$29*1000000000)*(D6/1000)^4)/(64*(G6/1000)*B6)</f>
        <v>7.7142597215016844</v>
      </c>
      <c r="G6" s="17">
        <f>25.4</f>
        <v>25.4</v>
      </c>
      <c r="H6" s="10">
        <f>IFERROR(($C$30*(G6/D6)+$C$31)*G6-D6,"")</f>
        <v>19.007327999999998</v>
      </c>
    </row>
    <row r="7" spans="1:10" x14ac:dyDescent="0.25">
      <c r="A7" t="s">
        <v>71</v>
      </c>
      <c r="B7" s="8">
        <v>1.5674999999999999</v>
      </c>
      <c r="C7" t="s">
        <v>0</v>
      </c>
      <c r="D7" s="10">
        <f t="shared" si="0"/>
        <v>3.1749999999999998</v>
      </c>
      <c r="E7" s="14">
        <v>0.125</v>
      </c>
      <c r="F7" s="5">
        <f>(($C$29*1000000000)*(D7/1000)^4)/(64*(G7/1000)*B7)</f>
        <v>8.1115645208769447</v>
      </c>
      <c r="G7" s="17">
        <f>25.4</f>
        <v>25.4</v>
      </c>
      <c r="H7" s="10">
        <f>IFERROR(($C$30*(G7/D7)+$C$31)*G7-D7,"")</f>
        <v>19.295109999999998</v>
      </c>
    </row>
    <row r="8" spans="1:10" x14ac:dyDescent="0.25">
      <c r="A8" t="s">
        <v>64</v>
      </c>
      <c r="B8" s="8">
        <v>0.24762499999999998</v>
      </c>
      <c r="C8" t="s">
        <v>0</v>
      </c>
      <c r="D8" s="10">
        <f t="shared" si="0"/>
        <v>1.5874999999999999</v>
      </c>
      <c r="E8" s="14">
        <v>6.25E-2</v>
      </c>
      <c r="F8" s="5">
        <f>(($C$29*1000000000)*(D8/1000)^4)/(64*(G8/1000)*B8)</f>
        <v>5.7052565534688924</v>
      </c>
      <c r="G8" s="6">
        <f>25.4*0.5+D8</f>
        <v>14.2875</v>
      </c>
      <c r="H8" s="10">
        <f>IFERROR(($C$30*(G8/D8)+$C$31)*G8-D8,"")</f>
        <v>10.874057499999999</v>
      </c>
    </row>
    <row r="9" spans="1:10" x14ac:dyDescent="0.25">
      <c r="D9" s="10"/>
      <c r="E9" s="10"/>
    </row>
    <row r="10" spans="1:10" x14ac:dyDescent="0.25">
      <c r="A10" t="s">
        <v>68</v>
      </c>
      <c r="B10" s="16">
        <f>B2</f>
        <v>5.1749999999999998</v>
      </c>
      <c r="C10" t="s">
        <v>0</v>
      </c>
      <c r="D10" s="12">
        <f>D2</f>
        <v>3.96875</v>
      </c>
      <c r="E10" s="15">
        <f>E2</f>
        <v>0.15625</v>
      </c>
      <c r="F10" s="6">
        <v>4.125</v>
      </c>
      <c r="G10" s="5">
        <f>IFERROR(((($C$29*1000000000)*(D10/1000)^4)/(64*B10*F10))*1000,"")</f>
        <v>36.936151096158035</v>
      </c>
      <c r="H10" s="11">
        <f>IFERROR((-0.01245*(G10/D10)+0.98425)*G10-D10,"")</f>
        <v>28.105901942324181</v>
      </c>
      <c r="J10" t="s">
        <v>65</v>
      </c>
    </row>
    <row r="11" spans="1:10" x14ac:dyDescent="0.25">
      <c r="A11" t="s">
        <v>62</v>
      </c>
      <c r="B11" s="16">
        <f t="shared" ref="B11:B15" si="1">B3</f>
        <v>4.7408000000000001</v>
      </c>
      <c r="C11" t="s">
        <v>0</v>
      </c>
      <c r="D11" s="12">
        <f t="shared" ref="D11:E16" si="2">D3</f>
        <v>3.96875</v>
      </c>
      <c r="E11" s="15">
        <f t="shared" si="2"/>
        <v>0.15625</v>
      </c>
      <c r="F11" s="6">
        <v>5.125</v>
      </c>
      <c r="G11" s="5">
        <f>IFERROR(((($C$29*1000000000)*(D11/1000)^4)/(64*B11*F11))*1000,"")</f>
        <v>32.451923332104016</v>
      </c>
      <c r="H11" s="11">
        <f t="shared" ref="H11:H16" si="3">IFERROR((-0.01245*(G11/D11)+0.98425)*G11-D11,"")</f>
        <v>24.668386819494415</v>
      </c>
      <c r="J11" t="s">
        <v>73</v>
      </c>
    </row>
    <row r="12" spans="1:10" x14ac:dyDescent="0.25">
      <c r="A12" t="s">
        <v>63</v>
      </c>
      <c r="B12" s="16">
        <f t="shared" si="1"/>
        <v>13.224299999999999</v>
      </c>
      <c r="C12" t="s">
        <v>0</v>
      </c>
      <c r="D12" s="12">
        <f t="shared" si="2"/>
        <v>5.5562500000000004</v>
      </c>
      <c r="E12" s="15">
        <f t="shared" si="2"/>
        <v>0.21875</v>
      </c>
      <c r="F12" s="6">
        <v>6.125</v>
      </c>
      <c r="G12" s="5">
        <f>IFERROR(((($C$29*1000000000)*(D12/1000)^4)/(64*B12*F12))*1000,"")</f>
        <v>37.395496347647651</v>
      </c>
      <c r="H12" s="11">
        <f t="shared" si="3"/>
        <v>28.116792691873933</v>
      </c>
    </row>
    <row r="13" spans="1:10" x14ac:dyDescent="0.25">
      <c r="A13" t="s">
        <v>69</v>
      </c>
      <c r="B13" s="16">
        <f t="shared" si="1"/>
        <v>6.8902999999999999</v>
      </c>
      <c r="C13" t="s">
        <v>0</v>
      </c>
      <c r="D13" s="12">
        <f t="shared" si="2"/>
        <v>3.96875</v>
      </c>
      <c r="E13" s="15">
        <f t="shared" si="2"/>
        <v>0.15625</v>
      </c>
      <c r="F13" s="6">
        <v>4.125</v>
      </c>
      <c r="G13" s="5">
        <f>IFERROR(((($C$29*1000000000)*(D13/1000)^4)/(64*B13*F13))*1000,"")</f>
        <v>27.741111696532492</v>
      </c>
      <c r="H13" s="11">
        <f t="shared" si="3"/>
        <v>20.921294302125165</v>
      </c>
    </row>
    <row r="14" spans="1:10" x14ac:dyDescent="0.25">
      <c r="A14" t="s">
        <v>70</v>
      </c>
      <c r="B14" s="16">
        <f t="shared" si="1"/>
        <v>4.024</v>
      </c>
      <c r="C14" t="s">
        <v>0</v>
      </c>
      <c r="D14" s="12">
        <f t="shared" si="2"/>
        <v>3.96875</v>
      </c>
      <c r="E14" s="15">
        <f t="shared" si="2"/>
        <v>0.15625</v>
      </c>
      <c r="F14" s="18">
        <f>8+1/6</f>
        <v>8.1666666666666661</v>
      </c>
      <c r="G14" s="5">
        <f>IFERROR(((($C$29*1000000000)*(D14/1000)^4)/(64*B14*F14))*1000,"")</f>
        <v>23.992922072588915</v>
      </c>
      <c r="H14" s="11">
        <f t="shared" si="3"/>
        <v>17.84043262603068</v>
      </c>
    </row>
    <row r="15" spans="1:10" x14ac:dyDescent="0.25">
      <c r="A15" t="s">
        <v>71</v>
      </c>
      <c r="B15" s="16">
        <f t="shared" si="1"/>
        <v>1.5674999999999999</v>
      </c>
      <c r="C15" t="s">
        <v>0</v>
      </c>
      <c r="D15" s="12">
        <f t="shared" si="2"/>
        <v>3.1749999999999998</v>
      </c>
      <c r="E15" s="15">
        <f t="shared" si="2"/>
        <v>0.125</v>
      </c>
      <c r="F15" s="18">
        <f>8+1/6</f>
        <v>8.1666666666666661</v>
      </c>
      <c r="G15" s="5">
        <f>IFERROR(((($C$29*1000000000)*(D15/1000)^4)/(64*B15*F15))*1000,"")</f>
        <v>25.22862108125809</v>
      </c>
      <c r="H15" s="11">
        <f t="shared" si="3"/>
        <v>19.160453809562711</v>
      </c>
    </row>
    <row r="16" spans="1:10" x14ac:dyDescent="0.25">
      <c r="A16" t="s">
        <v>64</v>
      </c>
      <c r="B16" s="16">
        <f>B8</f>
        <v>0.24762499999999998</v>
      </c>
      <c r="C16" t="s">
        <v>0</v>
      </c>
      <c r="D16" s="12">
        <f t="shared" si="2"/>
        <v>1.5874999999999999</v>
      </c>
      <c r="E16" s="15">
        <f t="shared" si="2"/>
        <v>6.25E-2</v>
      </c>
      <c r="F16" s="18">
        <f>5+1/6</f>
        <v>5.166666666666667</v>
      </c>
      <c r="G16" s="5">
        <f>IFERROR(((($C$29*1000000000)*(D16/1000)^4)/(64*B16*F16))*1000,"")</f>
        <v>15.776874775681314</v>
      </c>
      <c r="H16" s="11">
        <f t="shared" si="3"/>
        <v>11.988809166651111</v>
      </c>
    </row>
    <row r="17" spans="1:10" x14ac:dyDescent="0.25">
      <c r="D17" s="10"/>
      <c r="E17" s="10"/>
    </row>
    <row r="18" spans="1:10" x14ac:dyDescent="0.25">
      <c r="A18" t="s">
        <v>68</v>
      </c>
      <c r="B18" s="5" t="str">
        <f>IF(ISBLANK(H18),"",IFERROR((($C$29*1000000000)*(D18/1000)^4)/(64*(G18/1000)*F18),""))</f>
        <v/>
      </c>
      <c r="C18" t="s">
        <v>0</v>
      </c>
      <c r="D18" s="12">
        <f>D10</f>
        <v>3.96875</v>
      </c>
      <c r="E18" s="15">
        <f>E10</f>
        <v>0.15625</v>
      </c>
      <c r="F18" s="13">
        <f>F10</f>
        <v>4.125</v>
      </c>
      <c r="G18" s="5">
        <f>((-($C$31*D18)/$C$30)-SQRT((-($C$31*D18)/$C$30)^2-(4*(D18*(H18+D18))/-$C$30)))/2</f>
        <v>4.0854555575487268</v>
      </c>
      <c r="H18" s="8"/>
      <c r="J18" t="s">
        <v>66</v>
      </c>
    </row>
    <row r="19" spans="1:10" x14ac:dyDescent="0.25">
      <c r="A19" t="s">
        <v>62</v>
      </c>
      <c r="B19" s="5">
        <f t="shared" ref="B19:B24" si="4">IFERROR((($C$29*1000000000)*(D19/1000)^4)/(64*(G19/1000)*F19),"")</f>
        <v>3.8968448906097919</v>
      </c>
      <c r="C19" t="s">
        <v>0</v>
      </c>
      <c r="D19" s="12">
        <f t="shared" ref="D19:F24" si="5">D11</f>
        <v>3.96875</v>
      </c>
      <c r="E19" s="15">
        <f t="shared" si="5"/>
        <v>0.15625</v>
      </c>
      <c r="F19" s="13">
        <f t="shared" si="5"/>
        <v>5.125</v>
      </c>
      <c r="G19" s="5">
        <f>((-($C$31*D19)/$C$30)-SQRT((-($C$31*D19)/$C$30)^2-(4*(D19*(H19+D19))/-$C$30)))/2</f>
        <v>39.480164710575394</v>
      </c>
      <c r="H19" s="8">
        <v>30</v>
      </c>
    </row>
    <row r="20" spans="1:10" x14ac:dyDescent="0.25">
      <c r="A20" t="s">
        <v>63</v>
      </c>
      <c r="B20" s="5">
        <f t="shared" si="4"/>
        <v>15.832953817464206</v>
      </c>
      <c r="C20" t="s">
        <v>0</v>
      </c>
      <c r="D20" s="12">
        <f t="shared" si="5"/>
        <v>5.5562500000000004</v>
      </c>
      <c r="E20" s="15">
        <f t="shared" si="5"/>
        <v>0.21875</v>
      </c>
      <c r="F20" s="13">
        <f t="shared" si="5"/>
        <v>6.125</v>
      </c>
      <c r="G20" s="5">
        <f>((-($C$31*D20)/$C$30)-SQRT((-($C$31*D20)/$C$30)^2-(4*(D20*(H20+D20))/-$C$30)))/2</f>
        <v>31.234175760982566</v>
      </c>
      <c r="H20" s="8">
        <v>23</v>
      </c>
    </row>
    <row r="21" spans="1:10" x14ac:dyDescent="0.25">
      <c r="A21" t="s">
        <v>69</v>
      </c>
      <c r="B21" s="5">
        <f t="shared" si="4"/>
        <v>46.78660169719349</v>
      </c>
      <c r="C21" t="s">
        <v>0</v>
      </c>
      <c r="D21" s="12">
        <f t="shared" si="5"/>
        <v>3.96875</v>
      </c>
      <c r="E21" s="15">
        <f t="shared" si="5"/>
        <v>0.15625</v>
      </c>
      <c r="F21" s="13">
        <f t="shared" si="5"/>
        <v>4.125</v>
      </c>
      <c r="G21" s="5">
        <f t="shared" ref="G21:G24" si="6">((-($C$31*D21)/$C$30)-SQRT((-($C$31*D21)/$C$30)^2-(4*(D21*(H21+D21))/-$C$30)))/2</f>
        <v>4.0854555575487268</v>
      </c>
      <c r="H21" s="8"/>
    </row>
    <row r="22" spans="1:10" x14ac:dyDescent="0.25">
      <c r="A22" t="s">
        <v>70</v>
      </c>
      <c r="B22" s="5">
        <f t="shared" si="4"/>
        <v>3.9921316403849567</v>
      </c>
      <c r="C22" t="s">
        <v>0</v>
      </c>
      <c r="D22" s="12">
        <f t="shared" si="5"/>
        <v>3.96875</v>
      </c>
      <c r="E22" s="15">
        <f t="shared" si="5"/>
        <v>0.15625</v>
      </c>
      <c r="F22" s="19">
        <f t="shared" si="5"/>
        <v>8.1666666666666661</v>
      </c>
      <c r="G22" s="5">
        <f t="shared" si="6"/>
        <v>24.184452597557083</v>
      </c>
      <c r="H22" s="8">
        <v>18</v>
      </c>
    </row>
    <row r="23" spans="1:10" x14ac:dyDescent="0.25">
      <c r="A23" t="s">
        <v>71</v>
      </c>
      <c r="B23" s="5">
        <f t="shared" si="4"/>
        <v>12.099588096057854</v>
      </c>
      <c r="C23" t="s">
        <v>0</v>
      </c>
      <c r="D23" s="12">
        <f t="shared" si="5"/>
        <v>3.1749999999999998</v>
      </c>
      <c r="E23" s="15">
        <f t="shared" si="5"/>
        <v>0.125</v>
      </c>
      <c r="F23" s="19">
        <f t="shared" si="5"/>
        <v>8.1666666666666661</v>
      </c>
      <c r="G23" s="5">
        <f t="shared" si="6"/>
        <v>3.2683644460389871</v>
      </c>
      <c r="H23" s="8"/>
    </row>
    <row r="24" spans="1:10" x14ac:dyDescent="0.25">
      <c r="A24" t="s">
        <v>64</v>
      </c>
      <c r="B24" s="5">
        <f t="shared" si="4"/>
        <v>0.23378729954337357</v>
      </c>
      <c r="C24" t="s">
        <v>0</v>
      </c>
      <c r="D24" s="12">
        <f t="shared" si="5"/>
        <v>1.5874999999999999</v>
      </c>
      <c r="E24" s="15">
        <f t="shared" si="5"/>
        <v>6.25E-2</v>
      </c>
      <c r="F24" s="19">
        <f t="shared" si="5"/>
        <v>5.166666666666667</v>
      </c>
      <c r="G24" s="5">
        <f t="shared" si="6"/>
        <v>16.710696534664763</v>
      </c>
      <c r="H24" s="8">
        <v>12.67</v>
      </c>
    </row>
    <row r="25" spans="1:10" x14ac:dyDescent="0.25">
      <c r="A25" s="24"/>
      <c r="B25" s="25"/>
      <c r="C25" s="24"/>
      <c r="D25" s="26"/>
      <c r="E25" s="27"/>
      <c r="F25" s="28"/>
      <c r="G25" s="25"/>
      <c r="H25" s="25"/>
      <c r="I25" s="24"/>
      <c r="J25" s="24"/>
    </row>
    <row r="26" spans="1:10" x14ac:dyDescent="0.25">
      <c r="A26" t="s">
        <v>74</v>
      </c>
      <c r="B26" s="29">
        <f t="shared" ref="B26" si="7">IFERROR((($C$29*1000000000)*(D26/1000)^4)/(64*(G26/1000)*F26),"")</f>
        <v>13.027921427505186</v>
      </c>
      <c r="C26" s="30" t="s">
        <v>0</v>
      </c>
      <c r="D26" s="31">
        <f>CONVERT(E26,"in","mm")</f>
        <v>5.5562500000000004</v>
      </c>
      <c r="E26" s="32">
        <v>0.21875</v>
      </c>
      <c r="F26" s="33">
        <f>5+1/6</f>
        <v>5.166666666666667</v>
      </c>
      <c r="G26" s="29">
        <v>45</v>
      </c>
      <c r="H26" s="29"/>
    </row>
    <row r="29" spans="1:10" x14ac:dyDescent="0.25">
      <c r="B29" s="9" t="s">
        <v>17</v>
      </c>
      <c r="C29" s="7">
        <v>203.4</v>
      </c>
      <c r="D29" s="7" t="s">
        <v>13</v>
      </c>
    </row>
    <row r="30" spans="1:10" x14ac:dyDescent="0.25">
      <c r="B30" s="23" t="s">
        <v>67</v>
      </c>
      <c r="C30">
        <v>-1.2449999999999999E-2</v>
      </c>
    </row>
    <row r="31" spans="1:10" x14ac:dyDescent="0.25">
      <c r="B31" s="23"/>
      <c r="C31">
        <v>0.98424999999999996</v>
      </c>
    </row>
  </sheetData>
  <mergeCells count="3">
    <mergeCell ref="B1:C1"/>
    <mergeCell ref="D1:E1"/>
    <mergeCell ref="B30:B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45467-C099-4729-88DC-752A8F0EA990}">
  <dimension ref="A1:I18"/>
  <sheetViews>
    <sheetView workbookViewId="0">
      <selection activeCell="F3" sqref="F3"/>
    </sheetView>
  </sheetViews>
  <sheetFormatPr defaultRowHeight="15" x14ac:dyDescent="0.25"/>
  <cols>
    <col min="1" max="1" width="19.140625" customWidth="1"/>
    <col min="3" max="7" width="29.85546875" customWidth="1"/>
    <col min="9" max="9" width="73.140625" customWidth="1"/>
  </cols>
  <sheetData>
    <row r="1" spans="1:9" ht="30" x14ac:dyDescent="0.25">
      <c r="A1" s="21" t="s">
        <v>11</v>
      </c>
      <c r="B1" s="21"/>
      <c r="C1" s="22" t="s">
        <v>19</v>
      </c>
      <c r="D1" s="22"/>
      <c r="E1" s="3" t="s">
        <v>7</v>
      </c>
      <c r="F1" s="4" t="s">
        <v>16</v>
      </c>
      <c r="G1" s="4" t="s">
        <v>18</v>
      </c>
      <c r="I1" s="3" t="s">
        <v>20</v>
      </c>
    </row>
    <row r="2" spans="1:9" x14ac:dyDescent="0.25">
      <c r="A2" s="6">
        <v>4.74</v>
      </c>
      <c r="B2" t="s">
        <v>0</v>
      </c>
      <c r="C2" s="10">
        <f>CONVERT(D2,"in","mm")</f>
        <v>3.96875</v>
      </c>
      <c r="D2" s="14">
        <f>5/32</f>
        <v>0.15625</v>
      </c>
      <c r="E2" s="5">
        <f>(($B$16*1000000000)*(C2/1000)^4)/(64*(F2/1000)*A2)</f>
        <v>4.6570548327160282</v>
      </c>
      <c r="F2">
        <f>25.4*1.25+C2</f>
        <v>35.71875</v>
      </c>
      <c r="G2" s="10">
        <f>(-0.01245*(F2/C2)+0.98425)*F2-C2</f>
        <v>27.185143749999998</v>
      </c>
      <c r="I2" t="s">
        <v>62</v>
      </c>
    </row>
    <row r="3" spans="1:9" x14ac:dyDescent="0.25">
      <c r="A3" s="6">
        <v>13.22</v>
      </c>
      <c r="B3" t="s">
        <v>0</v>
      </c>
      <c r="C3" s="10">
        <f>CONVERT(D3,"in","mm")</f>
        <v>4.7625000000000002</v>
      </c>
      <c r="D3" s="14">
        <f>6/32</f>
        <v>0.1875</v>
      </c>
      <c r="E3" s="5">
        <f>(($B$16*1000000000)*(C3/1000)^4)/(64*(F3/1000)*A3)</f>
        <v>4.1002670129168077</v>
      </c>
      <c r="F3">
        <f>25.4*1+C3</f>
        <v>30.162499999999998</v>
      </c>
      <c r="G3" s="10">
        <f>(-0.01245*(F3/C3)+0.98425)*F3-C3</f>
        <v>22.5466275</v>
      </c>
      <c r="I3" t="s">
        <v>63</v>
      </c>
    </row>
    <row r="4" spans="1:9" x14ac:dyDescent="0.25">
      <c r="A4" s="6">
        <v>0.25</v>
      </c>
      <c r="B4" t="s">
        <v>0</v>
      </c>
      <c r="C4" s="10">
        <f>CONVERT(D4,"in","mm")</f>
        <v>1.5874999999999999</v>
      </c>
      <c r="D4" s="14">
        <v>6.25E-2</v>
      </c>
      <c r="E4" s="5">
        <f>(($B$16*1000000000)*(C4/1000)^4)/(64*(F4/1000)*A4)</f>
        <v>5.651056616210937</v>
      </c>
      <c r="F4">
        <f>25.4/2+C4</f>
        <v>14.2875</v>
      </c>
      <c r="G4" s="10">
        <f>(-0.01245*(F4/C4)+0.98425)*F4-C4</f>
        <v>10.874057499999999</v>
      </c>
      <c r="I4" t="s">
        <v>64</v>
      </c>
    </row>
    <row r="5" spans="1:9" x14ac:dyDescent="0.25">
      <c r="C5" s="10"/>
      <c r="D5" s="10"/>
    </row>
    <row r="6" spans="1:9" x14ac:dyDescent="0.25">
      <c r="A6" s="13">
        <v>4.74</v>
      </c>
      <c r="B6" t="s">
        <v>0</v>
      </c>
      <c r="C6" s="12">
        <f t="shared" ref="C6:D8" si="0">C2</f>
        <v>3.96875</v>
      </c>
      <c r="D6" s="15">
        <f t="shared" si="0"/>
        <v>0.15625</v>
      </c>
      <c r="E6" s="6">
        <v>4.125</v>
      </c>
      <c r="F6" s="5">
        <f>((($B$16*1000000000)*(C6/1000)^4)/(64*A6*E6))*1000</f>
        <v>40.325861165109245</v>
      </c>
      <c r="G6" s="11">
        <f>(-0.01245*(F6/C6)+0.98425)*F6-C6</f>
        <v>30.620654825324642</v>
      </c>
      <c r="I6" t="s">
        <v>65</v>
      </c>
    </row>
    <row r="7" spans="1:9" x14ac:dyDescent="0.25">
      <c r="A7" s="13">
        <v>13.22</v>
      </c>
      <c r="B7" t="s">
        <v>0</v>
      </c>
      <c r="C7" s="12">
        <f t="shared" si="0"/>
        <v>4.7625000000000002</v>
      </c>
      <c r="D7" s="15">
        <f t="shared" si="0"/>
        <v>0.1875</v>
      </c>
      <c r="E7" s="6">
        <v>5.125</v>
      </c>
      <c r="F7" s="5">
        <f>((($B$16*1000000000)*(C7/1000)^4)/(64*A7*E7))*1000</f>
        <v>24.131571468703065</v>
      </c>
      <c r="G7" s="11">
        <f>(-0.01245*(F7/C7)+0.98425)*F7-C7</f>
        <v>17.466680555123677</v>
      </c>
    </row>
    <row r="8" spans="1:9" x14ac:dyDescent="0.25">
      <c r="A8" s="13">
        <v>0.25</v>
      </c>
      <c r="B8" t="s">
        <v>0</v>
      </c>
      <c r="C8" s="12">
        <f t="shared" si="0"/>
        <v>1.5874999999999999</v>
      </c>
      <c r="D8" s="15">
        <f t="shared" si="0"/>
        <v>6.25E-2</v>
      </c>
      <c r="E8" s="6">
        <v>5.125</v>
      </c>
      <c r="F8" s="5">
        <f>((($B$16*1000000000)*(C8/1000)^4)/(64*A8*E8))*1000</f>
        <v>15.754043200802686</v>
      </c>
      <c r="G8" s="11">
        <f>(-0.01245*(F8/C8)+0.98425)*F8-C8</f>
        <v>11.97198302303519</v>
      </c>
    </row>
    <row r="9" spans="1:9" x14ac:dyDescent="0.25">
      <c r="C9" s="10"/>
      <c r="D9" s="10"/>
    </row>
    <row r="10" spans="1:9" x14ac:dyDescent="0.25">
      <c r="A10" s="5">
        <f>(($B$16*1000000000)*(C10/1000)^4)/(64*(F10/1000)*E10)</f>
        <v>4.8415345610606506</v>
      </c>
      <c r="B10" t="s">
        <v>0</v>
      </c>
      <c r="C10" s="12">
        <f>C6</f>
        <v>3.96875</v>
      </c>
      <c r="D10" s="15">
        <f>D6</f>
        <v>0.15625</v>
      </c>
      <c r="E10" s="13">
        <f>E6</f>
        <v>4.125</v>
      </c>
      <c r="F10" s="5">
        <f>((-($B$18*C10)/$B$17)-SQRT((-($B$18*C10)/$B$17)^2-(4*(C10*(G10+C10))/-$B$17)))/2</f>
        <v>39.480164710575394</v>
      </c>
      <c r="G10" s="8">
        <v>30</v>
      </c>
      <c r="I10" t="s">
        <v>66</v>
      </c>
    </row>
    <row r="11" spans="1:9" x14ac:dyDescent="0.25">
      <c r="A11" s="5">
        <f>(($B$16*1000000000)*(C11/1000)^4)/(64*(F11/1000)*E11)</f>
        <v>13.524300330474267</v>
      </c>
      <c r="B11" t="s">
        <v>0</v>
      </c>
      <c r="C11" s="12">
        <f>C7</f>
        <v>4.7625000000000002</v>
      </c>
      <c r="D11" s="15">
        <f t="shared" ref="D11:E12" si="1">D7</f>
        <v>0.1875</v>
      </c>
      <c r="E11" s="13">
        <f t="shared" si="1"/>
        <v>5.125</v>
      </c>
      <c r="F11" s="5">
        <f>((-($B$18*C11)/$B$17)-SQRT((-($B$18*C11)/$B$17)^2-(4*(C11*(G11+C11))/-$B$17)))/2</f>
        <v>23.588604735241574</v>
      </c>
      <c r="G11" s="8">
        <v>17</v>
      </c>
    </row>
    <row r="12" spans="1:9" x14ac:dyDescent="0.25">
      <c r="A12" s="5">
        <f>(($B$16*1000000000)*(C12/1000)^4)/(64*(F12/1000)*E12)</f>
        <v>0.23568800929575873</v>
      </c>
      <c r="B12" t="s">
        <v>0</v>
      </c>
      <c r="C12" s="12">
        <f>C8</f>
        <v>1.5874999999999999</v>
      </c>
      <c r="D12" s="15">
        <f t="shared" si="1"/>
        <v>6.25E-2</v>
      </c>
      <c r="E12" s="13">
        <f t="shared" si="1"/>
        <v>5.125</v>
      </c>
      <c r="F12" s="5">
        <f>((-($B$18*C12)/$B$17)-SQRT((-($B$18*C12)/$B$17)^2-(4*(C12*(G12+C12))/-$B$17)))/2</f>
        <v>16.710696534664763</v>
      </c>
      <c r="G12" s="8">
        <v>12.67</v>
      </c>
    </row>
    <row r="13" spans="1:9" x14ac:dyDescent="0.25">
      <c r="C13" s="10"/>
      <c r="D13" s="10"/>
    </row>
    <row r="16" spans="1:9" x14ac:dyDescent="0.25">
      <c r="A16" s="9" t="s">
        <v>17</v>
      </c>
      <c r="B16" s="7">
        <v>203.4</v>
      </c>
      <c r="C16" s="7" t="s">
        <v>13</v>
      </c>
    </row>
    <row r="17" spans="1:2" x14ac:dyDescent="0.25">
      <c r="A17" s="23" t="s">
        <v>67</v>
      </c>
      <c r="B17">
        <v>-1.2449999999999999E-2</v>
      </c>
    </row>
    <row r="18" spans="1:2" x14ac:dyDescent="0.25">
      <c r="A18" s="23"/>
      <c r="B18">
        <v>0.98424999999999996</v>
      </c>
    </row>
  </sheetData>
  <mergeCells count="3">
    <mergeCell ref="A1:B1"/>
    <mergeCell ref="C1:D1"/>
    <mergeCell ref="A17:A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DA16-F37A-4E24-B4B4-CAC4D5F5F2A3}">
  <dimension ref="A1:I26"/>
  <sheetViews>
    <sheetView workbookViewId="0">
      <selection activeCell="D30" sqref="D30"/>
    </sheetView>
  </sheetViews>
  <sheetFormatPr defaultRowHeight="15" x14ac:dyDescent="0.25"/>
  <cols>
    <col min="1" max="1" width="19.140625" customWidth="1"/>
    <col min="3" max="7" width="29.85546875" customWidth="1"/>
    <col min="9" max="9" width="73.140625" customWidth="1"/>
  </cols>
  <sheetData>
    <row r="1" spans="1:9" ht="30" x14ac:dyDescent="0.25">
      <c r="A1" s="21" t="s">
        <v>11</v>
      </c>
      <c r="B1" s="21"/>
      <c r="C1" s="22" t="s">
        <v>19</v>
      </c>
      <c r="D1" s="22"/>
      <c r="E1" s="3" t="s">
        <v>7</v>
      </c>
      <c r="F1" s="4" t="s">
        <v>16</v>
      </c>
      <c r="G1" s="4" t="s">
        <v>18</v>
      </c>
      <c r="I1" s="3" t="s">
        <v>20</v>
      </c>
    </row>
    <row r="2" spans="1:9" x14ac:dyDescent="0.25">
      <c r="A2">
        <v>40</v>
      </c>
      <c r="B2" t="s">
        <v>0</v>
      </c>
      <c r="C2">
        <f>CONVERT(D2,"in","mm")</f>
        <v>6.35</v>
      </c>
      <c r="D2" s="6">
        <f>0.25</f>
        <v>0.25</v>
      </c>
      <c r="E2" s="5">
        <f>(($B$26*1000000000)*(C2/1000)^4)/(64*(F2/1000)*A2)</f>
        <v>4.0687607636718743</v>
      </c>
      <c r="F2">
        <f>25.4+C2</f>
        <v>31.75</v>
      </c>
      <c r="G2">
        <f>F2-C2</f>
        <v>25.4</v>
      </c>
    </row>
    <row r="3" spans="1:9" x14ac:dyDescent="0.25">
      <c r="A3">
        <v>19</v>
      </c>
      <c r="B3" t="s">
        <v>0</v>
      </c>
      <c r="C3">
        <f>CONVERT(D3,"in","mm")</f>
        <v>6.35</v>
      </c>
      <c r="D3" s="6">
        <v>0.25</v>
      </c>
      <c r="E3" s="5">
        <f>(($B$26*1000000000)*(C3/1000)^4)/(64*(F3/1000)*A3)</f>
        <v>8.5658121340460518</v>
      </c>
      <c r="F3">
        <f>25.4+C3</f>
        <v>31.75</v>
      </c>
      <c r="G3">
        <f>F3-C3</f>
        <v>25.4</v>
      </c>
    </row>
    <row r="5" spans="1:9" x14ac:dyDescent="0.25">
      <c r="A5">
        <v>40</v>
      </c>
      <c r="B5" t="s">
        <v>0</v>
      </c>
      <c r="C5">
        <f>CONVERT(D5,"in","mm")</f>
        <v>7.1437499999999998</v>
      </c>
      <c r="D5" s="6">
        <f>9/32</f>
        <v>0.28125</v>
      </c>
      <c r="E5">
        <v>6</v>
      </c>
      <c r="F5" s="5">
        <f>((($B$26*1000000000)*(C5/1000)^4)/(64*A5*E5))*1000</f>
        <v>34.487739054843125</v>
      </c>
      <c r="G5" s="1">
        <f>F5-C5</f>
        <v>27.343989054843124</v>
      </c>
    </row>
    <row r="6" spans="1:9" x14ac:dyDescent="0.25">
      <c r="A6">
        <v>19</v>
      </c>
      <c r="B6" t="s">
        <v>0</v>
      </c>
      <c r="C6" s="1">
        <f>CONVERT(D6,"in","mm")</f>
        <v>6.35</v>
      </c>
      <c r="D6" s="6">
        <f>1/4</f>
        <v>0.25</v>
      </c>
      <c r="E6">
        <v>8</v>
      </c>
      <c r="F6" s="5">
        <f>((($B$26*1000000000)*(C6/1000)^4)/(64*A6*E6))*1000</f>
        <v>33.995566906995272</v>
      </c>
      <c r="G6" s="1">
        <f>F6-C6</f>
        <v>27.645566906995271</v>
      </c>
    </row>
    <row r="8" spans="1:9" x14ac:dyDescent="0.25">
      <c r="A8" s="5">
        <f>(($B$26*1000000000)*(C8/1000)^4)/(64*(F8/1000)*E8)</f>
        <v>39.648200098975394</v>
      </c>
      <c r="B8" t="s">
        <v>0</v>
      </c>
      <c r="C8">
        <f>CONVERT(D8,"in","mm")</f>
        <v>7.1437499999999998</v>
      </c>
      <c r="D8">
        <f>9/32</f>
        <v>0.28125</v>
      </c>
      <c r="E8">
        <v>6</v>
      </c>
      <c r="F8" s="1">
        <f>G8+C8</f>
        <v>34.793749999999996</v>
      </c>
      <c r="G8" s="8">
        <f>27.65</f>
        <v>27.65</v>
      </c>
      <c r="I8" t="s">
        <v>21</v>
      </c>
    </row>
    <row r="9" spans="1:9" x14ac:dyDescent="0.25">
      <c r="A9" s="5">
        <f>(($B$26*1000000000)*(C9/1000)^4)/(64*(F9/1000)*E9)</f>
        <v>18.997522683320884</v>
      </c>
      <c r="B9" t="s">
        <v>0</v>
      </c>
      <c r="C9" s="1">
        <f>CONVERT(D9,"in","mm")</f>
        <v>6.35</v>
      </c>
      <c r="D9">
        <f>1/4</f>
        <v>0.25</v>
      </c>
      <c r="E9">
        <v>8</v>
      </c>
      <c r="F9" s="1">
        <f>G9+C9</f>
        <v>34</v>
      </c>
      <c r="G9" s="8">
        <f>27.65</f>
        <v>27.65</v>
      </c>
    </row>
    <row r="11" spans="1:9" x14ac:dyDescent="0.25">
      <c r="A11">
        <v>40</v>
      </c>
      <c r="B11" t="s">
        <v>0</v>
      </c>
      <c r="C11">
        <f>CONVERT(D11,"in","mm")</f>
        <v>6.35</v>
      </c>
      <c r="D11" s="6">
        <f>8/32</f>
        <v>0.25</v>
      </c>
      <c r="E11">
        <v>4</v>
      </c>
      <c r="F11" s="5">
        <f>((($B$26*1000000000)*(C11/1000)^4)/(64*A11*E11))*1000</f>
        <v>32.295788561645509</v>
      </c>
      <c r="G11" s="1">
        <f>F11-C11</f>
        <v>25.945788561645507</v>
      </c>
    </row>
    <row r="12" spans="1:9" x14ac:dyDescent="0.25">
      <c r="A12">
        <v>19</v>
      </c>
      <c r="B12" t="s">
        <v>0</v>
      </c>
      <c r="C12" s="1">
        <f>CONVERT(D12,"in","mm")</f>
        <v>5.5562500000000004</v>
      </c>
      <c r="D12" s="6">
        <f>7/32</f>
        <v>0.21875</v>
      </c>
      <c r="E12">
        <v>5</v>
      </c>
      <c r="F12" s="5">
        <f>((($B$26*1000000000)*(C12/1000)^4)/(64*A12*E12))*1000</f>
        <v>31.884123493631115</v>
      </c>
      <c r="G12" s="1">
        <f>F12-C12</f>
        <v>26.327873493631117</v>
      </c>
    </row>
    <row r="14" spans="1:9" x14ac:dyDescent="0.25">
      <c r="A14" s="5">
        <f>(($B$26*1000000000)*(C14/1000)^4)/(64*(F14/1000)*E14)</f>
        <v>39.74866284510216</v>
      </c>
      <c r="B14" t="s">
        <v>0</v>
      </c>
      <c r="C14">
        <f>CONVERT(D14,"in","mm")</f>
        <v>6.35</v>
      </c>
      <c r="D14">
        <v>0.25</v>
      </c>
      <c r="E14">
        <v>4</v>
      </c>
      <c r="F14" s="1">
        <f>G14+C14</f>
        <v>32.5</v>
      </c>
      <c r="G14" s="8">
        <v>26.15</v>
      </c>
      <c r="I14" t="s">
        <v>22</v>
      </c>
    </row>
    <row r="15" spans="1:9" x14ac:dyDescent="0.25">
      <c r="A15" s="5">
        <f>(($B$26*1000000000)*(C15/1000)^4)/(64*(F15/1000)*E15)</f>
        <v>19.106590857606662</v>
      </c>
      <c r="B15" t="s">
        <v>0</v>
      </c>
      <c r="C15" s="1">
        <f>CONVERT(D15,"in","mm")</f>
        <v>5.5562500000000004</v>
      </c>
      <c r="D15">
        <v>0.21875</v>
      </c>
      <c r="E15">
        <v>5</v>
      </c>
      <c r="F15" s="1">
        <f>G15+C15</f>
        <v>31.706249999999997</v>
      </c>
      <c r="G15" s="8">
        <v>26.15</v>
      </c>
    </row>
    <row r="17" spans="1:9" x14ac:dyDescent="0.25">
      <c r="A17">
        <v>40</v>
      </c>
      <c r="B17" t="s">
        <v>0</v>
      </c>
      <c r="C17">
        <f>CONVERT(D17,"in","mm")</f>
        <v>6.35</v>
      </c>
      <c r="D17" s="6">
        <f>8/32</f>
        <v>0.25</v>
      </c>
      <c r="E17">
        <v>4.125</v>
      </c>
      <c r="F17" s="5">
        <f>((($B$26*1000000000)*(C17/1000)^4)/(64*A17*E17))*1000</f>
        <v>31.317128302201702</v>
      </c>
      <c r="G17" s="1">
        <f>F17-C17</f>
        <v>24.967128302201701</v>
      </c>
    </row>
    <row r="18" spans="1:9" x14ac:dyDescent="0.25">
      <c r="A18">
        <v>19</v>
      </c>
      <c r="B18" t="s">
        <v>0</v>
      </c>
      <c r="C18" s="1">
        <f>CONVERT(D18,"in","mm")</f>
        <v>5.5562500000000004</v>
      </c>
      <c r="D18" s="6">
        <f>7/32</f>
        <v>0.21875</v>
      </c>
      <c r="E18">
        <v>5.125</v>
      </c>
      <c r="F18" s="5">
        <f>((($B$26*1000000000)*(C18/1000)^4)/(64*A18*E18))*1000</f>
        <v>31.106461945005965</v>
      </c>
      <c r="G18" s="1">
        <f>F18-C18</f>
        <v>25.550211945005962</v>
      </c>
    </row>
    <row r="20" spans="1:9" x14ac:dyDescent="0.25">
      <c r="A20" s="5">
        <f>(($B$26*1000000000)*(C20/1000)^4)/(64*(F20/1000)*E20)</f>
        <v>39.641934559748982</v>
      </c>
      <c r="B20" t="s">
        <v>0</v>
      </c>
      <c r="C20">
        <f>CONVERT(D20,"in","mm")</f>
        <v>6.35</v>
      </c>
      <c r="D20">
        <v>0.25</v>
      </c>
      <c r="E20">
        <v>4.125</v>
      </c>
      <c r="F20" s="1">
        <f>G20+C20</f>
        <v>31.6</v>
      </c>
      <c r="G20" s="8">
        <v>25.25</v>
      </c>
      <c r="I20" t="s">
        <v>23</v>
      </c>
    </row>
    <row r="21" spans="1:9" x14ac:dyDescent="0.25">
      <c r="A21" s="5">
        <f>(($B$26*1000000000)*(C21/1000)^4)/(64*(F21/1000)*E21)</f>
        <v>19.185158107692864</v>
      </c>
      <c r="B21" t="s">
        <v>0</v>
      </c>
      <c r="C21" s="1">
        <f>CONVERT(D21,"in","mm")</f>
        <v>5.5562500000000004</v>
      </c>
      <c r="D21">
        <v>0.21875</v>
      </c>
      <c r="E21">
        <v>5.125</v>
      </c>
      <c r="F21" s="1">
        <f>G21+C21</f>
        <v>30.806249999999999</v>
      </c>
      <c r="G21" s="8">
        <v>25.25</v>
      </c>
      <c r="I21" t="s">
        <v>24</v>
      </c>
    </row>
    <row r="26" spans="1:9" x14ac:dyDescent="0.25">
      <c r="A26" s="9" t="s">
        <v>17</v>
      </c>
      <c r="B26" s="7">
        <v>203.4</v>
      </c>
      <c r="C26" s="7" t="s">
        <v>13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2F4C-D259-48ED-AC54-C1F95C4B8EE6}">
  <dimension ref="A1:K28"/>
  <sheetViews>
    <sheetView workbookViewId="0">
      <selection activeCell="H31" sqref="H31"/>
    </sheetView>
  </sheetViews>
  <sheetFormatPr defaultRowHeight="15" x14ac:dyDescent="0.25"/>
  <cols>
    <col min="1" max="2" width="27.28515625" customWidth="1"/>
  </cols>
  <sheetData>
    <row r="1" spans="1:11" x14ac:dyDescent="0.25">
      <c r="A1" t="s">
        <v>25</v>
      </c>
      <c r="B1" t="s">
        <v>26</v>
      </c>
      <c r="C1" t="s">
        <v>47</v>
      </c>
    </row>
    <row r="2" spans="1:11" x14ac:dyDescent="0.25">
      <c r="A2" t="s">
        <v>27</v>
      </c>
      <c r="B2">
        <v>44</v>
      </c>
      <c r="C2">
        <v>2</v>
      </c>
      <c r="D2">
        <f>B2-C2*$B$25</f>
        <v>43.2</v>
      </c>
      <c r="E2" t="s">
        <v>48</v>
      </c>
    </row>
    <row r="3" spans="1:11" x14ac:dyDescent="0.25">
      <c r="A3" t="s">
        <v>29</v>
      </c>
      <c r="B3">
        <v>23</v>
      </c>
      <c r="C3">
        <v>4</v>
      </c>
      <c r="D3">
        <f t="shared" ref="D3:D24" si="0">B3-C3*$B$25</f>
        <v>21.4</v>
      </c>
      <c r="E3" t="s">
        <v>48</v>
      </c>
    </row>
    <row r="4" spans="1:11" x14ac:dyDescent="0.25">
      <c r="A4" t="s">
        <v>31</v>
      </c>
      <c r="B4">
        <v>39</v>
      </c>
      <c r="D4">
        <f t="shared" si="0"/>
        <v>39</v>
      </c>
      <c r="E4" t="s">
        <v>48</v>
      </c>
    </row>
    <row r="5" spans="1:11" x14ac:dyDescent="0.25">
      <c r="A5" t="s">
        <v>37</v>
      </c>
      <c r="B5">
        <v>13</v>
      </c>
      <c r="D5">
        <f t="shared" si="0"/>
        <v>13</v>
      </c>
    </row>
    <row r="6" spans="1:11" x14ac:dyDescent="0.25">
      <c r="A6" t="s">
        <v>38</v>
      </c>
      <c r="B6">
        <v>38</v>
      </c>
      <c r="D6">
        <f t="shared" si="0"/>
        <v>38</v>
      </c>
      <c r="E6" t="s">
        <v>48</v>
      </c>
      <c r="H6" s="20" t="s">
        <v>61</v>
      </c>
      <c r="I6" s="20"/>
      <c r="J6" s="20"/>
      <c r="K6" s="20"/>
    </row>
    <row r="7" spans="1:11" x14ac:dyDescent="0.25">
      <c r="A7" t="s">
        <v>39</v>
      </c>
      <c r="B7">
        <v>35</v>
      </c>
      <c r="C7">
        <v>4</v>
      </c>
      <c r="D7">
        <f t="shared" si="0"/>
        <v>33.4</v>
      </c>
      <c r="E7" t="s">
        <v>48</v>
      </c>
      <c r="I7" t="s">
        <v>59</v>
      </c>
      <c r="J7" t="s">
        <v>60</v>
      </c>
      <c r="K7" t="s">
        <v>14</v>
      </c>
    </row>
    <row r="8" spans="1:11" x14ac:dyDescent="0.25">
      <c r="A8" t="s">
        <v>40</v>
      </c>
      <c r="B8">
        <v>7</v>
      </c>
      <c r="D8">
        <f t="shared" si="0"/>
        <v>7</v>
      </c>
      <c r="H8" t="s">
        <v>56</v>
      </c>
      <c r="I8">
        <v>190.04</v>
      </c>
      <c r="J8">
        <v>130.77000000000001</v>
      </c>
      <c r="K8">
        <v>192.72</v>
      </c>
    </row>
    <row r="9" spans="1:11" x14ac:dyDescent="0.25">
      <c r="A9" t="s">
        <v>41</v>
      </c>
      <c r="B9">
        <v>20</v>
      </c>
      <c r="D9">
        <f t="shared" si="0"/>
        <v>20</v>
      </c>
      <c r="E9" t="s">
        <v>48</v>
      </c>
      <c r="H9" t="s">
        <v>57</v>
      </c>
      <c r="I9">
        <v>267.99700000000001</v>
      </c>
      <c r="J9">
        <v>171.35</v>
      </c>
      <c r="K9">
        <v>166.26</v>
      </c>
    </row>
    <row r="10" spans="1:11" x14ac:dyDescent="0.25">
      <c r="A10" t="s">
        <v>42</v>
      </c>
      <c r="B10">
        <v>14</v>
      </c>
      <c r="D10">
        <f t="shared" si="0"/>
        <v>14</v>
      </c>
      <c r="E10" t="s">
        <v>48</v>
      </c>
      <c r="H10" t="s">
        <v>58</v>
      </c>
      <c r="I10">
        <v>162.02000000000001</v>
      </c>
      <c r="J10">
        <v>53.49</v>
      </c>
      <c r="K10">
        <v>35.33</v>
      </c>
    </row>
    <row r="11" spans="1:11" x14ac:dyDescent="0.25">
      <c r="A11" t="s">
        <v>43</v>
      </c>
      <c r="B11">
        <v>10</v>
      </c>
      <c r="C11">
        <v>1</v>
      </c>
      <c r="D11">
        <f t="shared" si="0"/>
        <v>9.6</v>
      </c>
      <c r="E11" t="s">
        <v>48</v>
      </c>
    </row>
    <row r="12" spans="1:11" x14ac:dyDescent="0.25">
      <c r="A12" t="s">
        <v>44</v>
      </c>
      <c r="B12">
        <v>8</v>
      </c>
      <c r="C12">
        <v>1</v>
      </c>
      <c r="D12">
        <f t="shared" si="0"/>
        <v>7.6</v>
      </c>
      <c r="E12" t="s">
        <v>48</v>
      </c>
    </row>
    <row r="13" spans="1:11" x14ac:dyDescent="0.25">
      <c r="A13" t="s">
        <v>45</v>
      </c>
      <c r="B13">
        <v>1</v>
      </c>
      <c r="D13">
        <f t="shared" si="0"/>
        <v>1</v>
      </c>
      <c r="E13" t="s">
        <v>48</v>
      </c>
    </row>
    <row r="14" spans="1:11" x14ac:dyDescent="0.25">
      <c r="A14" t="s">
        <v>32</v>
      </c>
      <c r="B14">
        <v>105</v>
      </c>
      <c r="C14">
        <v>6</v>
      </c>
      <c r="D14">
        <f t="shared" si="0"/>
        <v>102.6</v>
      </c>
      <c r="E14" t="s">
        <v>48</v>
      </c>
    </row>
    <row r="15" spans="1:11" x14ac:dyDescent="0.25">
      <c r="A15" t="s">
        <v>33</v>
      </c>
      <c r="B15">
        <v>1.7</v>
      </c>
      <c r="D15">
        <f t="shared" si="0"/>
        <v>1.7</v>
      </c>
      <c r="E15" t="s">
        <v>48</v>
      </c>
    </row>
    <row r="16" spans="1:11" x14ac:dyDescent="0.25">
      <c r="A16" t="s">
        <v>34</v>
      </c>
      <c r="B16">
        <v>7</v>
      </c>
      <c r="D16">
        <f t="shared" si="0"/>
        <v>7</v>
      </c>
      <c r="E16" t="s">
        <v>48</v>
      </c>
    </row>
    <row r="17" spans="1:5" x14ac:dyDescent="0.25">
      <c r="A17" t="s">
        <v>35</v>
      </c>
      <c r="B17">
        <v>79</v>
      </c>
      <c r="D17">
        <f t="shared" si="0"/>
        <v>79</v>
      </c>
      <c r="E17" t="s">
        <v>48</v>
      </c>
    </row>
    <row r="18" spans="1:5" x14ac:dyDescent="0.25">
      <c r="A18" t="s">
        <v>36</v>
      </c>
      <c r="B18">
        <v>79</v>
      </c>
      <c r="D18">
        <f t="shared" si="0"/>
        <v>79</v>
      </c>
    </row>
    <row r="19" spans="1:5" x14ac:dyDescent="0.25">
      <c r="A19" t="s">
        <v>49</v>
      </c>
      <c r="B19">
        <v>21</v>
      </c>
      <c r="D19">
        <f t="shared" si="0"/>
        <v>21</v>
      </c>
    </row>
    <row r="20" spans="1:5" x14ac:dyDescent="0.25">
      <c r="A20" t="s">
        <v>50</v>
      </c>
      <c r="B20">
        <v>28</v>
      </c>
      <c r="D20">
        <f t="shared" si="0"/>
        <v>28</v>
      </c>
    </row>
    <row r="21" spans="1:5" x14ac:dyDescent="0.25">
      <c r="A21" t="s">
        <v>51</v>
      </c>
      <c r="B21">
        <v>29</v>
      </c>
      <c r="D21">
        <f t="shared" si="0"/>
        <v>29</v>
      </c>
    </row>
    <row r="22" spans="1:5" x14ac:dyDescent="0.25">
      <c r="A22" t="s">
        <v>52</v>
      </c>
      <c r="B22">
        <v>20</v>
      </c>
      <c r="D22">
        <f t="shared" si="0"/>
        <v>20</v>
      </c>
    </row>
    <row r="23" spans="1:5" x14ac:dyDescent="0.25">
      <c r="A23" t="s">
        <v>53</v>
      </c>
      <c r="B23">
        <v>12</v>
      </c>
      <c r="D23">
        <f t="shared" si="0"/>
        <v>12</v>
      </c>
    </row>
    <row r="24" spans="1:5" x14ac:dyDescent="0.25">
      <c r="A24" t="s">
        <v>30</v>
      </c>
      <c r="B24">
        <v>2</v>
      </c>
      <c r="D24">
        <f t="shared" si="0"/>
        <v>2</v>
      </c>
    </row>
    <row r="25" spans="1:5" x14ac:dyDescent="0.25">
      <c r="A25" t="s">
        <v>28</v>
      </c>
      <c r="B25">
        <f>4/10</f>
        <v>0.4</v>
      </c>
    </row>
    <row r="26" spans="1:5" x14ac:dyDescent="0.25">
      <c r="A26" t="s">
        <v>46</v>
      </c>
      <c r="B26" s="2">
        <f>4/6</f>
        <v>0.66666666666666663</v>
      </c>
      <c r="D26" s="2"/>
    </row>
    <row r="27" spans="1:5" x14ac:dyDescent="0.25">
      <c r="A27" t="s">
        <v>54</v>
      </c>
      <c r="B27">
        <f>13/10</f>
        <v>1.3</v>
      </c>
    </row>
    <row r="28" spans="1:5" x14ac:dyDescent="0.25">
      <c r="A28" t="s">
        <v>55</v>
      </c>
      <c r="B28">
        <f>2/4</f>
        <v>0.5</v>
      </c>
    </row>
  </sheetData>
  <mergeCells count="1">
    <mergeCell ref="H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new spring rate (2)</vt:lpstr>
      <vt:lpstr>new spring rate</vt:lpstr>
      <vt:lpstr>old spring rate</vt:lpstr>
      <vt:lpstr>mass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</cp:lastModifiedBy>
  <dcterms:created xsi:type="dcterms:W3CDTF">2023-06-28T19:02:30Z</dcterms:created>
  <dcterms:modified xsi:type="dcterms:W3CDTF">2023-09-12T21:29:01Z</dcterms:modified>
</cp:coreProperties>
</file>