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Quadruped_Robot\CAD_Mechanical\AARL_QR-Quadruped\AARL_QR_FR-Frame\InProgress\Haonan\AARL_QR_FR_LE_BI_BL-Back_Left_new\Adjustable Spiral Torsion Spring\"/>
    </mc:Choice>
  </mc:AlternateContent>
  <xr:revisionPtr revIDLastSave="0" documentId="13_ncr:1_{81FD95B1-4726-4857-B010-6C78D65AB81E}" xr6:coauthVersionLast="47" xr6:coauthVersionMax="47" xr10:uidLastSave="{00000000-0000-0000-0000-000000000000}"/>
  <bookViews>
    <workbookView xWindow="-28920" yWindow="-135" windowWidth="29040" windowHeight="15720" xr2:uid="{00000000-000D-0000-FFFF-FFFF00000000}"/>
  </bookViews>
  <sheets>
    <sheet name="Hip Spring Table" sheetId="7" r:id="rId1"/>
    <sheet name="2L6LT4ST" sheetId="8" r:id="rId2"/>
    <sheet name="3L4LT4ST.O1" sheetId="12" r:id="rId3"/>
    <sheet name="3L4LT4ST.M2" sheetId="10" r:id="rId4"/>
    <sheet name="4L3LT6ST" sheetId="9" r:id="rId5"/>
    <sheet name="2L5LT12ST" sheetId="13" r:id="rId6"/>
    <sheet name="2L5LT12ST.100infill" sheetId="14" r:id="rId7"/>
    <sheet name="4L3LT6ST+3L4LT4ST.M2" sheetId="11" r:id="rId8"/>
    <sheet name="Test Spring 3" sheetId="2" r:id="rId9"/>
    <sheet name="Test Spring 3 FG" sheetId="3" r:id="rId10"/>
    <sheet name="Test Spring 3 FG Set 2" sheetId="4" r:id="rId11"/>
    <sheet name="Test Spring 3 Kevlar" sheetId="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1" i="14" l="1"/>
  <c r="G25" i="14"/>
  <c r="D25" i="14"/>
  <c r="M23" i="14"/>
  <c r="G23" i="14"/>
  <c r="H23" i="14" s="1"/>
  <c r="D23" i="14"/>
  <c r="E23" i="14" s="1"/>
  <c r="G22" i="14"/>
  <c r="H22" i="14" s="1"/>
  <c r="D22" i="14"/>
  <c r="E22" i="14" s="1"/>
  <c r="G21" i="14"/>
  <c r="H21" i="14" s="1"/>
  <c r="D21" i="14"/>
  <c r="E21" i="14" s="1"/>
  <c r="G20" i="14"/>
  <c r="H20" i="14" s="1"/>
  <c r="D20" i="14"/>
  <c r="E20" i="14" s="1"/>
  <c r="G19" i="14"/>
  <c r="H19" i="14" s="1"/>
  <c r="D19" i="14"/>
  <c r="E19" i="14" s="1"/>
  <c r="G18" i="14"/>
  <c r="H18" i="14" s="1"/>
  <c r="D18" i="14"/>
  <c r="E18" i="14" s="1"/>
  <c r="G17" i="14"/>
  <c r="H17" i="14" s="1"/>
  <c r="D17" i="14"/>
  <c r="E17" i="14" s="1"/>
  <c r="G16" i="14"/>
  <c r="H16" i="14" s="1"/>
  <c r="D16" i="14"/>
  <c r="E16" i="14" s="1"/>
  <c r="G15" i="14"/>
  <c r="H15" i="14" s="1"/>
  <c r="D15" i="14"/>
  <c r="E15" i="14" s="1"/>
  <c r="G14" i="14"/>
  <c r="H14" i="14" s="1"/>
  <c r="D14" i="14"/>
  <c r="E14" i="14" s="1"/>
  <c r="G13" i="14"/>
  <c r="H13" i="14" s="1"/>
  <c r="D13" i="14"/>
  <c r="E13" i="14" s="1"/>
  <c r="G12" i="14"/>
  <c r="H12" i="14" s="1"/>
  <c r="D12" i="14"/>
  <c r="E12" i="14" s="1"/>
  <c r="G11" i="14"/>
  <c r="H11" i="14" s="1"/>
  <c r="D11" i="14"/>
  <c r="E11" i="14" s="1"/>
  <c r="G10" i="14"/>
  <c r="H10" i="14" s="1"/>
  <c r="D10" i="14"/>
  <c r="E10" i="14" s="1"/>
  <c r="G9" i="14"/>
  <c r="H9" i="14" s="1"/>
  <c r="D9" i="14"/>
  <c r="E9" i="14" s="1"/>
  <c r="G8" i="14"/>
  <c r="H8" i="14" s="1"/>
  <c r="D8" i="14"/>
  <c r="E8" i="14" s="1"/>
  <c r="G7" i="14"/>
  <c r="H7" i="14" s="1"/>
  <c r="D7" i="14"/>
  <c r="E7" i="14" s="1"/>
  <c r="G6" i="14"/>
  <c r="H6" i="14" s="1"/>
  <c r="D6" i="14"/>
  <c r="E6" i="14" s="1"/>
  <c r="G5" i="14"/>
  <c r="H5" i="14" s="1"/>
  <c r="D5" i="14"/>
  <c r="E5" i="14" s="1"/>
  <c r="G4" i="14"/>
  <c r="H4" i="14" s="1"/>
  <c r="D4" i="14"/>
  <c r="E4" i="14" s="1"/>
  <c r="G33" i="10"/>
  <c r="F36" i="13" l="1"/>
  <c r="F37" i="13"/>
  <c r="F38" i="13"/>
  <c r="F39" i="13"/>
  <c r="F40" i="13"/>
  <c r="F41" i="13"/>
  <c r="F42" i="13"/>
  <c r="F43" i="13"/>
  <c r="F44" i="13"/>
  <c r="F45" i="13"/>
  <c r="G45" i="13" s="1"/>
  <c r="H45" i="13" s="1"/>
  <c r="F46" i="13"/>
  <c r="G46" i="13" s="1"/>
  <c r="H46" i="13" s="1"/>
  <c r="F47" i="13"/>
  <c r="F48" i="13"/>
  <c r="F49" i="13"/>
  <c r="F50" i="13"/>
  <c r="F51" i="13"/>
  <c r="F52" i="13"/>
  <c r="F53" i="13"/>
  <c r="F54" i="13"/>
  <c r="F35" i="13"/>
  <c r="C36" i="13"/>
  <c r="C37" i="13"/>
  <c r="C38" i="13"/>
  <c r="C39" i="13"/>
  <c r="C40" i="13"/>
  <c r="C41" i="13"/>
  <c r="C42" i="13"/>
  <c r="D42" i="13" s="1"/>
  <c r="E42" i="13" s="1"/>
  <c r="C43" i="13"/>
  <c r="C44" i="13"/>
  <c r="C45" i="13"/>
  <c r="C46" i="13"/>
  <c r="D46" i="13" s="1"/>
  <c r="E46" i="13" s="1"/>
  <c r="C47" i="13"/>
  <c r="D47" i="13" s="1"/>
  <c r="E47" i="13" s="1"/>
  <c r="C48" i="13"/>
  <c r="C49" i="13"/>
  <c r="C50" i="13"/>
  <c r="C51" i="13"/>
  <c r="C52" i="13"/>
  <c r="C53" i="13"/>
  <c r="C54" i="13"/>
  <c r="D54" i="13" s="1"/>
  <c r="E54" i="13" s="1"/>
  <c r="C35" i="13"/>
  <c r="D35" i="13" s="1"/>
  <c r="E35" i="13" s="1"/>
  <c r="G56" i="13"/>
  <c r="D56" i="13"/>
  <c r="M54" i="13"/>
  <c r="G54" i="13"/>
  <c r="H54" i="13" s="1"/>
  <c r="G53" i="13"/>
  <c r="H53" i="13" s="1"/>
  <c r="D53" i="13"/>
  <c r="E53" i="13" s="1"/>
  <c r="H52" i="13"/>
  <c r="G52" i="13"/>
  <c r="D52" i="13"/>
  <c r="E52" i="13" s="1"/>
  <c r="G51" i="13"/>
  <c r="H51" i="13" s="1"/>
  <c r="D51" i="13"/>
  <c r="E51" i="13" s="1"/>
  <c r="G50" i="13"/>
  <c r="H50" i="13" s="1"/>
  <c r="D50" i="13"/>
  <c r="E50" i="13" s="1"/>
  <c r="G49" i="13"/>
  <c r="H49" i="13" s="1"/>
  <c r="D49" i="13"/>
  <c r="E49" i="13" s="1"/>
  <c r="G48" i="13"/>
  <c r="H48" i="13" s="1"/>
  <c r="D48" i="13"/>
  <c r="E48" i="13" s="1"/>
  <c r="G47" i="13"/>
  <c r="H47" i="13" s="1"/>
  <c r="D45" i="13"/>
  <c r="E45" i="13" s="1"/>
  <c r="G44" i="13"/>
  <c r="H44" i="13" s="1"/>
  <c r="D44" i="13"/>
  <c r="E44" i="13" s="1"/>
  <c r="H43" i="13"/>
  <c r="G43" i="13"/>
  <c r="D43" i="13"/>
  <c r="E43" i="13" s="1"/>
  <c r="G42" i="13"/>
  <c r="H42" i="13" s="1"/>
  <c r="G41" i="13"/>
  <c r="H41" i="13" s="1"/>
  <c r="D41" i="13"/>
  <c r="E41" i="13" s="1"/>
  <c r="H40" i="13"/>
  <c r="G40" i="13"/>
  <c r="D40" i="13"/>
  <c r="E40" i="13" s="1"/>
  <c r="G39" i="13"/>
  <c r="H39" i="13" s="1"/>
  <c r="D39" i="13"/>
  <c r="E39" i="13" s="1"/>
  <c r="G38" i="13"/>
  <c r="H38" i="13" s="1"/>
  <c r="D38" i="13"/>
  <c r="E38" i="13" s="1"/>
  <c r="G37" i="13"/>
  <c r="H37" i="13" s="1"/>
  <c r="D37" i="13"/>
  <c r="E37" i="13" s="1"/>
  <c r="G36" i="13"/>
  <c r="H36" i="13" s="1"/>
  <c r="D36" i="13"/>
  <c r="E36" i="13" s="1"/>
  <c r="G35" i="13"/>
  <c r="H35" i="13" s="1"/>
  <c r="P21" i="8"/>
  <c r="M23" i="13"/>
  <c r="H21" i="13"/>
  <c r="H22" i="13"/>
  <c r="H23" i="13"/>
  <c r="H20" i="13"/>
  <c r="E23" i="13"/>
  <c r="E19" i="13"/>
  <c r="E21" i="13"/>
  <c r="E22" i="13"/>
  <c r="E20" i="13"/>
  <c r="G23" i="13"/>
  <c r="D23" i="13"/>
  <c r="G22" i="13"/>
  <c r="D22" i="13"/>
  <c r="G21" i="13"/>
  <c r="D21" i="13"/>
  <c r="G20" i="13"/>
  <c r="D20" i="13"/>
  <c r="D4" i="13"/>
  <c r="E4" i="13" s="1"/>
  <c r="G4" i="13"/>
  <c r="H4" i="13" s="1"/>
  <c r="D5" i="13"/>
  <c r="E5" i="13" s="1"/>
  <c r="G5" i="13"/>
  <c r="H5" i="13" s="1"/>
  <c r="D6" i="13"/>
  <c r="E6" i="13"/>
  <c r="G6" i="13"/>
  <c r="H6" i="13" s="1"/>
  <c r="D7" i="13"/>
  <c r="E7" i="13" s="1"/>
  <c r="G7" i="13"/>
  <c r="H7" i="13" s="1"/>
  <c r="G25" i="13"/>
  <c r="D25" i="13"/>
  <c r="G19" i="13"/>
  <c r="H19" i="13" s="1"/>
  <c r="D19" i="13"/>
  <c r="G18" i="13"/>
  <c r="H18" i="13" s="1"/>
  <c r="D18" i="13"/>
  <c r="E18" i="13" s="1"/>
  <c r="G17" i="13"/>
  <c r="H17" i="13" s="1"/>
  <c r="D17" i="13"/>
  <c r="E17" i="13" s="1"/>
  <c r="G16" i="13"/>
  <c r="H16" i="13" s="1"/>
  <c r="D16" i="13"/>
  <c r="E16" i="13" s="1"/>
  <c r="G15" i="13"/>
  <c r="H15" i="13" s="1"/>
  <c r="D15" i="13"/>
  <c r="E15" i="13" s="1"/>
  <c r="G14" i="13"/>
  <c r="H14" i="13" s="1"/>
  <c r="D14" i="13"/>
  <c r="E14" i="13" s="1"/>
  <c r="G13" i="13"/>
  <c r="H13" i="13" s="1"/>
  <c r="D13" i="13"/>
  <c r="E13" i="13" s="1"/>
  <c r="G12" i="13"/>
  <c r="H12" i="13" s="1"/>
  <c r="D12" i="13"/>
  <c r="E12" i="13" s="1"/>
  <c r="G11" i="13"/>
  <c r="H11" i="13" s="1"/>
  <c r="D11" i="13"/>
  <c r="E11" i="13" s="1"/>
  <c r="G10" i="13"/>
  <c r="H10" i="13" s="1"/>
  <c r="D10" i="13"/>
  <c r="E10" i="13" s="1"/>
  <c r="G9" i="13"/>
  <c r="H9" i="13" s="1"/>
  <c r="D9" i="13"/>
  <c r="E9" i="13" s="1"/>
  <c r="G8" i="13"/>
  <c r="H8" i="13" s="1"/>
  <c r="D8" i="13"/>
  <c r="E8" i="13" s="1"/>
  <c r="M23" i="12"/>
  <c r="G21" i="12"/>
  <c r="D21" i="12"/>
  <c r="G19" i="12"/>
  <c r="H19" i="12" s="1"/>
  <c r="D19" i="12"/>
  <c r="E19" i="12" s="1"/>
  <c r="G18" i="12"/>
  <c r="H18" i="12" s="1"/>
  <c r="D18" i="12"/>
  <c r="E18" i="12" s="1"/>
  <c r="G17" i="12"/>
  <c r="H17" i="12" s="1"/>
  <c r="D17" i="12"/>
  <c r="E17" i="12" s="1"/>
  <c r="G16" i="12"/>
  <c r="H16" i="12" s="1"/>
  <c r="D16" i="12"/>
  <c r="E16" i="12" s="1"/>
  <c r="G15" i="12"/>
  <c r="H15" i="12" s="1"/>
  <c r="D15" i="12"/>
  <c r="E15" i="12" s="1"/>
  <c r="G14" i="12"/>
  <c r="H14" i="12" s="1"/>
  <c r="D14" i="12"/>
  <c r="E14" i="12" s="1"/>
  <c r="G13" i="12"/>
  <c r="H13" i="12" s="1"/>
  <c r="D13" i="12"/>
  <c r="E13" i="12" s="1"/>
  <c r="G12" i="12"/>
  <c r="H12" i="12" s="1"/>
  <c r="D12" i="12"/>
  <c r="E12" i="12" s="1"/>
  <c r="G11" i="12"/>
  <c r="H11" i="12" s="1"/>
  <c r="D11" i="12"/>
  <c r="E11" i="12" s="1"/>
  <c r="G10" i="12"/>
  <c r="H10" i="12" s="1"/>
  <c r="D10" i="12"/>
  <c r="E10" i="12" s="1"/>
  <c r="G9" i="12"/>
  <c r="H9" i="12" s="1"/>
  <c r="D9" i="12"/>
  <c r="E9" i="12" s="1"/>
  <c r="G8" i="12"/>
  <c r="H8" i="12" s="1"/>
  <c r="D8" i="12"/>
  <c r="E8" i="12" s="1"/>
  <c r="G7" i="12"/>
  <c r="H7" i="12" s="1"/>
  <c r="D7" i="12"/>
  <c r="E7" i="12" s="1"/>
  <c r="G6" i="12"/>
  <c r="H6" i="12" s="1"/>
  <c r="D6" i="12"/>
  <c r="E6" i="12" s="1"/>
  <c r="G5" i="12"/>
  <c r="H5" i="12" s="1"/>
  <c r="D5" i="12"/>
  <c r="E5" i="12" s="1"/>
  <c r="G4" i="12"/>
  <c r="H4" i="12" s="1"/>
  <c r="D4" i="12"/>
  <c r="E4" i="12" s="1"/>
  <c r="M23" i="11"/>
  <c r="G21" i="11"/>
  <c r="D21" i="11"/>
  <c r="G19" i="11"/>
  <c r="H19" i="11" s="1"/>
  <c r="D19" i="11"/>
  <c r="E19" i="11" s="1"/>
  <c r="G18" i="11"/>
  <c r="H18" i="11" s="1"/>
  <c r="D18" i="11"/>
  <c r="E18" i="11" s="1"/>
  <c r="G17" i="11"/>
  <c r="H17" i="11" s="1"/>
  <c r="D17" i="11"/>
  <c r="E17" i="11" s="1"/>
  <c r="G16" i="11"/>
  <c r="H16" i="11" s="1"/>
  <c r="D16" i="11"/>
  <c r="E16" i="11" s="1"/>
  <c r="G15" i="11"/>
  <c r="H15" i="11" s="1"/>
  <c r="D15" i="11"/>
  <c r="E15" i="11" s="1"/>
  <c r="G14" i="11"/>
  <c r="H14" i="11" s="1"/>
  <c r="D14" i="11"/>
  <c r="E14" i="11" s="1"/>
  <c r="G13" i="11"/>
  <c r="H13" i="11" s="1"/>
  <c r="D13" i="11"/>
  <c r="E13" i="11" s="1"/>
  <c r="G12" i="11"/>
  <c r="H12" i="11" s="1"/>
  <c r="D12" i="11"/>
  <c r="E12" i="11" s="1"/>
  <c r="G11" i="11"/>
  <c r="H11" i="11" s="1"/>
  <c r="D11" i="11"/>
  <c r="E11" i="11" s="1"/>
  <c r="G10" i="11"/>
  <c r="H10" i="11" s="1"/>
  <c r="D10" i="11"/>
  <c r="E10" i="11" s="1"/>
  <c r="G9" i="11"/>
  <c r="H9" i="11" s="1"/>
  <c r="D9" i="11"/>
  <c r="E9" i="11" s="1"/>
  <c r="G8" i="11"/>
  <c r="H8" i="11" s="1"/>
  <c r="D8" i="11"/>
  <c r="E8" i="11" s="1"/>
  <c r="G7" i="11"/>
  <c r="H7" i="11" s="1"/>
  <c r="D7" i="11"/>
  <c r="E7" i="11" s="1"/>
  <c r="G6" i="11"/>
  <c r="H6" i="11" s="1"/>
  <c r="D6" i="11"/>
  <c r="E6" i="11" s="1"/>
  <c r="H5" i="11"/>
  <c r="G5" i="11"/>
  <c r="D5" i="11"/>
  <c r="E5" i="11" s="1"/>
  <c r="G4" i="11"/>
  <c r="H4" i="11" s="1"/>
  <c r="D4" i="11"/>
  <c r="E4" i="11" s="1"/>
  <c r="F19" i="10"/>
  <c r="G19" i="10" s="1"/>
  <c r="H19" i="10" s="1"/>
  <c r="M23" i="10"/>
  <c r="G21" i="10"/>
  <c r="D21" i="10"/>
  <c r="D19" i="10"/>
  <c r="E19" i="10" s="1"/>
  <c r="G18" i="10"/>
  <c r="H18" i="10" s="1"/>
  <c r="D18" i="10"/>
  <c r="E18" i="10" s="1"/>
  <c r="G17" i="10"/>
  <c r="H17" i="10" s="1"/>
  <c r="D17" i="10"/>
  <c r="E17" i="10" s="1"/>
  <c r="G16" i="10"/>
  <c r="H16" i="10" s="1"/>
  <c r="D16" i="10"/>
  <c r="E16" i="10" s="1"/>
  <c r="G15" i="10"/>
  <c r="H15" i="10" s="1"/>
  <c r="D15" i="10"/>
  <c r="E15" i="10" s="1"/>
  <c r="G14" i="10"/>
  <c r="H14" i="10" s="1"/>
  <c r="D14" i="10"/>
  <c r="E14" i="10" s="1"/>
  <c r="G13" i="10"/>
  <c r="H13" i="10" s="1"/>
  <c r="D13" i="10"/>
  <c r="E13" i="10" s="1"/>
  <c r="G12" i="10"/>
  <c r="H12" i="10" s="1"/>
  <c r="D12" i="10"/>
  <c r="E12" i="10" s="1"/>
  <c r="G11" i="10"/>
  <c r="H11" i="10" s="1"/>
  <c r="D11" i="10"/>
  <c r="E11" i="10" s="1"/>
  <c r="G10" i="10"/>
  <c r="H10" i="10" s="1"/>
  <c r="D10" i="10"/>
  <c r="E10" i="10" s="1"/>
  <c r="G9" i="10"/>
  <c r="H9" i="10" s="1"/>
  <c r="D9" i="10"/>
  <c r="E9" i="10" s="1"/>
  <c r="G8" i="10"/>
  <c r="H8" i="10" s="1"/>
  <c r="D8" i="10"/>
  <c r="E8" i="10" s="1"/>
  <c r="G7" i="10"/>
  <c r="H7" i="10" s="1"/>
  <c r="D7" i="10"/>
  <c r="E7" i="10" s="1"/>
  <c r="G6" i="10"/>
  <c r="H6" i="10" s="1"/>
  <c r="D6" i="10"/>
  <c r="E6" i="10" s="1"/>
  <c r="G5" i="10"/>
  <c r="H5" i="10" s="1"/>
  <c r="D5" i="10"/>
  <c r="E5" i="10" s="1"/>
  <c r="G4" i="10"/>
  <c r="H4" i="10" s="1"/>
  <c r="D4" i="10"/>
  <c r="E4" i="10" s="1"/>
  <c r="E27" i="2"/>
  <c r="M23" i="9"/>
  <c r="G21" i="9"/>
  <c r="D21" i="9"/>
  <c r="G19" i="9"/>
  <c r="H19" i="9" s="1"/>
  <c r="D19" i="9"/>
  <c r="E19" i="9" s="1"/>
  <c r="G18" i="9"/>
  <c r="H18" i="9" s="1"/>
  <c r="D18" i="9"/>
  <c r="E18" i="9" s="1"/>
  <c r="G17" i="9"/>
  <c r="H17" i="9" s="1"/>
  <c r="D17" i="9"/>
  <c r="E17" i="9" s="1"/>
  <c r="G16" i="9"/>
  <c r="H16" i="9" s="1"/>
  <c r="D16" i="9"/>
  <c r="E16" i="9" s="1"/>
  <c r="G15" i="9"/>
  <c r="H15" i="9" s="1"/>
  <c r="D15" i="9"/>
  <c r="E15" i="9" s="1"/>
  <c r="G14" i="9"/>
  <c r="H14" i="9" s="1"/>
  <c r="D14" i="9"/>
  <c r="E14" i="9" s="1"/>
  <c r="G13" i="9"/>
  <c r="H13" i="9" s="1"/>
  <c r="D13" i="9"/>
  <c r="E13" i="9" s="1"/>
  <c r="G12" i="9"/>
  <c r="H12" i="9" s="1"/>
  <c r="D12" i="9"/>
  <c r="E12" i="9" s="1"/>
  <c r="G11" i="9"/>
  <c r="H11" i="9" s="1"/>
  <c r="D11" i="9"/>
  <c r="E11" i="9" s="1"/>
  <c r="G10" i="9"/>
  <c r="H10" i="9" s="1"/>
  <c r="D10" i="9"/>
  <c r="E10" i="9" s="1"/>
  <c r="G9" i="9"/>
  <c r="H9" i="9" s="1"/>
  <c r="D9" i="9"/>
  <c r="E9" i="9" s="1"/>
  <c r="G8" i="9"/>
  <c r="H8" i="9" s="1"/>
  <c r="D8" i="9"/>
  <c r="E8" i="9" s="1"/>
  <c r="G7" i="9"/>
  <c r="H7" i="9" s="1"/>
  <c r="D7" i="9"/>
  <c r="E7" i="9" s="1"/>
  <c r="G6" i="9"/>
  <c r="H6" i="9" s="1"/>
  <c r="D6" i="9"/>
  <c r="E6" i="9" s="1"/>
  <c r="G5" i="9"/>
  <c r="H5" i="9" s="1"/>
  <c r="D5" i="9"/>
  <c r="E5" i="9" s="1"/>
  <c r="G4" i="9"/>
  <c r="H4" i="9" s="1"/>
  <c r="D4" i="9"/>
  <c r="E4" i="9" s="1"/>
  <c r="M23" i="8"/>
  <c r="G21" i="8"/>
  <c r="D21" i="8"/>
  <c r="G19" i="8"/>
  <c r="H19" i="8" s="1"/>
  <c r="D19" i="8"/>
  <c r="E19" i="8" s="1"/>
  <c r="G18" i="8"/>
  <c r="H18" i="8" s="1"/>
  <c r="D18" i="8"/>
  <c r="E18" i="8" s="1"/>
  <c r="G17" i="8"/>
  <c r="H17" i="8" s="1"/>
  <c r="D17" i="8"/>
  <c r="E17" i="8" s="1"/>
  <c r="G16" i="8"/>
  <c r="H16" i="8" s="1"/>
  <c r="D16" i="8"/>
  <c r="E16" i="8" s="1"/>
  <c r="G15" i="8"/>
  <c r="H15" i="8" s="1"/>
  <c r="D15" i="8"/>
  <c r="E15" i="8" s="1"/>
  <c r="G14" i="8"/>
  <c r="H14" i="8" s="1"/>
  <c r="D14" i="8"/>
  <c r="E14" i="8" s="1"/>
  <c r="G13" i="8"/>
  <c r="H13" i="8" s="1"/>
  <c r="D13" i="8"/>
  <c r="E13" i="8" s="1"/>
  <c r="G12" i="8"/>
  <c r="H12" i="8" s="1"/>
  <c r="D12" i="8"/>
  <c r="E12" i="8" s="1"/>
  <c r="G11" i="8"/>
  <c r="H11" i="8" s="1"/>
  <c r="D11" i="8"/>
  <c r="E11" i="8" s="1"/>
  <c r="G10" i="8"/>
  <c r="H10" i="8" s="1"/>
  <c r="D10" i="8"/>
  <c r="E10" i="8" s="1"/>
  <c r="G9" i="8"/>
  <c r="H9" i="8" s="1"/>
  <c r="D9" i="8"/>
  <c r="E9" i="8" s="1"/>
  <c r="G8" i="8"/>
  <c r="H8" i="8" s="1"/>
  <c r="D8" i="8"/>
  <c r="E8" i="8" s="1"/>
  <c r="G7" i="8"/>
  <c r="H7" i="8" s="1"/>
  <c r="D7" i="8"/>
  <c r="E7" i="8" s="1"/>
  <c r="G6" i="8"/>
  <c r="H6" i="8" s="1"/>
  <c r="D6" i="8"/>
  <c r="E6" i="8" s="1"/>
  <c r="G5" i="8"/>
  <c r="H5" i="8" s="1"/>
  <c r="D5" i="8"/>
  <c r="E5" i="8" s="1"/>
  <c r="G4" i="8"/>
  <c r="H4" i="8" s="1"/>
  <c r="D4" i="8"/>
  <c r="E4" i="8" s="1"/>
  <c r="E34" i="2"/>
  <c r="H33" i="2"/>
  <c r="H34" i="2"/>
  <c r="H35" i="2" s="1"/>
  <c r="B34" i="2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" i="7"/>
  <c r="O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" i="7"/>
  <c r="L20" i="6"/>
  <c r="L21" i="6"/>
  <c r="D3" i="6"/>
  <c r="D4" i="6"/>
  <c r="E4" i="6" s="1"/>
  <c r="D5" i="6"/>
  <c r="E5" i="6" s="1"/>
  <c r="H17" i="6"/>
  <c r="H16" i="6"/>
  <c r="H15" i="6"/>
  <c r="E17" i="6"/>
  <c r="G18" i="6"/>
  <c r="H18" i="6" s="1"/>
  <c r="D18" i="6"/>
  <c r="E18" i="6" s="1"/>
  <c r="G17" i="6"/>
  <c r="D17" i="6"/>
  <c r="G16" i="6"/>
  <c r="D16" i="6"/>
  <c r="E16" i="6" s="1"/>
  <c r="G15" i="6"/>
  <c r="D15" i="6"/>
  <c r="E15" i="6" s="1"/>
  <c r="L23" i="6"/>
  <c r="L25" i="6" s="1"/>
  <c r="G20" i="6"/>
  <c r="D20" i="6"/>
  <c r="G14" i="6"/>
  <c r="H14" i="6" s="1"/>
  <c r="D14" i="6"/>
  <c r="E14" i="6" s="1"/>
  <c r="G13" i="6"/>
  <c r="H13" i="6" s="1"/>
  <c r="D13" i="6"/>
  <c r="E13" i="6" s="1"/>
  <c r="G12" i="6"/>
  <c r="H12" i="6" s="1"/>
  <c r="D12" i="6"/>
  <c r="E12" i="6" s="1"/>
  <c r="G11" i="6"/>
  <c r="H11" i="6" s="1"/>
  <c r="D11" i="6"/>
  <c r="E11" i="6" s="1"/>
  <c r="G10" i="6"/>
  <c r="H10" i="6" s="1"/>
  <c r="D10" i="6"/>
  <c r="E10" i="6" s="1"/>
  <c r="G9" i="6"/>
  <c r="H9" i="6" s="1"/>
  <c r="D9" i="6"/>
  <c r="E9" i="6" s="1"/>
  <c r="G8" i="6"/>
  <c r="H8" i="6" s="1"/>
  <c r="D8" i="6"/>
  <c r="E8" i="6" s="1"/>
  <c r="G7" i="6"/>
  <c r="H7" i="6" s="1"/>
  <c r="D7" i="6"/>
  <c r="E7" i="6" s="1"/>
  <c r="G6" i="6"/>
  <c r="H6" i="6" s="1"/>
  <c r="D6" i="6"/>
  <c r="E6" i="6" s="1"/>
  <c r="G5" i="6"/>
  <c r="H5" i="6" s="1"/>
  <c r="G4" i="6"/>
  <c r="H4" i="6" s="1"/>
  <c r="G3" i="6"/>
  <c r="H3" i="6" s="1"/>
  <c r="E3" i="6"/>
  <c r="L21" i="4"/>
  <c r="L20" i="4"/>
  <c r="G3" i="4"/>
  <c r="H3" i="4" s="1"/>
  <c r="G4" i="4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L23" i="4"/>
  <c r="G16" i="4"/>
  <c r="D16" i="4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D5" i="4"/>
  <c r="E5" i="4" s="1"/>
  <c r="H4" i="4"/>
  <c r="D4" i="4"/>
  <c r="E4" i="4" s="1"/>
  <c r="D3" i="4"/>
  <c r="E3" i="4" s="1"/>
  <c r="L25" i="3"/>
  <c r="L21" i="3"/>
  <c r="L20" i="3"/>
  <c r="G4" i="3"/>
  <c r="G5" i="3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3" i="3"/>
  <c r="H3" i="3" s="1"/>
  <c r="L23" i="3"/>
  <c r="G16" i="3"/>
  <c r="D16" i="3"/>
  <c r="D14" i="3"/>
  <c r="E14" i="3" s="1"/>
  <c r="D13" i="3"/>
  <c r="E13" i="3" s="1"/>
  <c r="D12" i="3"/>
  <c r="E12" i="3" s="1"/>
  <c r="D11" i="3"/>
  <c r="E11" i="3" s="1"/>
  <c r="D10" i="3"/>
  <c r="E10" i="3" s="1"/>
  <c r="D9" i="3"/>
  <c r="E9" i="3" s="1"/>
  <c r="D8" i="3"/>
  <c r="E8" i="3" s="1"/>
  <c r="D7" i="3"/>
  <c r="E7" i="3" s="1"/>
  <c r="D6" i="3"/>
  <c r="E6" i="3" s="1"/>
  <c r="H5" i="3"/>
  <c r="D5" i="3"/>
  <c r="E5" i="3" s="1"/>
  <c r="H4" i="3"/>
  <c r="D4" i="3"/>
  <c r="E4" i="3" s="1"/>
  <c r="D3" i="3"/>
  <c r="E3" i="3" s="1"/>
  <c r="G20" i="2"/>
  <c r="D20" i="2"/>
  <c r="L21" i="2"/>
  <c r="L20" i="2"/>
  <c r="H8" i="2"/>
  <c r="H10" i="2"/>
  <c r="E16" i="2"/>
  <c r="G18" i="2"/>
  <c r="H18" i="2" s="1"/>
  <c r="G17" i="2"/>
  <c r="H17" i="2" s="1"/>
  <c r="G16" i="2"/>
  <c r="H16" i="2" s="1"/>
  <c r="G15" i="2"/>
  <c r="H15" i="2" s="1"/>
  <c r="G14" i="2"/>
  <c r="H14" i="2" s="1"/>
  <c r="G13" i="2"/>
  <c r="H13" i="2" s="1"/>
  <c r="G12" i="2"/>
  <c r="H12" i="2" s="1"/>
  <c r="G11" i="2"/>
  <c r="H11" i="2" s="1"/>
  <c r="G10" i="2"/>
  <c r="G9" i="2"/>
  <c r="H9" i="2" s="1"/>
  <c r="G8" i="2"/>
  <c r="G7" i="2"/>
  <c r="H7" i="2" s="1"/>
  <c r="G6" i="2"/>
  <c r="H6" i="2" s="1"/>
  <c r="G5" i="2"/>
  <c r="H5" i="2" s="1"/>
  <c r="G4" i="2"/>
  <c r="H4" i="2" s="1"/>
  <c r="G3" i="2"/>
  <c r="H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D17" i="2"/>
  <c r="E17" i="2" s="1"/>
  <c r="D18" i="2"/>
  <c r="E18" i="2" s="1"/>
  <c r="D3" i="2"/>
  <c r="E3" i="2" s="1"/>
  <c r="L23" i="2" l="1"/>
</calcChain>
</file>

<file path=xl/sharedStrings.xml><?xml version="1.0" encoding="utf-8"?>
<sst xmlns="http://schemas.openxmlformats.org/spreadsheetml/2006/main" count="366" uniqueCount="79">
  <si>
    <t>unloaded</t>
  </si>
  <si>
    <t>mass (g)</t>
  </si>
  <si>
    <t>arm (mm)</t>
  </si>
  <si>
    <t>deflection (°)</t>
  </si>
  <si>
    <t>torque (N-mm)</t>
  </si>
  <si>
    <t>Clockwise Torque</t>
  </si>
  <si>
    <t>Counter-Clockwise Torque</t>
  </si>
  <si>
    <t>torque (N-m)</t>
  </si>
  <si>
    <t>deflection (rad)</t>
  </si>
  <si>
    <t>Clockwise</t>
  </si>
  <si>
    <t>Counter-Clockwise</t>
  </si>
  <si>
    <t>Nm/rad</t>
  </si>
  <si>
    <t>Average</t>
  </si>
  <si>
    <t>Range of Motion</t>
  </si>
  <si>
    <t>Notes</t>
  </si>
  <si>
    <t>2 sets of kevlar inlay. Each set is 6 layers thick and begins 5 layers from the top/bottom faces of the spring.</t>
  </si>
  <si>
    <t>2 sets of HSTS Fiberglass inlay. Each set is 4 printer layers thick and begins 5 layers from the top/bottom faces of the spring.</t>
  </si>
  <si>
    <t>2 sets of HSTS Fiberglass inlay. Each set is 4 printer layers thick and begins 5 layers from the top/bottom faces of the spring.
Set 2 taken after testing the spring's range of motion. HSTS fibers most likely cracked resulting in over 50% stiffness reduction.</t>
  </si>
  <si>
    <t>Number of Legs</t>
  </si>
  <si>
    <t>Spring OD
(mm)</t>
  </si>
  <si>
    <t>Spring ID
(mm)</t>
  </si>
  <si>
    <t>Leg Thickness
(mm)</t>
  </si>
  <si>
    <t>Leg Length
(mm)</t>
  </si>
  <si>
    <t>Spring Thickness
(mm)</t>
  </si>
  <si>
    <t>Young's Modulus
(GPa)</t>
  </si>
  <si>
    <t>Experimental
Spring Rate</t>
  </si>
  <si>
    <t>Theoretical
Spring Rate (1)</t>
  </si>
  <si>
    <t>Inlay Material</t>
  </si>
  <si>
    <t>Inlay Material
Number of Layers</t>
  </si>
  <si>
    <t>Effective Leg Length
(mm)</t>
  </si>
  <si>
    <t>Pitch
(mm)</t>
  </si>
  <si>
    <t>Revolutions</t>
  </si>
  <si>
    <t>N/A</t>
  </si>
  <si>
    <t>E</t>
  </si>
  <si>
    <t>GPa</t>
  </si>
  <si>
    <t>b</t>
  </si>
  <si>
    <t>t</t>
  </si>
  <si>
    <t>mm</t>
  </si>
  <si>
    <t>Le</t>
  </si>
  <si>
    <t>pitch</t>
  </si>
  <si>
    <t>ID</t>
  </si>
  <si>
    <t>OD</t>
  </si>
  <si>
    <t>n</t>
  </si>
  <si>
    <t>k</t>
  </si>
  <si>
    <t>mm/rad</t>
  </si>
  <si>
    <t>theta1</t>
  </si>
  <si>
    <t>theta2</t>
  </si>
  <si>
    <t>rad</t>
  </si>
  <si>
    <t>L1</t>
  </si>
  <si>
    <t>L2</t>
  </si>
  <si>
    <t>L</t>
  </si>
  <si>
    <t>2 Leg - 4mm Leg Thickness - 4mm Spring Thickness</t>
  </si>
  <si>
    <t>Mass (g)</t>
  </si>
  <si>
    <t>Arm (mm)</t>
  </si>
  <si>
    <t>Deflection (°)</t>
  </si>
  <si>
    <t>Deflection (rad)</t>
  </si>
  <si>
    <t>Torque (N-m)</t>
  </si>
  <si>
    <t>Clockwise Spring Rate:</t>
  </si>
  <si>
    <t>Counter-Clockwise Spring Rate:</t>
  </si>
  <si>
    <t>Average Spring Rate:</t>
  </si>
  <si>
    <t>(N-m)/rad</t>
  </si>
  <si>
    <t>4 Legs - 3mm Leg Thickness - 6mm Spring Thickness</t>
  </si>
  <si>
    <t>3 Leg - 4mm Leg Thickness - 4mm Spring Thickness</t>
  </si>
  <si>
    <t>4 Leg - 3mm Leg Thickness - 6mm Spring Thickness</t>
  </si>
  <si>
    <t>2 Leg - 6mm Leg Thickness - 4mm Spring Thickness</t>
  </si>
  <si>
    <t>+- 2.3° play in spring</t>
  </si>
  <si>
    <t>*seems like 5mm leg thickness is the maximum that we can do without surface cracking</t>
  </si>
  <si>
    <t>2 Leg - 5mm Leg Thickness - 12mm Spring Thickness</t>
  </si>
  <si>
    <t>2 Leg - 5mm Leg Thickness - 12mm Spring Thickness (Corrected for play in spring)</t>
  </si>
  <si>
    <t>2 Leg - 5mm Leg Thickness - 12mm Spring Thickness - 100% Infill</t>
  </si>
  <si>
    <t>Legs</t>
  </si>
  <si>
    <t>OD (mm)</t>
  </si>
  <si>
    <t>ID (mm)</t>
  </si>
  <si>
    <t>Pitch (mm)</t>
  </si>
  <si>
    <t>Leg Thickness (mm)</t>
  </si>
  <si>
    <t>Infill Type</t>
  </si>
  <si>
    <t>37% Triangular</t>
  </si>
  <si>
    <t>100% Solid</t>
  </si>
  <si>
    <t>Spring Thickness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</si>
</sst>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/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/>
    <xf numFmtId="0" fontId="0" fillId="0" borderId="0" xfId="0" applyAlignment="1">
      <alignment horizontal="right"/>
    </xf>
    <xf numFmtId="0" fontId="0" fillId="2" borderId="0" xfId="0" applyFill="1" applyAlignment="1">
      <alignment horizontal="left" vertical="center"/>
    </xf>
    <xf numFmtId="0" fontId="0" fillId="0" borderId="0" xfId="0" quotePrefix="1"/>
    <xf numFmtId="9" fontId="0" fillId="0" borderId="0" xfId="1" applyFont="1"/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9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2L6LT4ST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'2L6LT4ST'!$C$2:$E$2</c:f>
              <c:strCache>
                <c:ptCount val="1"/>
                <c:pt idx="0">
                  <c:v>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836224573490815"/>
                  <c:y val="0.405122249365016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('2L6LT4ST'!$D$4:$D$6,'2L6LT4ST'!$D$8:$D$10,'2L6LT4ST'!$D$12:$D$14,'2L6LT4ST'!$D$16:$D$18)</c:f>
              <c:numCache>
                <c:formatCode>0.000</c:formatCode>
                <c:ptCount val="12"/>
                <c:pt idx="0">
                  <c:v>6.1435589670200401E-2</c:v>
                </c:pt>
                <c:pt idx="1">
                  <c:v>0.1387536755335492</c:v>
                </c:pt>
                <c:pt idx="2">
                  <c:v>0.1741838593490341</c:v>
                </c:pt>
                <c:pt idx="3">
                  <c:v>0.18099064343181195</c:v>
                </c:pt>
                <c:pt idx="4">
                  <c:v>0.22252947962927702</c:v>
                </c:pt>
                <c:pt idx="5">
                  <c:v>0.28763026072866554</c:v>
                </c:pt>
                <c:pt idx="6">
                  <c:v>0.26127578902355114</c:v>
                </c:pt>
                <c:pt idx="7">
                  <c:v>0.36442474781641598</c:v>
                </c:pt>
                <c:pt idx="8">
                  <c:v>0.46251225177849731</c:v>
                </c:pt>
                <c:pt idx="9">
                  <c:v>0.40090212918309748</c:v>
                </c:pt>
                <c:pt idx="10">
                  <c:v>0.53721234376385463</c:v>
                </c:pt>
                <c:pt idx="11">
                  <c:v>0.65118234391908436</c:v>
                </c:pt>
              </c:numCache>
            </c:numRef>
          </c:xVal>
          <c:yVal>
            <c:numRef>
              <c:f>('2L6LT4ST'!$E$4:$E$6,'2L6LT4ST'!$E$8:$E$10,'2L6LT4ST'!$E$12:$E$14,'2L6LT4ST'!$E$16:$E$18)</c:f>
              <c:numCache>
                <c:formatCode>0.000</c:formatCode>
                <c:ptCount val="12"/>
                <c:pt idx="0">
                  <c:v>2.4478731813167329E-2</c:v>
                </c:pt>
                <c:pt idx="1">
                  <c:v>3.6433940601870246E-2</c:v>
                </c:pt>
                <c:pt idx="2">
                  <c:v>4.830779049081451E-2</c:v>
                </c:pt>
                <c:pt idx="3">
                  <c:v>4.8248810216524878E-2</c:v>
                </c:pt>
                <c:pt idx="4">
                  <c:v>7.1760811231413812E-2</c:v>
                </c:pt>
                <c:pt idx="5">
                  <c:v>9.4069935899568899E-2</c:v>
                </c:pt>
                <c:pt idx="6">
                  <c:v>9.4770604819796309E-2</c:v>
                </c:pt>
                <c:pt idx="7">
                  <c:v>0.13748650388249045</c:v>
                </c:pt>
                <c:pt idx="8">
                  <c:v>0.17558612174631733</c:v>
                </c:pt>
                <c:pt idx="9">
                  <c:v>0.22580395916107299</c:v>
                </c:pt>
                <c:pt idx="10">
                  <c:v>0.31605560558627294</c:v>
                </c:pt>
                <c:pt idx="11">
                  <c:v>0.39012785871956218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D9-4C16-93F3-01929BB02B17}"/>
            </c:ext>
          </c:extLst>
        </c:ser>
        <c:ser>
          <c:idx val="1"/>
          <c:order val="1"/>
          <c:tx>
            <c:strRef>
              <c:f>'2L6LT4ST'!$F$2:$H$2</c:f>
              <c:strCache>
                <c:ptCount val="1"/>
                <c:pt idx="0">
                  <c:v>Counter-Clockwise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0161827427821523"/>
                  <c:y val="0.235911997432606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('2L6LT4ST'!$G$4:$G$6,'2L6LT4ST'!$G$8:$G$10,'2L6LT4ST'!$G$12:$G$14,'2L6LT4ST'!$G$16:$G$18)</c:f>
              <c:numCache>
                <c:formatCode>0.000</c:formatCode>
                <c:ptCount val="12"/>
                <c:pt idx="0">
                  <c:v>2.3038346126325149E-2</c:v>
                </c:pt>
                <c:pt idx="1">
                  <c:v>5.1312680008633288E-2</c:v>
                </c:pt>
                <c:pt idx="2">
                  <c:v>8.3601271170528388E-2</c:v>
                </c:pt>
                <c:pt idx="3">
                  <c:v>6.667157742618339E-2</c:v>
                </c:pt>
                <c:pt idx="4">
                  <c:v>0.12810716709638378</c:v>
                </c:pt>
                <c:pt idx="5">
                  <c:v>0.18797196043978928</c:v>
                </c:pt>
                <c:pt idx="6">
                  <c:v>0.17261306302223919</c:v>
                </c:pt>
                <c:pt idx="7">
                  <c:v>0.27907814739389331</c:v>
                </c:pt>
                <c:pt idx="8">
                  <c:v>0.4677482395344803</c:v>
                </c:pt>
                <c:pt idx="9">
                  <c:v>0.37437312455278365</c:v>
                </c:pt>
                <c:pt idx="10">
                  <c:v>0.53005649383067788</c:v>
                </c:pt>
                <c:pt idx="11">
                  <c:v>0.67526788759660605</c:v>
                </c:pt>
              </c:numCache>
            </c:numRef>
          </c:xVal>
          <c:yVal>
            <c:numRef>
              <c:f>('2L6LT4ST'!$H$4:$H$6,'2L6LT4ST'!$H$8:$H$10,'2L6LT4ST'!$H$12:$H$14,'2L6LT4ST'!$H$16:$H$18)</c:f>
              <c:numCache>
                <c:formatCode>0.000</c:formatCode>
                <c:ptCount val="12"/>
                <c:pt idx="0">
                  <c:v>2.4518491777246961E-2</c:v>
                </c:pt>
                <c:pt idx="1">
                  <c:v>3.6739080044916821E-2</c:v>
                </c:pt>
                <c:pt idx="2">
                  <c:v>4.887869035435715E-2</c:v>
                </c:pt>
                <c:pt idx="3">
                  <c:v>4.8941024317508623E-2</c:v>
                </c:pt>
                <c:pt idx="4">
                  <c:v>7.2972089150952948E-2</c:v>
                </c:pt>
                <c:pt idx="5">
                  <c:v>9.63719909355958E-2</c:v>
                </c:pt>
                <c:pt idx="6">
                  <c:v>9.6642167138899948E-2</c:v>
                </c:pt>
                <c:pt idx="7">
                  <c:v>0.14145673546477402</c:v>
                </c:pt>
                <c:pt idx="8">
                  <c:v>0.17512533758030702</c:v>
                </c:pt>
                <c:pt idx="9">
                  <c:v>0.22826326061013963</c:v>
                </c:pt>
                <c:pt idx="10">
                  <c:v>0.31739464422754232</c:v>
                </c:pt>
                <c:pt idx="11">
                  <c:v>0.38285463499208666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D9-4C16-93F3-01929BB02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39439"/>
        <c:axId val="285172559"/>
      </c:scatterChart>
      <c:valAx>
        <c:axId val="36943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</a:t>
                </a:r>
                <a:r>
                  <a:rPr lang="en-US" baseline="0"/>
                  <a:t> (rad)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72559"/>
        <c:crosses val="autoZero"/>
        <c:crossBetween val="midCat"/>
      </c:valAx>
      <c:valAx>
        <c:axId val="2851725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(N-m)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39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Spring 3 with Fiberglass Inlay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Clockwise Torque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314583280010334"/>
                  <c:y val="6.05133717902632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Spring 3 FG'!$E$3:$E$14</c:f>
              <c:numCache>
                <c:formatCode>General</c:formatCode>
                <c:ptCount val="12"/>
                <c:pt idx="0">
                  <c:v>2.4524819208260391E-2</c:v>
                </c:pt>
                <c:pt idx="1">
                  <c:v>3.678660351457471E-2</c:v>
                </c:pt>
                <c:pt idx="2">
                  <c:v>4.9047128274712734E-2</c:v>
                </c:pt>
                <c:pt idx="3">
                  <c:v>0</c:v>
                </c:pt>
                <c:pt idx="4">
                  <c:v>4.9047128274712734E-2</c:v>
                </c:pt>
                <c:pt idx="5">
                  <c:v>7.356445641979964E-2</c:v>
                </c:pt>
                <c:pt idx="6">
                  <c:v>9.8068587205565744E-2</c:v>
                </c:pt>
                <c:pt idx="7">
                  <c:v>0</c:v>
                </c:pt>
                <c:pt idx="8">
                  <c:v>9.8066830279794764E-2</c:v>
                </c:pt>
                <c:pt idx="9">
                  <c:v>0.14702413071252554</c:v>
                </c:pt>
                <c:pt idx="10">
                  <c:v>0.1958213970319678</c:v>
                </c:pt>
                <c:pt idx="11">
                  <c:v>0</c:v>
                </c:pt>
              </c:numCache>
            </c:numRef>
          </c:xVal>
          <c:yVal>
            <c:numRef>
              <c:f>'Test Spring 3 FG'!$D$3:$D$14</c:f>
              <c:numCache>
                <c:formatCode>General</c:formatCode>
                <c:ptCount val="12"/>
                <c:pt idx="0">
                  <c:v>3.8397243543875251E-3</c:v>
                </c:pt>
                <c:pt idx="1">
                  <c:v>6.9813170079773184E-3</c:v>
                </c:pt>
                <c:pt idx="2">
                  <c:v>1.0821041362364843E-2</c:v>
                </c:pt>
                <c:pt idx="3">
                  <c:v>3.1415926535897929E-3</c:v>
                </c:pt>
                <c:pt idx="4">
                  <c:v>1.0821041362364843E-2</c:v>
                </c:pt>
                <c:pt idx="5">
                  <c:v>1.6929693744344994E-2</c:v>
                </c:pt>
                <c:pt idx="6">
                  <c:v>2.5307274153917779E-2</c:v>
                </c:pt>
                <c:pt idx="7">
                  <c:v>3.1415926535897929E-3</c:v>
                </c:pt>
                <c:pt idx="8">
                  <c:v>2.6005405854715509E-2</c:v>
                </c:pt>
                <c:pt idx="9">
                  <c:v>4.1364303272265611E-2</c:v>
                </c:pt>
                <c:pt idx="10">
                  <c:v>6.2133721370998131E-2</c:v>
                </c:pt>
                <c:pt idx="11">
                  <c:v>1.2217304763960306E-2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C4-4D2F-A7DB-05B476D456D9}"/>
            </c:ext>
          </c:extLst>
        </c:ser>
        <c:ser>
          <c:idx val="1"/>
          <c:order val="1"/>
          <c:tx>
            <c:v>Counter-Clockwise Torque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501739569872377"/>
                  <c:y val="-7.15814991131169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Spring 3 FG'!$H$3:$H$14</c:f>
              <c:numCache>
                <c:formatCode>General</c:formatCode>
                <c:ptCount val="12"/>
                <c:pt idx="0">
                  <c:v>2.4524641031712015E-2</c:v>
                </c:pt>
                <c:pt idx="1">
                  <c:v>3.6786209063294606E-2</c:v>
                </c:pt>
                <c:pt idx="2">
                  <c:v>4.9046339381845175E-2</c:v>
                </c:pt>
                <c:pt idx="3">
                  <c:v>0</c:v>
                </c:pt>
                <c:pt idx="4">
                  <c:v>4.9046339381845175E-2</c:v>
                </c:pt>
                <c:pt idx="5">
                  <c:v>7.3559131593352978E-2</c:v>
                </c:pt>
                <c:pt idx="6">
                  <c:v>9.8056312848286462E-2</c:v>
                </c:pt>
                <c:pt idx="7">
                  <c:v>0</c:v>
                </c:pt>
                <c:pt idx="8">
                  <c:v>9.807029633389866E-2</c:v>
                </c:pt>
                <c:pt idx="9">
                  <c:v>0.14699968214162956</c:v>
                </c:pt>
                <c:pt idx="10">
                  <c:v>0.19582985450533863</c:v>
                </c:pt>
                <c:pt idx="11">
                  <c:v>0</c:v>
                </c:pt>
              </c:numCache>
            </c:numRef>
          </c:xVal>
          <c:yVal>
            <c:numRef>
              <c:f>'Test Spring 3 FG'!$G$3:$G$14</c:f>
              <c:numCache>
                <c:formatCode>General</c:formatCode>
                <c:ptCount val="12"/>
                <c:pt idx="0">
                  <c:v>5.4105206811824215E-3</c:v>
                </c:pt>
                <c:pt idx="1">
                  <c:v>8.377580409572781E-3</c:v>
                </c:pt>
                <c:pt idx="2">
                  <c:v>1.2217304763960306E-2</c:v>
                </c:pt>
                <c:pt idx="3">
                  <c:v>4.5378560551852572E-3</c:v>
                </c:pt>
                <c:pt idx="4">
                  <c:v>1.2217304763960306E-2</c:v>
                </c:pt>
                <c:pt idx="5">
                  <c:v>2.076941809873252E-2</c:v>
                </c:pt>
                <c:pt idx="6">
                  <c:v>2.9845130209103034E-2</c:v>
                </c:pt>
                <c:pt idx="7">
                  <c:v>7.6794487087750501E-3</c:v>
                </c:pt>
                <c:pt idx="8">
                  <c:v>2.4609142453120045E-2</c:v>
                </c:pt>
                <c:pt idx="9">
                  <c:v>4.5204027626653133E-2</c:v>
                </c:pt>
                <c:pt idx="10">
                  <c:v>6.1435589670200401E-2</c:v>
                </c:pt>
                <c:pt idx="11">
                  <c:v>1.1519173063162575E-2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C4-4D2F-A7DB-05B476D45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923647"/>
        <c:axId val="2116997007"/>
      </c:scatterChart>
      <c:valAx>
        <c:axId val="1382923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(N-m)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97007"/>
        <c:crosses val="autoZero"/>
        <c:crossBetween val="midCat"/>
      </c:valAx>
      <c:valAx>
        <c:axId val="21169970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 (rad)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79077719451735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92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Spring 3 with Fiberglass Inlay Set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Clockwise Torque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314583280010334"/>
                  <c:y val="6.05133717902632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Spring 3 FG Set 2'!$E$3:$E$14</c:f>
              <c:numCache>
                <c:formatCode>General</c:formatCode>
                <c:ptCount val="12"/>
                <c:pt idx="0">
                  <c:v>2.4523786387935651E-2</c:v>
                </c:pt>
                <c:pt idx="1">
                  <c:v>3.6781322802909036E-2</c:v>
                </c:pt>
                <c:pt idx="2">
                  <c:v>4.9031351220950155E-2</c:v>
                </c:pt>
                <c:pt idx="3">
                  <c:v>0</c:v>
                </c:pt>
                <c:pt idx="4">
                  <c:v>4.9030152323672402E-2</c:v>
                </c:pt>
                <c:pt idx="5">
                  <c:v>7.3496911689523339E-2</c:v>
                </c:pt>
                <c:pt idx="6">
                  <c:v>9.7910698515983899E-2</c:v>
                </c:pt>
                <c:pt idx="7">
                  <c:v>0</c:v>
                </c:pt>
                <c:pt idx="8">
                  <c:v>9.7896625562990211E-2</c:v>
                </c:pt>
                <c:pt idx="9">
                  <c:v>0.14643005939253601</c:v>
                </c:pt>
                <c:pt idx="10">
                  <c:v>0.19433324716438419</c:v>
                </c:pt>
                <c:pt idx="11">
                  <c:v>0</c:v>
                </c:pt>
              </c:numCache>
            </c:numRef>
          </c:xVal>
          <c:yVal>
            <c:numRef>
              <c:f>'Test Spring 3 FG Set 2'!$D$3:$D$14</c:f>
              <c:numCache>
                <c:formatCode>General</c:formatCode>
                <c:ptCount val="12"/>
                <c:pt idx="0">
                  <c:v>9.948376736367677E-3</c:v>
                </c:pt>
                <c:pt idx="1">
                  <c:v>1.8325957145940461E-2</c:v>
                </c:pt>
                <c:pt idx="2">
                  <c:v>2.7576202181510408E-2</c:v>
                </c:pt>
                <c:pt idx="3">
                  <c:v>6.9813170079773184E-3</c:v>
                </c:pt>
                <c:pt idx="4">
                  <c:v>2.8448866807507571E-2</c:v>
                </c:pt>
                <c:pt idx="5">
                  <c:v>4.6076692252650299E-2</c:v>
                </c:pt>
                <c:pt idx="6">
                  <c:v>6.2133721370998131E-2</c:v>
                </c:pt>
                <c:pt idx="7">
                  <c:v>1.53588974175501E-2</c:v>
                </c:pt>
                <c:pt idx="8">
                  <c:v>6.4402649398590764E-2</c:v>
                </c:pt>
                <c:pt idx="9">
                  <c:v>9.896016858807849E-2</c:v>
                </c:pt>
                <c:pt idx="10">
                  <c:v>0.13805554383275148</c:v>
                </c:pt>
                <c:pt idx="11">
                  <c:v>3.07177948351002E-2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E3-4536-AB97-F4E14DF8A737}"/>
            </c:ext>
          </c:extLst>
        </c:ser>
        <c:ser>
          <c:idx val="1"/>
          <c:order val="1"/>
          <c:tx>
            <c:v>Counter-Clockwise Torque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501739569872377"/>
                  <c:y val="-7.15814991131169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Spring 3 FG Set 2'!$H$3:$H$14</c:f>
              <c:numCache>
                <c:formatCode>General</c:formatCode>
                <c:ptCount val="12"/>
                <c:pt idx="0">
                  <c:v>2.4523169690922587E-2</c:v>
                </c:pt>
                <c:pt idx="1">
                  <c:v>3.6779023461117152E-2</c:v>
                </c:pt>
                <c:pt idx="2">
                  <c:v>4.9030152323672402E-2</c:v>
                </c:pt>
                <c:pt idx="3">
                  <c:v>0</c:v>
                </c:pt>
                <c:pt idx="4">
                  <c:v>4.9031351220950155E-2</c:v>
                </c:pt>
                <c:pt idx="5">
                  <c:v>7.3504411655450311E-2</c:v>
                </c:pt>
                <c:pt idx="6">
                  <c:v>9.7896625562990211E-2</c:v>
                </c:pt>
                <c:pt idx="7">
                  <c:v>0</c:v>
                </c:pt>
                <c:pt idx="8">
                  <c:v>9.7901009383595805E-2</c:v>
                </c:pt>
                <c:pt idx="9">
                  <c:v>0.1464750099192639</c:v>
                </c:pt>
                <c:pt idx="10">
                  <c:v>0.19433324716438419</c:v>
                </c:pt>
                <c:pt idx="11">
                  <c:v>0</c:v>
                </c:pt>
              </c:numCache>
            </c:numRef>
          </c:xVal>
          <c:yVal>
            <c:numRef>
              <c:f>'Test Spring 3 FG Set 2'!$G$3:$G$14</c:f>
              <c:numCache>
                <c:formatCode>General</c:formatCode>
                <c:ptCount val="12"/>
                <c:pt idx="0">
                  <c:v>1.2217304763960306E-2</c:v>
                </c:pt>
                <c:pt idx="1">
                  <c:v>2.1467549799530253E-2</c:v>
                </c:pt>
                <c:pt idx="2">
                  <c:v>2.8448866807507571E-2</c:v>
                </c:pt>
                <c:pt idx="3">
                  <c:v>5.4105206811824215E-3</c:v>
                </c:pt>
                <c:pt idx="4">
                  <c:v>2.7576202181510408E-2</c:v>
                </c:pt>
                <c:pt idx="5">
                  <c:v>4.3807764225057666E-2</c:v>
                </c:pt>
                <c:pt idx="6">
                  <c:v>6.4402649398590764E-2</c:v>
                </c:pt>
                <c:pt idx="7">
                  <c:v>9.250245035569947E-3</c:v>
                </c:pt>
                <c:pt idx="8">
                  <c:v>6.3704517697793034E-2</c:v>
                </c:pt>
                <c:pt idx="9">
                  <c:v>9.5818575934488698E-2</c:v>
                </c:pt>
                <c:pt idx="10">
                  <c:v>0.13805554383275148</c:v>
                </c:pt>
                <c:pt idx="11">
                  <c:v>2.1467549799530253E-2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E3-4536-AB97-F4E14DF8A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923647"/>
        <c:axId val="2116997007"/>
      </c:scatterChart>
      <c:valAx>
        <c:axId val="1382923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(N-m)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97007"/>
        <c:crosses val="autoZero"/>
        <c:crossBetween val="midCat"/>
      </c:valAx>
      <c:valAx>
        <c:axId val="21169970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 (rad)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79077719451735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92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Spring 3 with Fiberglass Inlay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Clockwise Torque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314583280010334"/>
                  <c:y val="6.05133717902632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Spring 3 Kevlar'!$E$3:$E$18</c:f>
              <c:numCache>
                <c:formatCode>General</c:formatCode>
                <c:ptCount val="16"/>
                <c:pt idx="0">
                  <c:v>2.4522668791823018E-2</c:v>
                </c:pt>
                <c:pt idx="1">
                  <c:v>3.6777137072962776E-2</c:v>
                </c:pt>
                <c:pt idx="2">
                  <c:v>4.9026860448491472E-2</c:v>
                </c:pt>
                <c:pt idx="3">
                  <c:v>0</c:v>
                </c:pt>
                <c:pt idx="4">
                  <c:v>4.9028156424143231E-2</c:v>
                </c:pt>
                <c:pt idx="5">
                  <c:v>7.3494527885192965E-2</c:v>
                </c:pt>
                <c:pt idx="6">
                  <c:v>9.7891078690199168E-2</c:v>
                </c:pt>
                <c:pt idx="7">
                  <c:v>0</c:v>
                </c:pt>
                <c:pt idx="8">
                  <c:v>9.7882048635017246E-2</c:v>
                </c:pt>
                <c:pt idx="9">
                  <c:v>0.14637315728080433</c:v>
                </c:pt>
                <c:pt idx="10">
                  <c:v>0.19427148472285499</c:v>
                </c:pt>
                <c:pt idx="11">
                  <c:v>0</c:v>
                </c:pt>
                <c:pt idx="12">
                  <c:v>0.24176537881459353</c:v>
                </c:pt>
                <c:pt idx="13">
                  <c:v>0.35642903665040032</c:v>
                </c:pt>
                <c:pt idx="14">
                  <c:v>0.45828834627496817</c:v>
                </c:pt>
                <c:pt idx="15">
                  <c:v>0</c:v>
                </c:pt>
              </c:numCache>
            </c:numRef>
          </c:xVal>
          <c:yVal>
            <c:numRef>
              <c:f>'Test Spring 3 Kevlar'!$D$3:$D$18</c:f>
              <c:numCache>
                <c:formatCode>General</c:formatCode>
                <c:ptCount val="16"/>
                <c:pt idx="0">
                  <c:v>1.3788101090755204E-2</c:v>
                </c:pt>
                <c:pt idx="1">
                  <c:v>2.3736477827122883E-2</c:v>
                </c:pt>
                <c:pt idx="2">
                  <c:v>3.07177948351002E-2</c:v>
                </c:pt>
                <c:pt idx="3">
                  <c:v>7.6794487087750501E-3</c:v>
                </c:pt>
                <c:pt idx="4">
                  <c:v>2.9845130209103034E-2</c:v>
                </c:pt>
                <c:pt idx="5">
                  <c:v>4.6774823953448036E-2</c:v>
                </c:pt>
                <c:pt idx="6">
                  <c:v>6.527531402458793E-2</c:v>
                </c:pt>
                <c:pt idx="7">
                  <c:v>1.6057029118347832E-2</c:v>
                </c:pt>
                <c:pt idx="8">
                  <c:v>6.667157742618339E-2</c:v>
                </c:pt>
                <c:pt idx="9">
                  <c:v>0.102799892942466</c:v>
                </c:pt>
                <c:pt idx="10">
                  <c:v>0.14032447186034408</c:v>
                </c:pt>
                <c:pt idx="11">
                  <c:v>3.6826447217080352E-2</c:v>
                </c:pt>
                <c:pt idx="12">
                  <c:v>0.16877333866785166</c:v>
                </c:pt>
                <c:pt idx="13">
                  <c:v>0.25010568181078741</c:v>
                </c:pt>
                <c:pt idx="14">
                  <c:v>0.36442474781641598</c:v>
                </c:pt>
                <c:pt idx="15">
                  <c:v>0.12426744274199626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C3-4F13-97CA-A456D014F5BC}"/>
            </c:ext>
          </c:extLst>
        </c:ser>
        <c:ser>
          <c:idx val="1"/>
          <c:order val="1"/>
          <c:tx>
            <c:v>Counter-Clockwise Torque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501739569872377"/>
                  <c:y val="-7.15814991131169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Spring 3 Kevlar'!$H$3:$H$18</c:f>
              <c:numCache>
                <c:formatCode>General</c:formatCode>
                <c:ptCount val="16"/>
                <c:pt idx="0">
                  <c:v>2.4523564137356367E-2</c:v>
                </c:pt>
                <c:pt idx="1">
                  <c:v>3.6779565796676489E-2</c:v>
                </c:pt>
                <c:pt idx="2">
                  <c:v>4.903514816694933E-2</c:v>
                </c:pt>
                <c:pt idx="3">
                  <c:v>0</c:v>
                </c:pt>
                <c:pt idx="4">
                  <c:v>4.903514816694933E-2</c:v>
                </c:pt>
                <c:pt idx="5">
                  <c:v>7.3520769074911452E-2</c:v>
                </c:pt>
                <c:pt idx="6">
                  <c:v>9.7954589550933682E-2</c:v>
                </c:pt>
                <c:pt idx="7">
                  <c:v>0</c:v>
                </c:pt>
                <c:pt idx="8">
                  <c:v>9.7962855692160053E-2</c:v>
                </c:pt>
                <c:pt idx="9">
                  <c:v>0.14657880211276461</c:v>
                </c:pt>
                <c:pt idx="10">
                  <c:v>0.19447648899735248</c:v>
                </c:pt>
                <c:pt idx="11">
                  <c:v>0</c:v>
                </c:pt>
                <c:pt idx="12">
                  <c:v>0.24245396505301486</c:v>
                </c:pt>
                <c:pt idx="13">
                  <c:v>0.35737819774312474</c:v>
                </c:pt>
                <c:pt idx="14">
                  <c:v>0.45758288311152356</c:v>
                </c:pt>
                <c:pt idx="15">
                  <c:v>0</c:v>
                </c:pt>
              </c:numCache>
            </c:numRef>
          </c:xVal>
          <c:yVal>
            <c:numRef>
              <c:f>'Test Spring 3 Kevlar'!$G$3:$G$18</c:f>
              <c:numCache>
                <c:formatCode>General</c:formatCode>
                <c:ptCount val="16"/>
                <c:pt idx="0">
                  <c:v>1.0821041362364843E-2</c:v>
                </c:pt>
                <c:pt idx="1">
                  <c:v>2.076941809873252E-2</c:v>
                </c:pt>
                <c:pt idx="2">
                  <c:v>2.4609142453120045E-2</c:v>
                </c:pt>
                <c:pt idx="3">
                  <c:v>4.5378560551852572E-3</c:v>
                </c:pt>
                <c:pt idx="4">
                  <c:v>2.4609142453120045E-2</c:v>
                </c:pt>
                <c:pt idx="5">
                  <c:v>3.8397243543875255E-2</c:v>
                </c:pt>
                <c:pt idx="6">
                  <c:v>5.4454272662223087E-2</c:v>
                </c:pt>
                <c:pt idx="7">
                  <c:v>6.9813170079773184E-3</c:v>
                </c:pt>
                <c:pt idx="8">
                  <c:v>5.2883476335428184E-2</c:v>
                </c:pt>
                <c:pt idx="9">
                  <c:v>8.813912722571364E-2</c:v>
                </c:pt>
                <c:pt idx="10">
                  <c:v>0.13264502315156904</c:v>
                </c:pt>
                <c:pt idx="11">
                  <c:v>1.7627825445142728E-2</c:v>
                </c:pt>
                <c:pt idx="12">
                  <c:v>0.15114551322270894</c:v>
                </c:pt>
                <c:pt idx="13">
                  <c:v>0.23945917337362202</c:v>
                </c:pt>
                <c:pt idx="14">
                  <c:v>0.36843900509600297</c:v>
                </c:pt>
                <c:pt idx="15">
                  <c:v>4.2935099599060507E-2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C3-4F13-97CA-A456D014F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923647"/>
        <c:axId val="2116997007"/>
      </c:scatterChart>
      <c:valAx>
        <c:axId val="1382923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(N-m)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97007"/>
        <c:crosses val="autoZero"/>
        <c:crossBetween val="midCat"/>
      </c:valAx>
      <c:valAx>
        <c:axId val="21169970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 (rad)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79077719451735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92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3L4LT4ST Onyx 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'3L4LT4ST.O1'!$C$2:$E$2</c:f>
              <c:strCache>
                <c:ptCount val="1"/>
                <c:pt idx="0">
                  <c:v>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6145300196850394"/>
                  <c:y val="0.416472480266769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('3L4LT4ST.O1'!$D$4:$D$6,'3L4LT4ST.O1'!$D$8:$D$10,'3L4LT4ST.O1'!$D$12:$D$14,'3L4LT4ST.O1'!$D$16:$D$18)</c:f>
              <c:numCache>
                <c:formatCode>0.000</c:formatCode>
                <c:ptCount val="12"/>
                <c:pt idx="0">
                  <c:v>3.1415926535897929E-3</c:v>
                </c:pt>
                <c:pt idx="1">
                  <c:v>3.8397243543875251E-3</c:v>
                </c:pt>
                <c:pt idx="2">
                  <c:v>6.9813170079773184E-3</c:v>
                </c:pt>
                <c:pt idx="3">
                  <c:v>3.1415926535897929E-3</c:v>
                </c:pt>
                <c:pt idx="4">
                  <c:v>6.1086523819801532E-3</c:v>
                </c:pt>
                <c:pt idx="5">
                  <c:v>9.948376736367677E-3</c:v>
                </c:pt>
                <c:pt idx="6">
                  <c:v>8.377580409572781E-3</c:v>
                </c:pt>
                <c:pt idx="7">
                  <c:v>2.3038346126325149E-2</c:v>
                </c:pt>
                <c:pt idx="8">
                  <c:v>3.9968039870670144E-2</c:v>
                </c:pt>
                <c:pt idx="9">
                  <c:v>4.5204027626653133E-2</c:v>
                </c:pt>
                <c:pt idx="10">
                  <c:v>0.10053096491487337</c:v>
                </c:pt>
                <c:pt idx="11">
                  <c:v>0.14730578886832141</c:v>
                </c:pt>
              </c:numCache>
            </c:numRef>
          </c:xVal>
          <c:yVal>
            <c:numRef>
              <c:f>('3L4LT4ST.O1'!$E$4:$E$6,'3L4LT4ST.O1'!$E$8:$E$10,'3L4LT4ST.O1'!$E$12:$E$14,'3L4LT4ST.O1'!$E$16:$E$18)</c:f>
              <c:numCache>
                <c:formatCode>0.000</c:formatCode>
                <c:ptCount val="12"/>
                <c:pt idx="0">
                  <c:v>2.4524878974075574E-2</c:v>
                </c:pt>
                <c:pt idx="1">
                  <c:v>3.6787228812390591E-2</c:v>
                </c:pt>
                <c:pt idx="2">
                  <c:v>4.9048804686099609E-2</c:v>
                </c:pt>
                <c:pt idx="3">
                  <c:v>4.9049757948151147E-2</c:v>
                </c:pt>
                <c:pt idx="4">
                  <c:v>7.3573627255385771E-2</c:v>
                </c:pt>
                <c:pt idx="5">
                  <c:v>9.8095145551742605E-2</c:v>
                </c:pt>
                <c:pt idx="6">
                  <c:v>9.8096557502118945E-2</c:v>
                </c:pt>
                <c:pt idx="7">
                  <c:v>0.14711095066348176</c:v>
                </c:pt>
                <c:pt idx="8">
                  <c:v>0.19604331158297392</c:v>
                </c:pt>
                <c:pt idx="9">
                  <c:v>0.24499947023604926</c:v>
                </c:pt>
                <c:pt idx="10">
                  <c:v>0.36601760537199585</c:v>
                </c:pt>
                <c:pt idx="11">
                  <c:v>0.48518793733557797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74-4167-B1F7-4622ABC87B2C}"/>
            </c:ext>
          </c:extLst>
        </c:ser>
        <c:ser>
          <c:idx val="1"/>
          <c:order val="1"/>
          <c:tx>
            <c:strRef>
              <c:f>'3L4LT4ST.O1'!$F$2:$H$2</c:f>
              <c:strCache>
                <c:ptCount val="1"/>
                <c:pt idx="0">
                  <c:v>Counter-Clockwise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1278850885826773"/>
                  <c:y val="0.209952920950856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('3L4LT4ST.O1'!$G$4:$G$6,'3L4LT4ST.O1'!$G$8:$G$10,'3L4LT4ST.O1'!$G$12:$G$14,'3L4LT4ST.O1'!$G$16:$G$18)</c:f>
              <c:numCache>
                <c:formatCode>0.000</c:formatCode>
                <c:ptCount val="12"/>
                <c:pt idx="0">
                  <c:v>6.9813170079773186E-4</c:v>
                </c:pt>
                <c:pt idx="1">
                  <c:v>2.2689280275926286E-3</c:v>
                </c:pt>
                <c:pt idx="2">
                  <c:v>3.1415926535897929E-3</c:v>
                </c:pt>
                <c:pt idx="3">
                  <c:v>6.9813170079773186E-4</c:v>
                </c:pt>
                <c:pt idx="4">
                  <c:v>2.2689280275926286E-3</c:v>
                </c:pt>
                <c:pt idx="5">
                  <c:v>8.377580409572781E-3</c:v>
                </c:pt>
                <c:pt idx="6">
                  <c:v>5.4105206811824215E-3</c:v>
                </c:pt>
                <c:pt idx="7">
                  <c:v>2.3038346126325149E-2</c:v>
                </c:pt>
                <c:pt idx="8">
                  <c:v>3.6128315516282622E-2</c:v>
                </c:pt>
                <c:pt idx="9">
                  <c:v>2.3038346126325149E-2</c:v>
                </c:pt>
                <c:pt idx="10">
                  <c:v>8.4299402871326118E-2</c:v>
                </c:pt>
                <c:pt idx="11">
                  <c:v>0.13124875974997358</c:v>
                </c:pt>
              </c:numCache>
            </c:numRef>
          </c:xVal>
          <c:yVal>
            <c:numRef>
              <c:f>('3L4LT4ST.O1'!$H$4:$H$6,'3L4LT4ST.O1'!$H$8:$H$10,'3L4LT4ST.O1'!$H$12:$H$14,'3L4LT4ST.O1'!$H$16:$H$18)</c:f>
              <c:numCache>
                <c:formatCode>0.000</c:formatCode>
                <c:ptCount val="12"/>
                <c:pt idx="0">
                  <c:v>2.4524994023406466E-2</c:v>
                </c:pt>
                <c:pt idx="1">
                  <c:v>3.6787405308382981E-2</c:v>
                </c:pt>
                <c:pt idx="2">
                  <c:v>4.9049757948151147E-2</c:v>
                </c:pt>
                <c:pt idx="3">
                  <c:v>4.9049988046812931E-2</c:v>
                </c:pt>
                <c:pt idx="4">
                  <c:v>7.3574810616765962E-2</c:v>
                </c:pt>
                <c:pt idx="5">
                  <c:v>9.8096557502118945E-2</c:v>
                </c:pt>
                <c:pt idx="6">
                  <c:v>9.8098564126848059E-2</c:v>
                </c:pt>
                <c:pt idx="7">
                  <c:v>0.14711095066348176</c:v>
                </c:pt>
                <c:pt idx="8">
                  <c:v>0.19607196839371022</c:v>
                </c:pt>
                <c:pt idx="9">
                  <c:v>0.24518491777246956</c:v>
                </c:pt>
                <c:pt idx="10">
                  <c:v>0.36656864241239406</c:v>
                </c:pt>
                <c:pt idx="11">
                  <c:v>0.4862813266000936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74-4167-B1F7-4622ABC87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39439"/>
        <c:axId val="285172559"/>
      </c:scatterChart>
      <c:valAx>
        <c:axId val="36943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</a:t>
                </a:r>
                <a:r>
                  <a:rPr lang="en-US" baseline="0"/>
                  <a:t> (rad)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72559"/>
        <c:crosses val="autoZero"/>
        <c:crossBetween val="midCat"/>
      </c:valAx>
      <c:valAx>
        <c:axId val="285172559"/>
        <c:scaling>
          <c:orientation val="minMax"/>
          <c:max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(N-m)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39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3L4LT4ST Mark Two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'3L4LT4ST.M2'!$C$2:$E$2</c:f>
              <c:strCache>
                <c:ptCount val="1"/>
                <c:pt idx="0">
                  <c:v>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528153707349083"/>
                  <c:y val="0.425334647356480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('3L4LT4ST.M2'!$D$4:$D$6,'3L4LT4ST.M2'!$D$8:$D$10,'3L4LT4ST.M2'!$D$12:$D$14,'3L4LT4ST.M2'!$D$16:$D$18)</c:f>
              <c:numCache>
                <c:formatCode>0.000</c:formatCode>
                <c:ptCount val="12"/>
                <c:pt idx="0">
                  <c:v>3.1415926535897934E-2</c:v>
                </c:pt>
                <c:pt idx="1">
                  <c:v>5.2185344634630454E-2</c:v>
                </c:pt>
                <c:pt idx="2">
                  <c:v>7.0511301780570912E-2</c:v>
                </c:pt>
                <c:pt idx="3">
                  <c:v>6.4402649398590764E-2</c:v>
                </c:pt>
                <c:pt idx="4">
                  <c:v>0.1096066770252439</c:v>
                </c:pt>
                <c:pt idx="5">
                  <c:v>0.15498523757709648</c:v>
                </c:pt>
                <c:pt idx="6">
                  <c:v>0.14032447186034408</c:v>
                </c:pt>
                <c:pt idx="7">
                  <c:v>0.21868975527488949</c:v>
                </c:pt>
                <c:pt idx="8">
                  <c:v>0.29984756549262581</c:v>
                </c:pt>
                <c:pt idx="9">
                  <c:v>0.29234264970905022</c:v>
                </c:pt>
                <c:pt idx="10">
                  <c:v>0.4356341812977847</c:v>
                </c:pt>
                <c:pt idx="11">
                  <c:v>0.5068436147791533</c:v>
                </c:pt>
              </c:numCache>
            </c:numRef>
          </c:xVal>
          <c:yVal>
            <c:numRef>
              <c:f>('3L4LT4ST.M2'!$E$4:$E$6,'3L4LT4ST.M2'!$E$8:$E$10,'3L4LT4ST.M2'!$E$12:$E$14,'3L4LT4ST.M2'!$E$16:$E$18)</c:f>
              <c:numCache>
                <c:formatCode>0.000</c:formatCode>
                <c:ptCount val="12"/>
                <c:pt idx="0">
                  <c:v>2.4512898392969568E-2</c:v>
                </c:pt>
                <c:pt idx="1">
                  <c:v>3.6737419480054385E-2</c:v>
                </c:pt>
                <c:pt idx="2">
                  <c:v>4.8928116045331246E-2</c:v>
                </c:pt>
                <c:pt idx="3">
                  <c:v>4.8948312781495106E-2</c:v>
                </c:pt>
                <c:pt idx="4">
                  <c:v>7.3133491095815045E-2</c:v>
                </c:pt>
                <c:pt idx="5">
                  <c:v>9.6924154730676809E-2</c:v>
                </c:pt>
                <c:pt idx="6">
                  <c:v>9.7135742361427496E-2</c:v>
                </c:pt>
                <c:pt idx="7">
                  <c:v>0.14364526161148561</c:v>
                </c:pt>
                <c:pt idx="8">
                  <c:v>0.18744585530375152</c:v>
                </c:pt>
                <c:pt idx="9">
                  <c:v>0.23484437623738072</c:v>
                </c:pt>
                <c:pt idx="10">
                  <c:v>0.33351643491714661</c:v>
                </c:pt>
                <c:pt idx="11">
                  <c:v>0.42883484671722177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E9-4EE5-AC29-4B4E5E82AE63}"/>
            </c:ext>
          </c:extLst>
        </c:ser>
        <c:ser>
          <c:idx val="1"/>
          <c:order val="1"/>
          <c:tx>
            <c:strRef>
              <c:f>'3L4LT4ST.M2'!$F$2:$H$2</c:f>
              <c:strCache>
                <c:ptCount val="1"/>
                <c:pt idx="0">
                  <c:v>Counter-Clockwise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7576094980314959"/>
                  <c:y val="0.296449336003170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('3L4LT4ST.M2'!$G$4:$G$6,'3L4LT4ST.M2'!$G$8:$G$10,'3L4LT4ST.M2'!$G$12:$G$14,'3L4LT4ST.M2'!$G$16:$G$18)</c:f>
              <c:numCache>
                <c:formatCode>0.000</c:formatCode>
                <c:ptCount val="12"/>
                <c:pt idx="0">
                  <c:v>-2.2165681500327987E-2</c:v>
                </c:pt>
                <c:pt idx="1">
                  <c:v>3.9095375244672985E-2</c:v>
                </c:pt>
                <c:pt idx="2">
                  <c:v>5.8293997016610602E-2</c:v>
                </c:pt>
                <c:pt idx="3">
                  <c:v>3.9095375244672985E-2</c:v>
                </c:pt>
                <c:pt idx="4">
                  <c:v>8.2903139469730658E-2</c:v>
                </c:pt>
                <c:pt idx="5">
                  <c:v>0.13805554383275148</c:v>
                </c:pt>
                <c:pt idx="6">
                  <c:v>0.11972958668681101</c:v>
                </c:pt>
                <c:pt idx="7">
                  <c:v>0.19093902016817965</c:v>
                </c:pt>
                <c:pt idx="8">
                  <c:v>0.29530970943744062</c:v>
                </c:pt>
                <c:pt idx="9">
                  <c:v>0.26808257310632899</c:v>
                </c:pt>
                <c:pt idx="10">
                  <c:v>0.39950586578150205</c:v>
                </c:pt>
                <c:pt idx="11">
                  <c:v>0.56705747397295769</c:v>
                </c:pt>
              </c:numCache>
            </c:numRef>
          </c:xVal>
          <c:yVal>
            <c:numRef>
              <c:f>('3L4LT4ST.M2'!$H$4:$H$6,'3L4LT4ST.M2'!$H$8:$H$10,'3L4LT4ST.M2'!$H$12:$H$14,'3L4LT4ST.M2'!$H$16:$H$18)</c:f>
              <c:numCache>
                <c:formatCode>0.000</c:formatCode>
                <c:ptCount val="12"/>
                <c:pt idx="0">
                  <c:v>2.4518975466605718E-2</c:v>
                </c:pt>
                <c:pt idx="1">
                  <c:v>3.6759389683580931E-2</c:v>
                </c:pt>
                <c:pt idx="2">
                  <c:v>4.8966682986017869E-2</c:v>
                </c:pt>
                <c:pt idx="3">
                  <c:v>4.9012519578107899E-2</c:v>
                </c:pt>
                <c:pt idx="4">
                  <c:v>7.3322306846272792E-2</c:v>
                </c:pt>
                <c:pt idx="5">
                  <c:v>9.7166623582192094E-2</c:v>
                </c:pt>
                <c:pt idx="6">
                  <c:v>9.7397699287406533E-2</c:v>
                </c:pt>
                <c:pt idx="7">
                  <c:v>0.14447576357230818</c:v>
                </c:pt>
                <c:pt idx="8">
                  <c:v>0.18770690451584252</c:v>
                </c:pt>
                <c:pt idx="9">
                  <c:v>0.23648980793321431</c:v>
                </c:pt>
                <c:pt idx="10">
                  <c:v>0.33890606011993341</c:v>
                </c:pt>
                <c:pt idx="11">
                  <c:v>0.41372949522991614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E9-4EE5-AC29-4B4E5E82A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39439"/>
        <c:axId val="285172559"/>
      </c:scatterChart>
      <c:valAx>
        <c:axId val="36943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</a:t>
                </a:r>
                <a:r>
                  <a:rPr lang="en-US" baseline="0"/>
                  <a:t> (rad)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72559"/>
        <c:crosses val="autoZero"/>
        <c:crossBetween val="midCat"/>
      </c:valAx>
      <c:valAx>
        <c:axId val="2851725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(N-m)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39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4L3LT6ST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'4L3LT6ST'!$C$2:$E$2</c:f>
              <c:strCache>
                <c:ptCount val="1"/>
                <c:pt idx="0">
                  <c:v>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201730643044618"/>
                  <c:y val="0.453696910557018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('4L3LT6ST'!$D$4:$D$6,'4L3LT6ST'!$D$8:$D$10,'4L3LT6ST'!$D$12:$D$14,'4L3LT6ST'!$D$16:$D$18)</c:f>
              <c:numCache>
                <c:formatCode>0.000</c:formatCode>
                <c:ptCount val="12"/>
                <c:pt idx="0">
                  <c:v>2.4434609527920613E-2</c:v>
                </c:pt>
                <c:pt idx="1">
                  <c:v>4.0666171571467881E-2</c:v>
                </c:pt>
                <c:pt idx="2">
                  <c:v>5.6723200689815713E-2</c:v>
                </c:pt>
                <c:pt idx="3">
                  <c:v>6.9813170079773182E-2</c:v>
                </c:pt>
                <c:pt idx="4">
                  <c:v>0.1059414855960558</c:v>
                </c:pt>
                <c:pt idx="5">
                  <c:v>0.13805554383275148</c:v>
                </c:pt>
                <c:pt idx="6">
                  <c:v>0.12112585008840648</c:v>
                </c:pt>
                <c:pt idx="7">
                  <c:v>0.19093902016817965</c:v>
                </c:pt>
                <c:pt idx="8">
                  <c:v>0.26075219024795282</c:v>
                </c:pt>
                <c:pt idx="9">
                  <c:v>0.25237460983838006</c:v>
                </c:pt>
                <c:pt idx="10">
                  <c:v>0.37594392087957856</c:v>
                </c:pt>
                <c:pt idx="11">
                  <c:v>0.4756022211684548</c:v>
                </c:pt>
              </c:numCache>
            </c:numRef>
          </c:xVal>
          <c:yVal>
            <c:numRef>
              <c:f>('4L3LT6ST'!$E$4:$E$6,'4L3LT6ST'!$E$8:$E$10,'4L3LT6ST'!$E$12:$E$14,'4L3LT6ST'!$E$16:$E$18)</c:f>
              <c:numCache>
                <c:formatCode>0.000</c:formatCode>
                <c:ptCount val="12"/>
                <c:pt idx="0">
                  <c:v>2.4517679036883518E-2</c:v>
                </c:pt>
                <c:pt idx="1">
                  <c:v>3.675708575744803E-2</c:v>
                </c:pt>
                <c:pt idx="2">
                  <c:v>4.8971111440837961E-2</c:v>
                </c:pt>
                <c:pt idx="3">
                  <c:v>4.8930516665244374E-2</c:v>
                </c:pt>
                <c:pt idx="4">
                  <c:v>7.3162497904713381E-2</c:v>
                </c:pt>
                <c:pt idx="5">
                  <c:v>9.7166623582192094E-2</c:v>
                </c:pt>
                <c:pt idx="6">
                  <c:v>9.7381243732693801E-2</c:v>
                </c:pt>
                <c:pt idx="7">
                  <c:v>0.14447576357230818</c:v>
                </c:pt>
                <c:pt idx="8">
                  <c:v>0.18956772019747242</c:v>
                </c:pt>
                <c:pt idx="9">
                  <c:v>0.23748102019998255</c:v>
                </c:pt>
                <c:pt idx="10">
                  <c:v>0.34218315266747384</c:v>
                </c:pt>
                <c:pt idx="11">
                  <c:v>0.43606290789875374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BB-490C-A967-38F2C098B259}"/>
            </c:ext>
          </c:extLst>
        </c:ser>
        <c:ser>
          <c:idx val="1"/>
          <c:order val="1"/>
          <c:tx>
            <c:strRef>
              <c:f>'4L3LT6ST'!$F$2:$H$2</c:f>
              <c:strCache>
                <c:ptCount val="1"/>
                <c:pt idx="0">
                  <c:v>Counter-Clockwise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1726644520997378"/>
                  <c:y val="0.315681486780392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('4L3LT6ST'!$G$4:$G$6,'4L3LT6ST'!$G$8:$G$10,'4L3LT6ST'!$G$12:$G$14,'4L3LT6ST'!$G$16:$G$18)</c:f>
              <c:numCache>
                <c:formatCode>0.000</c:formatCode>
                <c:ptCount val="12"/>
                <c:pt idx="0">
                  <c:v>1.5707963267948964E-3</c:v>
                </c:pt>
                <c:pt idx="1">
                  <c:v>1.8325957145940461E-2</c:v>
                </c:pt>
                <c:pt idx="2">
                  <c:v>3.368485456349056E-2</c:v>
                </c:pt>
                <c:pt idx="3">
                  <c:v>2.5307274153917779E-2</c:v>
                </c:pt>
                <c:pt idx="4">
                  <c:v>5.8992128717408339E-2</c:v>
                </c:pt>
                <c:pt idx="5">
                  <c:v>0.10733774899765128</c:v>
                </c:pt>
                <c:pt idx="6">
                  <c:v>0.10053096491487337</c:v>
                </c:pt>
                <c:pt idx="7">
                  <c:v>0.17941984710501707</c:v>
                </c:pt>
                <c:pt idx="8">
                  <c:v>0.28221974004748313</c:v>
                </c:pt>
                <c:pt idx="9">
                  <c:v>0.25167647813758232</c:v>
                </c:pt>
                <c:pt idx="10">
                  <c:v>0.38117990863556156</c:v>
                </c:pt>
                <c:pt idx="11">
                  <c:v>0.56688294104775816</c:v>
                </c:pt>
              </c:numCache>
            </c:numRef>
          </c:xVal>
          <c:yVal>
            <c:numRef>
              <c:f>('4L3LT6ST'!$H$4:$H$6,'4L3LT6ST'!$H$8:$H$10,'4L3LT6ST'!$H$12:$H$14,'4L3LT6ST'!$H$16:$H$18)</c:f>
              <c:numCache>
                <c:formatCode>0.000</c:formatCode>
                <c:ptCount val="12"/>
                <c:pt idx="0">
                  <c:v>2.4524969743500227E-2</c:v>
                </c:pt>
                <c:pt idx="1">
                  <c:v>3.6781322802909036E-2</c:v>
                </c:pt>
                <c:pt idx="2">
                  <c:v>4.9022174863480636E-2</c:v>
                </c:pt>
                <c:pt idx="3">
                  <c:v>4.9034293602782872E-2</c:v>
                </c:pt>
                <c:pt idx="4">
                  <c:v>7.34470140020268E-2</c:v>
                </c:pt>
                <c:pt idx="5">
                  <c:v>9.753541808130764E-2</c:v>
                </c:pt>
                <c:pt idx="6">
                  <c:v>9.7604694765865543E-2</c:v>
                </c:pt>
                <c:pt idx="7">
                  <c:v>0.14478785869422364</c:v>
                </c:pt>
                <c:pt idx="8">
                  <c:v>0.18843825608030276</c:v>
                </c:pt>
                <c:pt idx="9">
                  <c:v>0.23752371585186985</c:v>
                </c:pt>
                <c:pt idx="10">
                  <c:v>0.34147126371540037</c:v>
                </c:pt>
                <c:pt idx="11">
                  <c:v>0.41377547368569079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BB-490C-A967-38F2C098B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39439"/>
        <c:axId val="285172559"/>
      </c:scatterChart>
      <c:valAx>
        <c:axId val="36943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</a:t>
                </a:r>
                <a:r>
                  <a:rPr lang="en-US" baseline="0"/>
                  <a:t> (rad)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72559"/>
        <c:crosses val="autoZero"/>
        <c:crossBetween val="midCat"/>
      </c:valAx>
      <c:valAx>
        <c:axId val="2851725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(N-m)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39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2L5LT12ST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'2L5LT12ST'!$C$2:$E$2</c:f>
              <c:strCache>
                <c:ptCount val="1"/>
                <c:pt idx="0">
                  <c:v>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0118110236220474E-2"/>
                  <c:y val="0.369953176136888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('2L5LT12ST'!$D$4:$D$6,'2L5LT12ST'!$D$8:$D$10,'2L5LT12ST'!$D$12:$D$14,'2L5LT12ST'!$D$16:$D$18,'2L5LT12ST'!$D$20:$D$22)</c:f>
              <c:numCache>
                <c:formatCode>0.000</c:formatCode>
                <c:ptCount val="15"/>
                <c:pt idx="0">
                  <c:v>4.0666171571467881E-2</c:v>
                </c:pt>
                <c:pt idx="1">
                  <c:v>4.2935099599060507E-2</c:v>
                </c:pt>
                <c:pt idx="2">
                  <c:v>4.6076692252650299E-2</c:v>
                </c:pt>
                <c:pt idx="3">
                  <c:v>5.2185344634630454E-2</c:v>
                </c:pt>
                <c:pt idx="4">
                  <c:v>5.2185344634630454E-2</c:v>
                </c:pt>
                <c:pt idx="5">
                  <c:v>5.8293997016610602E-2</c:v>
                </c:pt>
                <c:pt idx="6">
                  <c:v>5.5152404363020817E-2</c:v>
                </c:pt>
                <c:pt idx="7">
                  <c:v>6.597344572538566E-2</c:v>
                </c:pt>
                <c:pt idx="8">
                  <c:v>8.5870199198121014E-2</c:v>
                </c:pt>
                <c:pt idx="9">
                  <c:v>8.674286382411818E-2</c:v>
                </c:pt>
                <c:pt idx="10">
                  <c:v>0.10890854532444617</c:v>
                </c:pt>
                <c:pt idx="11">
                  <c:v>0.12810716709638378</c:v>
                </c:pt>
                <c:pt idx="12">
                  <c:v>0.12740903539558607</c:v>
                </c:pt>
                <c:pt idx="13">
                  <c:v>0.17331119472303691</c:v>
                </c:pt>
                <c:pt idx="14">
                  <c:v>0.20629791758572977</c:v>
                </c:pt>
              </c:numCache>
            </c:numRef>
          </c:xVal>
          <c:yVal>
            <c:numRef>
              <c:f>('2L5LT12ST'!$E$4:$E$6,'2L5LT12ST'!$E$8:$E$10,'2L5LT12ST'!$E$12:$E$14,'2L5LT12ST'!$E$16:$E$18,'2L5LT12ST'!$E$20:$E$22)</c:f>
              <c:numCache>
                <c:formatCode>0.000</c:formatCode>
                <c:ptCount val="15"/>
                <c:pt idx="0">
                  <c:v>2.4504723838298687E-2</c:v>
                </c:pt>
                <c:pt idx="1">
                  <c:v>3.6753597750779798E-2</c:v>
                </c:pt>
                <c:pt idx="2">
                  <c:v>4.89979411263489E-2</c:v>
                </c:pt>
                <c:pt idx="3">
                  <c:v>4.8983225973405847E-2</c:v>
                </c:pt>
                <c:pt idx="4">
                  <c:v>7.3474838960108771E-2</c:v>
                </c:pt>
                <c:pt idx="5">
                  <c:v>9.7933365972035738E-2</c:v>
                </c:pt>
                <c:pt idx="6">
                  <c:v>9.795083812861731E-2</c:v>
                </c:pt>
                <c:pt idx="7">
                  <c:v>0.14682988127546251</c:v>
                </c:pt>
                <c:pt idx="8">
                  <c:v>0.19547708527838739</c:v>
                </c:pt>
                <c:pt idx="9">
                  <c:v>0.24432790811158425</c:v>
                </c:pt>
                <c:pt idx="10">
                  <c:v>0.3656954597929577</c:v>
                </c:pt>
                <c:pt idx="11">
                  <c:v>0.48648059433968621</c:v>
                </c:pt>
                <c:pt idx="12">
                  <c:v>0.48652422409040957</c:v>
                </c:pt>
                <c:pt idx="13">
                  <c:v>0.72472785377998183</c:v>
                </c:pt>
                <c:pt idx="14">
                  <c:v>0.96019882355464536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37-46D4-B7BE-FA548D807A98}"/>
            </c:ext>
          </c:extLst>
        </c:ser>
        <c:ser>
          <c:idx val="1"/>
          <c:order val="1"/>
          <c:tx>
            <c:strRef>
              <c:f>'2L5LT12ST'!$F$2:$H$2</c:f>
              <c:strCache>
                <c:ptCount val="1"/>
                <c:pt idx="0">
                  <c:v>Counter-Clockwise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1726644520997378"/>
                  <c:y val="0.315681486780392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('2L5LT12ST'!$G$4:$G$6,'2L5LT12ST'!$G$8:$G$10,'2L5LT12ST'!$G$12:$G$14,'2L5LT12ST'!$G$16:$G$18,'2L5LT12ST'!$G$20:$G$22)</c:f>
              <c:numCache>
                <c:formatCode>0.000</c:formatCode>
                <c:ptCount val="15"/>
                <c:pt idx="0">
                  <c:v>4.2935099599060507E-2</c:v>
                </c:pt>
                <c:pt idx="1">
                  <c:v>5.2883476335428184E-2</c:v>
                </c:pt>
                <c:pt idx="2">
                  <c:v>5.1312680008633288E-2</c:v>
                </c:pt>
                <c:pt idx="3">
                  <c:v>5.0614548307835558E-2</c:v>
                </c:pt>
                <c:pt idx="4">
                  <c:v>5.8992128717408339E-2</c:v>
                </c:pt>
                <c:pt idx="5">
                  <c:v>6.4402649398590764E-2</c:v>
                </c:pt>
                <c:pt idx="6">
                  <c:v>6.4402649398590764E-2</c:v>
                </c:pt>
                <c:pt idx="7">
                  <c:v>7.52236907609556E-2</c:v>
                </c:pt>
                <c:pt idx="8">
                  <c:v>8.674286382411818E-2</c:v>
                </c:pt>
                <c:pt idx="9">
                  <c:v>9.2851516206098342E-2</c:v>
                </c:pt>
                <c:pt idx="10">
                  <c:v>0.11903145498601328</c:v>
                </c:pt>
                <c:pt idx="11">
                  <c:v>0.14643312424232427</c:v>
                </c:pt>
                <c:pt idx="12">
                  <c:v>0.14119713648634125</c:v>
                </c:pt>
                <c:pt idx="13">
                  <c:v>0.18797196043978928</c:v>
                </c:pt>
                <c:pt idx="14">
                  <c:v>0.23474678439323732</c:v>
                </c:pt>
              </c:numCache>
            </c:numRef>
          </c:xVal>
          <c:yVal>
            <c:numRef>
              <c:f>('2L5LT12ST'!$H$4:$H$6,'2L5LT12ST'!$H$8:$H$10,'2L5LT12ST'!$H$12:$H$14,'2L5LT12ST'!$H$16:$H$18,'2L5LT12ST'!$H$20:$H$22)</c:f>
              <c:numCache>
                <c:formatCode>0.000</c:formatCode>
                <c:ptCount val="15"/>
                <c:pt idx="0">
                  <c:v>2.4502398500519867E-2</c:v>
                </c:pt>
                <c:pt idx="1">
                  <c:v>3.6736070884560018E-2</c:v>
                </c:pt>
                <c:pt idx="2">
                  <c:v>4.8985440059889092E-2</c:v>
                </c:pt>
                <c:pt idx="3">
                  <c:v>4.8987184469884336E-2</c:v>
                </c:pt>
                <c:pt idx="4">
                  <c:v>7.34470140020268E-2</c:v>
                </c:pt>
                <c:pt idx="5">
                  <c:v>9.7896625562990211E-2</c:v>
                </c:pt>
                <c:pt idx="6">
                  <c:v>9.7896625562990211E-2</c:v>
                </c:pt>
                <c:pt idx="7">
                  <c:v>0.14673386452066961</c:v>
                </c:pt>
                <c:pt idx="8">
                  <c:v>0.1954623264892674</c:v>
                </c:pt>
                <c:pt idx="9">
                  <c:v>0.24419355965414355</c:v>
                </c:pt>
                <c:pt idx="10">
                  <c:v>0.36527195947904639</c:v>
                </c:pt>
                <c:pt idx="11">
                  <c:v>0.48525057786199838</c:v>
                </c:pt>
                <c:pt idx="12">
                  <c:v>0.48561865904269624</c:v>
                </c:pt>
                <c:pt idx="13">
                  <c:v>0.72278993201696839</c:v>
                </c:pt>
                <c:pt idx="14">
                  <c:v>0.95409437750895576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37-46D4-B7BE-FA548D807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39439"/>
        <c:axId val="285172559"/>
      </c:scatterChart>
      <c:valAx>
        <c:axId val="36943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</a:t>
                </a:r>
                <a:r>
                  <a:rPr lang="en-US" baseline="0"/>
                  <a:t> (rad)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72559"/>
        <c:crosses val="autoZero"/>
        <c:crossBetween val="midCat"/>
      </c:valAx>
      <c:valAx>
        <c:axId val="2851725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(N-m)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39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2L5LT12ST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'2L5LT12ST'!$C$2:$E$2</c:f>
              <c:strCache>
                <c:ptCount val="1"/>
                <c:pt idx="0">
                  <c:v>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4720103346456693E-2"/>
                  <c:y val="0.334182751476819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('2L5LT12ST'!$D$35:$D$37,'2L5LT12ST'!$D$39:$D$41,'2L5LT12ST'!$D$43:$D$45,'2L5LT12ST'!$D$47:$D$49,'2L5LT12ST'!$D$51:$D$53)</c:f>
              <c:numCache>
                <c:formatCode>0.000</c:formatCode>
                <c:ptCount val="15"/>
                <c:pt idx="0">
                  <c:v>5.2359877559830326E-4</c:v>
                </c:pt>
                <c:pt idx="1">
                  <c:v>2.7925268031909296E-3</c:v>
                </c:pt>
                <c:pt idx="2">
                  <c:v>5.9341194567807259E-3</c:v>
                </c:pt>
                <c:pt idx="3">
                  <c:v>1.2042771838760881E-2</c:v>
                </c:pt>
                <c:pt idx="4">
                  <c:v>1.2042771838760881E-2</c:v>
                </c:pt>
                <c:pt idx="5">
                  <c:v>1.8151424220741029E-2</c:v>
                </c:pt>
                <c:pt idx="6">
                  <c:v>1.500983156715124E-2</c:v>
                </c:pt>
                <c:pt idx="7">
                  <c:v>2.5830872929516076E-2</c:v>
                </c:pt>
                <c:pt idx="8">
                  <c:v>4.5727626402251434E-2</c:v>
                </c:pt>
                <c:pt idx="9">
                  <c:v>4.66002910282486E-2</c:v>
                </c:pt>
                <c:pt idx="10">
                  <c:v>6.8765972528576594E-2</c:v>
                </c:pt>
                <c:pt idx="11">
                  <c:v>8.7964594300514204E-2</c:v>
                </c:pt>
                <c:pt idx="12">
                  <c:v>8.7266462599716474E-2</c:v>
                </c:pt>
                <c:pt idx="13">
                  <c:v>0.13316862192716733</c:v>
                </c:pt>
                <c:pt idx="14">
                  <c:v>0.16615534478986016</c:v>
                </c:pt>
              </c:numCache>
            </c:numRef>
          </c:xVal>
          <c:yVal>
            <c:numRef>
              <c:f>('2L5LT12ST'!$E$4:$E$6,'2L5LT12ST'!$E$8:$E$10,'2L5LT12ST'!$E$12:$E$14,'2L5LT12ST'!$E$16:$E$18,'2L5LT12ST'!$E$20:$E$22)</c:f>
              <c:numCache>
                <c:formatCode>0.000</c:formatCode>
                <c:ptCount val="15"/>
                <c:pt idx="0">
                  <c:v>2.4504723838298687E-2</c:v>
                </c:pt>
                <c:pt idx="1">
                  <c:v>3.6753597750779798E-2</c:v>
                </c:pt>
                <c:pt idx="2">
                  <c:v>4.89979411263489E-2</c:v>
                </c:pt>
                <c:pt idx="3">
                  <c:v>4.8983225973405847E-2</c:v>
                </c:pt>
                <c:pt idx="4">
                  <c:v>7.3474838960108771E-2</c:v>
                </c:pt>
                <c:pt idx="5">
                  <c:v>9.7933365972035738E-2</c:v>
                </c:pt>
                <c:pt idx="6">
                  <c:v>9.795083812861731E-2</c:v>
                </c:pt>
                <c:pt idx="7">
                  <c:v>0.14682988127546251</c:v>
                </c:pt>
                <c:pt idx="8">
                  <c:v>0.19547708527838739</c:v>
                </c:pt>
                <c:pt idx="9">
                  <c:v>0.24432790811158425</c:v>
                </c:pt>
                <c:pt idx="10">
                  <c:v>0.3656954597929577</c:v>
                </c:pt>
                <c:pt idx="11">
                  <c:v>0.48648059433968621</c:v>
                </c:pt>
                <c:pt idx="12">
                  <c:v>0.48652422409040957</c:v>
                </c:pt>
                <c:pt idx="13">
                  <c:v>0.72472785377998183</c:v>
                </c:pt>
                <c:pt idx="14">
                  <c:v>0.96019882355464536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42-4EF2-A9C2-7864CF553E99}"/>
            </c:ext>
          </c:extLst>
        </c:ser>
        <c:ser>
          <c:idx val="1"/>
          <c:order val="1"/>
          <c:tx>
            <c:strRef>
              <c:f>'2L5LT12ST'!$F$2:$H$2</c:f>
              <c:strCache>
                <c:ptCount val="1"/>
                <c:pt idx="0">
                  <c:v>Counter-Clockwise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7505474901574803"/>
                  <c:y val="0.149490751309284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('2L5LT12ST'!$G$35:$G$37,'2L5LT12ST'!$G$39:$G$41,'2L5LT12ST'!$G$43:$G$45,'2L5LT12ST'!$G$47:$G$49,'2L5LT12ST'!$G$51:$G$53)</c:f>
              <c:numCache>
                <c:formatCode>0.000</c:formatCode>
                <c:ptCount val="15"/>
                <c:pt idx="0">
                  <c:v>2.7925268031909296E-3</c:v>
                </c:pt>
                <c:pt idx="1">
                  <c:v>1.2740903539558606E-2</c:v>
                </c:pt>
                <c:pt idx="2">
                  <c:v>1.1170107212763711E-2</c:v>
                </c:pt>
                <c:pt idx="3">
                  <c:v>1.0471975511965978E-2</c:v>
                </c:pt>
                <c:pt idx="4">
                  <c:v>1.8849555921538759E-2</c:v>
                </c:pt>
                <c:pt idx="5">
                  <c:v>2.4260076602721184E-2</c:v>
                </c:pt>
                <c:pt idx="6">
                  <c:v>2.4260076602721184E-2</c:v>
                </c:pt>
                <c:pt idx="7">
                  <c:v>3.508111796508602E-2</c:v>
                </c:pt>
                <c:pt idx="8">
                  <c:v>4.66002910282486E-2</c:v>
                </c:pt>
                <c:pt idx="9">
                  <c:v>5.2708943410228762E-2</c:v>
                </c:pt>
                <c:pt idx="10">
                  <c:v>7.88888821901437E-2</c:v>
                </c:pt>
                <c:pt idx="11">
                  <c:v>0.10629055144645468</c:v>
                </c:pt>
                <c:pt idx="12">
                  <c:v>0.10105456369047168</c:v>
                </c:pt>
                <c:pt idx="13">
                  <c:v>0.1478293876439197</c:v>
                </c:pt>
                <c:pt idx="14">
                  <c:v>0.19460421159736771</c:v>
                </c:pt>
              </c:numCache>
            </c:numRef>
          </c:xVal>
          <c:yVal>
            <c:numRef>
              <c:f>('2L5LT12ST'!$H$4:$H$6,'2L5LT12ST'!$H$8:$H$10,'2L5LT12ST'!$H$12:$H$14,'2L5LT12ST'!$H$16:$H$18,'2L5LT12ST'!$H$20:$H$22)</c:f>
              <c:numCache>
                <c:formatCode>0.000</c:formatCode>
                <c:ptCount val="15"/>
                <c:pt idx="0">
                  <c:v>2.4502398500519867E-2</c:v>
                </c:pt>
                <c:pt idx="1">
                  <c:v>3.6736070884560018E-2</c:v>
                </c:pt>
                <c:pt idx="2">
                  <c:v>4.8985440059889092E-2</c:v>
                </c:pt>
                <c:pt idx="3">
                  <c:v>4.8987184469884336E-2</c:v>
                </c:pt>
                <c:pt idx="4">
                  <c:v>7.34470140020268E-2</c:v>
                </c:pt>
                <c:pt idx="5">
                  <c:v>9.7896625562990211E-2</c:v>
                </c:pt>
                <c:pt idx="6">
                  <c:v>9.7896625562990211E-2</c:v>
                </c:pt>
                <c:pt idx="7">
                  <c:v>0.14673386452066961</c:v>
                </c:pt>
                <c:pt idx="8">
                  <c:v>0.1954623264892674</c:v>
                </c:pt>
                <c:pt idx="9">
                  <c:v>0.24419355965414355</c:v>
                </c:pt>
                <c:pt idx="10">
                  <c:v>0.36527195947904639</c:v>
                </c:pt>
                <c:pt idx="11">
                  <c:v>0.48525057786199838</c:v>
                </c:pt>
                <c:pt idx="12">
                  <c:v>0.48561865904269624</c:v>
                </c:pt>
                <c:pt idx="13">
                  <c:v>0.72278993201696839</c:v>
                </c:pt>
                <c:pt idx="14">
                  <c:v>0.95409437750895576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42-4EF2-A9C2-7864CF553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39439"/>
        <c:axId val="285172559"/>
      </c:scatterChart>
      <c:valAx>
        <c:axId val="36943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</a:t>
                </a:r>
                <a:r>
                  <a:rPr lang="en-US" baseline="0"/>
                  <a:t> (rad)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72559"/>
        <c:crosses val="autoZero"/>
        <c:crossBetween val="midCat"/>
      </c:valAx>
      <c:valAx>
        <c:axId val="2851725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(N-m)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39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2L5LT12ST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'2L5LT12ST.100infill'!$C$2:$E$2</c:f>
              <c:strCache>
                <c:ptCount val="1"/>
                <c:pt idx="0">
                  <c:v>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353100393700788"/>
                  <c:y val="0.355115772632573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('2L5LT12ST.100infill'!$D$4:$D$6,'2L5LT12ST.100infill'!$D$8:$D$10,'2L5LT12ST.100infill'!$D$12:$D$14,'2L5LT12ST.100infill'!$D$16:$D$18,'2L5LT12ST.100infill'!$D$20:$D$22)</c:f>
              <c:numCache>
                <c:formatCode>0.000</c:formatCode>
                <c:ptCount val="15"/>
                <c:pt idx="0">
                  <c:v>1.5707963267948964E-3</c:v>
                </c:pt>
                <c:pt idx="1">
                  <c:v>3.1415926535897929E-3</c:v>
                </c:pt>
                <c:pt idx="2">
                  <c:v>4.5378560551852572E-3</c:v>
                </c:pt>
                <c:pt idx="3">
                  <c:v>4.5378560551852572E-3</c:v>
                </c:pt>
                <c:pt idx="4">
                  <c:v>6.9813170079773184E-3</c:v>
                </c:pt>
                <c:pt idx="5">
                  <c:v>8.377580409572781E-3</c:v>
                </c:pt>
                <c:pt idx="6">
                  <c:v>7.6794487087750501E-3</c:v>
                </c:pt>
                <c:pt idx="7">
                  <c:v>1.0821041362364843E-2</c:v>
                </c:pt>
                <c:pt idx="8">
                  <c:v>1.4660765716752368E-2</c:v>
                </c:pt>
                <c:pt idx="9">
                  <c:v>1.53588974175501E-2</c:v>
                </c:pt>
                <c:pt idx="10">
                  <c:v>2.3736477827122883E-2</c:v>
                </c:pt>
                <c:pt idx="11">
                  <c:v>3.368485456349056E-2</c:v>
                </c:pt>
                <c:pt idx="12">
                  <c:v>3.1415926535897934E-2</c:v>
                </c:pt>
                <c:pt idx="13">
                  <c:v>5.7595865315812872E-2</c:v>
                </c:pt>
                <c:pt idx="14">
                  <c:v>7.592182246175333E-2</c:v>
                </c:pt>
              </c:numCache>
            </c:numRef>
          </c:xVal>
          <c:yVal>
            <c:numRef>
              <c:f>('2L5LT12ST.100infill'!$E$4:$E$6,'2L5LT12ST.100infill'!$E$8:$E$10,'2L5LT12ST.100infill'!$E$12:$E$14,'2L5LT12ST.100infill'!$E$16:$E$18,'2L5LT12ST.100infill'!$E$20:$E$22)</c:f>
              <c:numCache>
                <c:formatCode>0.000</c:formatCode>
                <c:ptCount val="15"/>
                <c:pt idx="0">
                  <c:v>2.4524969743500227E-2</c:v>
                </c:pt>
                <c:pt idx="1">
                  <c:v>3.6787318461113362E-2</c:v>
                </c:pt>
                <c:pt idx="2">
                  <c:v>4.9049494978692529E-2</c:v>
                </c:pt>
                <c:pt idx="3">
                  <c:v>4.9049494978692529E-2</c:v>
                </c:pt>
                <c:pt idx="4">
                  <c:v>7.3573207029149421E-2</c:v>
                </c:pt>
                <c:pt idx="5">
                  <c:v>9.8096557502118945E-2</c:v>
                </c:pt>
                <c:pt idx="6">
                  <c:v>9.8097107342828296E-2</c:v>
                </c:pt>
                <c:pt idx="7">
                  <c:v>0.14714138482413822</c:v>
                </c:pt>
                <c:pt idx="8">
                  <c:v>0.19617891495482645</c:v>
                </c:pt>
                <c:pt idx="9">
                  <c:v>0.24522107385475933</c:v>
                </c:pt>
                <c:pt idx="10">
                  <c:v>0.36777137072962773</c:v>
                </c:pt>
                <c:pt idx="11">
                  <c:v>0.49022174863480644</c:v>
                </c:pt>
                <c:pt idx="12">
                  <c:v>0.49025796785939135</c:v>
                </c:pt>
                <c:pt idx="13">
                  <c:v>0.7345299915737713</c:v>
                </c:pt>
                <c:pt idx="14">
                  <c:v>0.97817405542242108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62-4673-8CC4-241B73275AEA}"/>
            </c:ext>
          </c:extLst>
        </c:ser>
        <c:ser>
          <c:idx val="1"/>
          <c:order val="1"/>
          <c:tx>
            <c:strRef>
              <c:f>'2L5LT12ST.100infill'!$F$2:$H$2</c:f>
              <c:strCache>
                <c:ptCount val="1"/>
                <c:pt idx="0">
                  <c:v>Counter-Clockwise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93176468175853"/>
                  <c:y val="0.199659493072947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('2L5LT12ST.100infill'!$G$4:$G$6,'2L5LT12ST.100infill'!$G$8:$G$10,'2L5LT12ST.100infill'!$G$12:$G$14,'2L5LT12ST.100infill'!$G$16:$G$18,'2L5LT12ST.100infill'!$G$20:$G$22)</c:f>
              <c:numCache>
                <c:formatCode>0.000</c:formatCode>
                <c:ptCount val="15"/>
                <c:pt idx="0">
                  <c:v>6.9813170079773186E-4</c:v>
                </c:pt>
                <c:pt idx="1">
                  <c:v>1.5707963267948964E-3</c:v>
                </c:pt>
                <c:pt idx="2">
                  <c:v>2.2689280275926286E-3</c:v>
                </c:pt>
                <c:pt idx="3">
                  <c:v>1.5707963267948964E-3</c:v>
                </c:pt>
                <c:pt idx="4">
                  <c:v>3.8397243543875251E-3</c:v>
                </c:pt>
                <c:pt idx="5">
                  <c:v>5.4105206811824215E-3</c:v>
                </c:pt>
                <c:pt idx="6">
                  <c:v>6.9813170079773186E-4</c:v>
                </c:pt>
                <c:pt idx="7">
                  <c:v>6.9813170079773184E-3</c:v>
                </c:pt>
                <c:pt idx="8">
                  <c:v>1.1519173063162575E-2</c:v>
                </c:pt>
                <c:pt idx="9">
                  <c:v>9.948376736367677E-3</c:v>
                </c:pt>
                <c:pt idx="10">
                  <c:v>2.3736477827122883E-2</c:v>
                </c:pt>
                <c:pt idx="11">
                  <c:v>3.4557519189487726E-2</c:v>
                </c:pt>
                <c:pt idx="12">
                  <c:v>2.9146998508305301E-2</c:v>
                </c:pt>
                <c:pt idx="13">
                  <c:v>5.0614548307835558E-2</c:v>
                </c:pt>
                <c:pt idx="14">
                  <c:v>7.749261878854824E-2</c:v>
                </c:pt>
              </c:numCache>
            </c:numRef>
          </c:xVal>
          <c:yVal>
            <c:numRef>
              <c:f>('2L5LT12ST.100infill'!$H$4:$H$6,'2L5LT12ST.100infill'!$H$8:$H$10,'2L5LT12ST.100infill'!$H$12:$H$14,'2L5LT12ST.100infill'!$H$16:$H$18,'2L5LT12ST.100infill'!$H$20:$H$22)</c:f>
              <c:numCache>
                <c:formatCode>0.000</c:formatCode>
                <c:ptCount val="15"/>
                <c:pt idx="0">
                  <c:v>2.4524994023406466E-2</c:v>
                </c:pt>
                <c:pt idx="1">
                  <c:v>3.6787454615250341E-2</c:v>
                </c:pt>
                <c:pt idx="2">
                  <c:v>4.9049873744510648E-2</c:v>
                </c:pt>
                <c:pt idx="3">
                  <c:v>4.9049939487000455E-2</c:v>
                </c:pt>
                <c:pt idx="4">
                  <c:v>7.3574457624781181E-2</c:v>
                </c:pt>
                <c:pt idx="5">
                  <c:v>9.8098564126848059E-2</c:v>
                </c:pt>
                <c:pt idx="6">
                  <c:v>9.8099976093625862E-2</c:v>
                </c:pt>
                <c:pt idx="7">
                  <c:v>0.14714641405829884</c:v>
                </c:pt>
                <c:pt idx="8">
                  <c:v>0.19618698312269195</c:v>
                </c:pt>
                <c:pt idx="9">
                  <c:v>0.24523786387935653</c:v>
                </c:pt>
                <c:pt idx="10">
                  <c:v>0.36777137072962773</c:v>
                </c:pt>
                <c:pt idx="11">
                  <c:v>0.49020714616811423</c:v>
                </c:pt>
                <c:pt idx="12">
                  <c:v>0.49029166322017831</c:v>
                </c:pt>
                <c:pt idx="13">
                  <c:v>0.734807767048265</c:v>
                </c:pt>
                <c:pt idx="14">
                  <c:v>0.97805596923385196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62-4673-8CC4-241B73275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39439"/>
        <c:axId val="285172559"/>
      </c:scatterChart>
      <c:valAx>
        <c:axId val="36943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</a:t>
                </a:r>
                <a:r>
                  <a:rPr lang="en-US" baseline="0"/>
                  <a:t> (rad)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72559"/>
        <c:crosses val="autoZero"/>
        <c:crossBetween val="midCat"/>
      </c:valAx>
      <c:valAx>
        <c:axId val="2851725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(N-m)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39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4L3LT6ST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'4L3LT6ST+3L4LT4ST.M2'!$C$2:$E$2</c:f>
              <c:strCache>
                <c:ptCount val="1"/>
                <c:pt idx="0">
                  <c:v>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133284120734909"/>
                  <c:y val="0.389180611520040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('4L3LT6ST+3L4LT4ST.M2'!$D$4:$D$6,'4L3LT6ST+3L4LT4ST.M2'!$D$8:$D$10,'4L3LT6ST+3L4LT4ST.M2'!$D$12:$D$14,'4L3LT6ST+3L4LT4ST.M2'!$D$16:$D$18)</c:f>
              <c:numCache>
                <c:formatCode>0.000</c:formatCode>
                <c:ptCount val="12"/>
                <c:pt idx="0">
                  <c:v>3.1415926535897929E-3</c:v>
                </c:pt>
                <c:pt idx="1">
                  <c:v>3.8397243543875251E-3</c:v>
                </c:pt>
                <c:pt idx="2">
                  <c:v>9.948376736367677E-3</c:v>
                </c:pt>
                <c:pt idx="3">
                  <c:v>9.250245035569947E-3</c:v>
                </c:pt>
                <c:pt idx="4">
                  <c:v>2.8448866807507571E-2</c:v>
                </c:pt>
                <c:pt idx="5">
                  <c:v>5.1312680008633288E-2</c:v>
                </c:pt>
                <c:pt idx="6">
                  <c:v>4.4505895925855403E-2</c:v>
                </c:pt>
                <c:pt idx="7">
                  <c:v>8.674286382411818E-2</c:v>
                </c:pt>
                <c:pt idx="8">
                  <c:v>0.14416419621473162</c:v>
                </c:pt>
                <c:pt idx="9">
                  <c:v>0.17034413499464657</c:v>
                </c:pt>
                <c:pt idx="10">
                  <c:v>0.26005405854715513</c:v>
                </c:pt>
                <c:pt idx="11">
                  <c:v>0.35534903570604548</c:v>
                </c:pt>
              </c:numCache>
            </c:numRef>
          </c:xVal>
          <c:yVal>
            <c:numRef>
              <c:f>('4L3LT6ST+3L4LT4ST.M2'!$E$4:$E$6,'4L3LT6ST+3L4LT4ST.M2'!$E$8:$E$10,'4L3LT6ST+3L4LT4ST.M2'!$E$12:$E$14,'4L3LT6ST+3L4LT4ST.M2'!$E$16:$E$18)</c:f>
              <c:numCache>
                <c:formatCode>0.000</c:formatCode>
                <c:ptCount val="12"/>
                <c:pt idx="0">
                  <c:v>2.4524878974075574E-2</c:v>
                </c:pt>
                <c:pt idx="1">
                  <c:v>3.6787228812390591E-2</c:v>
                </c:pt>
                <c:pt idx="2">
                  <c:v>4.9047572775871302E-2</c:v>
                </c:pt>
                <c:pt idx="3">
                  <c:v>4.9047901483474043E-2</c:v>
                </c:pt>
                <c:pt idx="4">
                  <c:v>7.354522848550861E-2</c:v>
                </c:pt>
                <c:pt idx="5">
                  <c:v>9.7970880119778184E-2</c:v>
                </c:pt>
                <c:pt idx="6">
                  <c:v>9.8002859033544873E-2</c:v>
                </c:pt>
                <c:pt idx="7">
                  <c:v>0.14659674486695054</c:v>
                </c:pt>
                <c:pt idx="8">
                  <c:v>0.19416468546717078</c:v>
                </c:pt>
                <c:pt idx="9">
                  <c:v>0.24170037093259616</c:v>
                </c:pt>
                <c:pt idx="10">
                  <c:v>0.355505600180334</c:v>
                </c:pt>
                <c:pt idx="11">
                  <c:v>0.45985606658176659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BA-4B44-82A4-A753B74E08D0}"/>
            </c:ext>
          </c:extLst>
        </c:ser>
        <c:ser>
          <c:idx val="1"/>
          <c:order val="1"/>
          <c:tx>
            <c:strRef>
              <c:f>'4L3LT6ST+3L4LT4ST.M2'!$F$2:$H$2</c:f>
              <c:strCache>
                <c:ptCount val="1"/>
                <c:pt idx="0">
                  <c:v>Counter-Clockwise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6863270997375328"/>
                  <c:y val="0.274762683924639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('4L3LT6ST+3L4LT4ST.M2'!$G$4:$G$6,'4L3LT6ST+3L4LT4ST.M2'!$G$8:$G$10,'4L3LT6ST+3L4LT4ST.M2'!$G$12:$G$14,'4L3LT6ST+3L4LT4ST.M2'!$G$16:$G$18)</c:f>
              <c:numCache>
                <c:formatCode>0.000</c:formatCode>
                <c:ptCount val="12"/>
                <c:pt idx="0">
                  <c:v>6.9813170079773186E-4</c:v>
                </c:pt>
                <c:pt idx="1">
                  <c:v>1.0821041362364843E-2</c:v>
                </c:pt>
                <c:pt idx="2">
                  <c:v>1.4660765716752368E-2</c:v>
                </c:pt>
                <c:pt idx="3">
                  <c:v>7.6794487087750501E-3</c:v>
                </c:pt>
                <c:pt idx="4">
                  <c:v>2.7576202181510408E-2</c:v>
                </c:pt>
                <c:pt idx="5">
                  <c:v>4.8345620280242932E-2</c:v>
                </c:pt>
                <c:pt idx="6">
                  <c:v>3.9095375244672985E-2</c:v>
                </c:pt>
                <c:pt idx="7">
                  <c:v>7.9761546816140866E-2</c:v>
                </c:pt>
                <c:pt idx="8">
                  <c:v>0.13124875974997358</c:v>
                </c:pt>
                <c:pt idx="9">
                  <c:v>0.13508848410436111</c:v>
                </c:pt>
                <c:pt idx="10">
                  <c:v>0.21781709064889235</c:v>
                </c:pt>
                <c:pt idx="11">
                  <c:v>0.35744343080843871</c:v>
                </c:pt>
              </c:numCache>
            </c:numRef>
          </c:xVal>
          <c:yVal>
            <c:numRef>
              <c:f>('4L3LT6ST+3L4LT4ST.M2'!$H$4:$H$6,'4L3LT6ST+3L4LT4ST.M2'!$H$8:$H$10,'4L3LT6ST+3L4LT4ST.M2'!$H$12:$H$14,'4L3LT6ST+3L4LT4ST.M2'!$H$16:$H$18)</c:f>
              <c:numCache>
                <c:formatCode>0.000</c:formatCode>
                <c:ptCount val="12"/>
                <c:pt idx="0">
                  <c:v>2.4524994023406466E-2</c:v>
                </c:pt>
                <c:pt idx="1">
                  <c:v>3.6785346206034554E-2</c:v>
                </c:pt>
                <c:pt idx="2">
                  <c:v>4.9044728738706612E-2</c:v>
                </c:pt>
                <c:pt idx="3">
                  <c:v>4.9048553671414148E-2</c:v>
                </c:pt>
                <c:pt idx="4">
                  <c:v>7.3547026831425236E-2</c:v>
                </c:pt>
                <c:pt idx="5">
                  <c:v>9.7985377812172592E-2</c:v>
                </c:pt>
                <c:pt idx="6">
                  <c:v>9.8025039156215799E-2</c:v>
                </c:pt>
                <c:pt idx="7">
                  <c:v>0.14668217098994463</c:v>
                </c:pt>
                <c:pt idx="8">
                  <c:v>0.19451253064003743</c:v>
                </c:pt>
                <c:pt idx="9">
                  <c:v>0.24301562981902858</c:v>
                </c:pt>
                <c:pt idx="10">
                  <c:v>0.35918266531122112</c:v>
                </c:pt>
                <c:pt idx="11">
                  <c:v>0.4594976422215985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BA-4B44-82A4-A753B74E0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39439"/>
        <c:axId val="285172559"/>
      </c:scatterChart>
      <c:valAx>
        <c:axId val="36943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</a:t>
                </a:r>
                <a:r>
                  <a:rPr lang="en-US" baseline="0"/>
                  <a:t> (rad)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72559"/>
        <c:crosses val="autoZero"/>
        <c:crossBetween val="midCat"/>
      </c:valAx>
      <c:valAx>
        <c:axId val="2851725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(N-m)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39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Spring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Clockwise Torque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380696731090431"/>
                  <c:y val="-5.702476852490825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Spring 3'!$E$3:$E$18</c:f>
              <c:numCache>
                <c:formatCode>General</c:formatCode>
                <c:ptCount val="16"/>
                <c:pt idx="0">
                  <c:v>4.904908483692386E-3</c:v>
                </c:pt>
                <c:pt idx="1">
                  <c:v>7.3573627255385781E-3</c:v>
                </c:pt>
                <c:pt idx="2">
                  <c:v>9.8095802966948111E-3</c:v>
                </c:pt>
                <c:pt idx="3">
                  <c:v>0</c:v>
                </c:pt>
                <c:pt idx="4">
                  <c:v>9.8095145551742625E-3</c:v>
                </c:pt>
                <c:pt idx="5">
                  <c:v>1.4714271832761392E-2</c:v>
                </c:pt>
                <c:pt idx="6">
                  <c:v>1.9615479179262481E-2</c:v>
                </c:pt>
                <c:pt idx="7">
                  <c:v>0</c:v>
                </c:pt>
                <c:pt idx="8">
                  <c:v>2.4519348974078099E-2</c:v>
                </c:pt>
                <c:pt idx="9">
                  <c:v>3.6763494073820666E-2</c:v>
                </c:pt>
                <c:pt idx="10">
                  <c:v>4.8996351923461967E-2</c:v>
                </c:pt>
                <c:pt idx="11">
                  <c:v>0</c:v>
                </c:pt>
                <c:pt idx="12">
                  <c:v>4.9010827895743479E-2</c:v>
                </c:pt>
                <c:pt idx="13">
                  <c:v>7.337172960478093E-2</c:v>
                </c:pt>
                <c:pt idx="14">
                  <c:v>9.7650006612842608E-2</c:v>
                </c:pt>
                <c:pt idx="15">
                  <c:v>0</c:v>
                </c:pt>
              </c:numCache>
            </c:numRef>
          </c:xVal>
          <c:yVal>
            <c:numRef>
              <c:f>'Test Spring 3'!$D$3:$D$18</c:f>
              <c:numCache>
                <c:formatCode>General</c:formatCode>
                <c:ptCount val="16"/>
                <c:pt idx="0">
                  <c:v>6.1086523819801532E-3</c:v>
                </c:pt>
                <c:pt idx="1">
                  <c:v>6.1086523819801532E-3</c:v>
                </c:pt>
                <c:pt idx="2">
                  <c:v>9.250245035569947E-3</c:v>
                </c:pt>
                <c:pt idx="3">
                  <c:v>5.4105206811824215E-3</c:v>
                </c:pt>
                <c:pt idx="4">
                  <c:v>9.948376736367677E-3</c:v>
                </c:pt>
                <c:pt idx="5">
                  <c:v>9.948376736367677E-3</c:v>
                </c:pt>
                <c:pt idx="6">
                  <c:v>2.1467549799530253E-2</c:v>
                </c:pt>
                <c:pt idx="7">
                  <c:v>6.1086523819801532E-3</c:v>
                </c:pt>
                <c:pt idx="8">
                  <c:v>2.1467549799530253E-2</c:v>
                </c:pt>
                <c:pt idx="9">
                  <c:v>3.6128315516282622E-2</c:v>
                </c:pt>
                <c:pt idx="10">
                  <c:v>4.6774823953448036E-2</c:v>
                </c:pt>
                <c:pt idx="11">
                  <c:v>6.1086523819801532E-3</c:v>
                </c:pt>
                <c:pt idx="12">
                  <c:v>3.9968039870670144E-2</c:v>
                </c:pt>
                <c:pt idx="13">
                  <c:v>7.4351026134958434E-2</c:v>
                </c:pt>
                <c:pt idx="14">
                  <c:v>9.5818575934488698E-2</c:v>
                </c:pt>
                <c:pt idx="15">
                  <c:v>1.7627825445142728E-2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3D4-4E5C-8615-4FD854B8D82C}"/>
            </c:ext>
          </c:extLst>
        </c:ser>
        <c:ser>
          <c:idx val="1"/>
          <c:order val="1"/>
          <c:tx>
            <c:v>Counter-Clockwise Torque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304611071343362"/>
                  <c:y val="-1.07133120547556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Spring 3'!$H$3:$H$18</c:f>
              <c:numCache>
                <c:formatCode>General</c:formatCode>
                <c:ptCount val="16"/>
                <c:pt idx="0">
                  <c:v>4.9049757948151146E-3</c:v>
                </c:pt>
                <c:pt idx="1">
                  <c:v>7.3572418126589215E-3</c:v>
                </c:pt>
                <c:pt idx="2">
                  <c:v>9.8095802966948111E-3</c:v>
                </c:pt>
                <c:pt idx="3">
                  <c:v>0</c:v>
                </c:pt>
                <c:pt idx="4">
                  <c:v>9.8097609372199222E-3</c:v>
                </c:pt>
                <c:pt idx="5">
                  <c:v>1.4712529121163618E-2</c:v>
                </c:pt>
                <c:pt idx="6">
                  <c:v>1.9617470759857061E-2</c:v>
                </c:pt>
                <c:pt idx="7">
                  <c:v>0</c:v>
                </c:pt>
                <c:pt idx="8">
                  <c:v>2.4516141727185137E-2</c:v>
                </c:pt>
                <c:pt idx="9">
                  <c:v>3.675708575744803E-2</c:v>
                </c:pt>
                <c:pt idx="10">
                  <c:v>4.8983225973405847E-2</c:v>
                </c:pt>
                <c:pt idx="11">
                  <c:v>0</c:v>
                </c:pt>
                <c:pt idx="12">
                  <c:v>4.8991022095354816E-2</c:v>
                </c:pt>
                <c:pt idx="13">
                  <c:v>7.3303906979395261E-2</c:v>
                </c:pt>
                <c:pt idx="14">
                  <c:v>9.7399742881335558E-2</c:v>
                </c:pt>
                <c:pt idx="15">
                  <c:v>0</c:v>
                </c:pt>
              </c:numCache>
            </c:numRef>
          </c:xVal>
          <c:yVal>
            <c:numRef>
              <c:f>'Test Spring 3'!$G$3:$G$18</c:f>
              <c:numCache>
                <c:formatCode>General</c:formatCode>
                <c:ptCount val="16"/>
                <c:pt idx="0">
                  <c:v>3.1415926535897929E-3</c:v>
                </c:pt>
                <c:pt idx="1">
                  <c:v>8.377580409572781E-3</c:v>
                </c:pt>
                <c:pt idx="2">
                  <c:v>9.250245035569947E-3</c:v>
                </c:pt>
                <c:pt idx="3">
                  <c:v>5.4105206811824215E-3</c:v>
                </c:pt>
                <c:pt idx="4">
                  <c:v>6.9813170079773184E-3</c:v>
                </c:pt>
                <c:pt idx="5">
                  <c:v>1.8325957145940461E-2</c:v>
                </c:pt>
                <c:pt idx="6">
                  <c:v>1.6057029118347832E-2</c:v>
                </c:pt>
                <c:pt idx="7">
                  <c:v>0</c:v>
                </c:pt>
                <c:pt idx="8">
                  <c:v>2.6878070480712675E-2</c:v>
                </c:pt>
                <c:pt idx="9">
                  <c:v>4.0666171571467881E-2</c:v>
                </c:pt>
                <c:pt idx="10">
                  <c:v>5.2185344634630454E-2</c:v>
                </c:pt>
                <c:pt idx="11">
                  <c:v>9.250245035569947E-3</c:v>
                </c:pt>
                <c:pt idx="12">
                  <c:v>4.9043751981040662E-2</c:v>
                </c:pt>
                <c:pt idx="13">
                  <c:v>8.5870199198121014E-2</c:v>
                </c:pt>
                <c:pt idx="14">
                  <c:v>0.11955505376161157</c:v>
                </c:pt>
                <c:pt idx="15">
                  <c:v>1.7627825445142728E-2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3D4-4E5C-8615-4FD854B8D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923647"/>
        <c:axId val="2116997007"/>
      </c:scatterChart>
      <c:valAx>
        <c:axId val="1382923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(N-m)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97007"/>
        <c:crosses val="autoZero"/>
        <c:crossBetween val="midCat"/>
      </c:valAx>
      <c:valAx>
        <c:axId val="21169970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 (rad)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79077719451735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92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14286</xdr:rowOff>
    </xdr:from>
    <xdr:to>
      <xdr:col>17</xdr:col>
      <xdr:colOff>0</xdr:colOff>
      <xdr:row>18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FEC5E8-196A-1ABD-4FAC-43E2C9360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4761</xdr:rowOff>
    </xdr:from>
    <xdr:to>
      <xdr:col>20</xdr:col>
      <xdr:colOff>9525</xdr:colOff>
      <xdr:row>17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41B248-4575-4BB4-875C-0A66A91A89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4761</xdr:rowOff>
    </xdr:from>
    <xdr:to>
      <xdr:col>20</xdr:col>
      <xdr:colOff>9525</xdr:colOff>
      <xdr:row>17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D610C9-1D01-4640-BA20-C71292B548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14286</xdr:rowOff>
    </xdr:from>
    <xdr:to>
      <xdr:col>17</xdr:col>
      <xdr:colOff>0</xdr:colOff>
      <xdr:row>18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2DD3C-8D7F-4E12-B9BA-E459A9D51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14286</xdr:rowOff>
    </xdr:from>
    <xdr:to>
      <xdr:col>17</xdr:col>
      <xdr:colOff>0</xdr:colOff>
      <xdr:row>18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611277-AECD-449C-B288-5C0426796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14286</xdr:rowOff>
    </xdr:from>
    <xdr:to>
      <xdr:col>17</xdr:col>
      <xdr:colOff>0</xdr:colOff>
      <xdr:row>18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3C8876-37CC-4619-9857-C682186FE4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14286</xdr:rowOff>
    </xdr:from>
    <xdr:to>
      <xdr:col>17</xdr:col>
      <xdr:colOff>0</xdr:colOff>
      <xdr:row>18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67E764-E0ED-4D99-A1EF-C9FFA806B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31</xdr:row>
      <xdr:rowOff>14286</xdr:rowOff>
    </xdr:from>
    <xdr:to>
      <xdr:col>17</xdr:col>
      <xdr:colOff>0</xdr:colOff>
      <xdr:row>49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E9896E-8428-41D6-869C-8F98B0D3F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14286</xdr:rowOff>
    </xdr:from>
    <xdr:to>
      <xdr:col>17</xdr:col>
      <xdr:colOff>0</xdr:colOff>
      <xdr:row>18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B491BB-84C2-4DF6-974C-D653F6A87B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14286</xdr:rowOff>
    </xdr:from>
    <xdr:to>
      <xdr:col>17</xdr:col>
      <xdr:colOff>0</xdr:colOff>
      <xdr:row>18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505583-DF74-4FAA-B069-39F82B1950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4761</xdr:rowOff>
    </xdr:from>
    <xdr:to>
      <xdr:col>20</xdr:col>
      <xdr:colOff>9525</xdr:colOff>
      <xdr:row>17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3BE674-EFBF-E34D-BAEB-A83453F15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4761</xdr:rowOff>
    </xdr:from>
    <xdr:to>
      <xdr:col>20</xdr:col>
      <xdr:colOff>9525</xdr:colOff>
      <xdr:row>17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70B7A0-6EFC-41DD-87F7-13A239920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EBFFD-D877-4251-A7C8-DAFF0369D5AB}">
  <dimension ref="A1:P51"/>
  <sheetViews>
    <sheetView tabSelected="1" workbookViewId="0">
      <selection activeCell="G50" sqref="G50"/>
    </sheetView>
  </sheetViews>
  <sheetFormatPr defaultRowHeight="15" x14ac:dyDescent="0.25"/>
  <cols>
    <col min="1" max="10" width="21.85546875" customWidth="1"/>
    <col min="11" max="13" width="21.28515625" customWidth="1"/>
    <col min="14" max="15" width="20.140625" customWidth="1"/>
    <col min="16" max="16" width="60" customWidth="1"/>
  </cols>
  <sheetData>
    <row r="1" spans="1:16" ht="45" customHeight="1" x14ac:dyDescent="0.25">
      <c r="A1" s="5" t="s">
        <v>19</v>
      </c>
      <c r="B1" s="5" t="s">
        <v>20</v>
      </c>
      <c r="C1" s="6" t="s">
        <v>18</v>
      </c>
      <c r="D1" s="5" t="s">
        <v>21</v>
      </c>
      <c r="E1" s="5" t="s">
        <v>30</v>
      </c>
      <c r="F1" s="5" t="s">
        <v>31</v>
      </c>
      <c r="G1" s="5"/>
      <c r="H1" s="5" t="s">
        <v>22</v>
      </c>
      <c r="I1" s="5" t="s">
        <v>29</v>
      </c>
      <c r="J1" s="5" t="s">
        <v>23</v>
      </c>
      <c r="K1" s="5" t="s">
        <v>24</v>
      </c>
      <c r="L1" s="5" t="s">
        <v>27</v>
      </c>
      <c r="M1" s="5" t="s">
        <v>28</v>
      </c>
      <c r="N1" s="5" t="s">
        <v>25</v>
      </c>
      <c r="O1" s="5" t="s">
        <v>26</v>
      </c>
      <c r="P1" s="5" t="s">
        <v>14</v>
      </c>
    </row>
    <row r="2" spans="1:16" x14ac:dyDescent="0.25">
      <c r="A2" s="3">
        <v>54</v>
      </c>
      <c r="B2" s="3">
        <v>14</v>
      </c>
      <c r="C2" s="2">
        <v>2</v>
      </c>
      <c r="D2" s="2">
        <v>2</v>
      </c>
      <c r="E2" s="2">
        <f>(A2-B2)/2</f>
        <v>20</v>
      </c>
      <c r="F2" s="2">
        <v>1</v>
      </c>
      <c r="G2" s="2"/>
      <c r="H2" s="2"/>
      <c r="I2" s="2">
        <f>H2</f>
        <v>0</v>
      </c>
      <c r="J2" s="2">
        <v>2</v>
      </c>
      <c r="K2" s="3">
        <v>2.4</v>
      </c>
      <c r="L2" s="2" t="s">
        <v>32</v>
      </c>
      <c r="M2" s="2" t="s">
        <v>32</v>
      </c>
      <c r="N2" s="2"/>
      <c r="O2" s="2" t="e">
        <f>C2*((K2*J2*D2^3)/(12*I2))</f>
        <v>#DIV/0!</v>
      </c>
    </row>
    <row r="3" spans="1:16" x14ac:dyDescent="0.25">
      <c r="A3" s="3">
        <v>54</v>
      </c>
      <c r="B3" s="3">
        <v>14</v>
      </c>
      <c r="C3" s="2">
        <v>2</v>
      </c>
      <c r="D3" s="2">
        <v>2</v>
      </c>
      <c r="E3" s="2">
        <f t="shared" ref="E3:E22" si="0">(A3-B3)/2</f>
        <v>20</v>
      </c>
      <c r="F3" s="2">
        <v>1</v>
      </c>
      <c r="G3" s="2"/>
      <c r="H3" s="2"/>
      <c r="I3" s="2">
        <f t="shared" ref="I3:I22" si="1">H3</f>
        <v>0</v>
      </c>
      <c r="J3" s="2">
        <v>4</v>
      </c>
      <c r="K3" s="3">
        <v>2.4</v>
      </c>
      <c r="L3" s="2" t="s">
        <v>32</v>
      </c>
      <c r="M3" s="2" t="s">
        <v>32</v>
      </c>
      <c r="N3" s="2"/>
      <c r="O3" s="2"/>
    </row>
    <row r="4" spans="1:16" x14ac:dyDescent="0.25">
      <c r="A4" s="3">
        <v>54</v>
      </c>
      <c r="B4" s="3">
        <v>14</v>
      </c>
      <c r="C4" s="2">
        <v>2</v>
      </c>
      <c r="D4" s="2">
        <v>2</v>
      </c>
      <c r="E4" s="2">
        <f t="shared" si="0"/>
        <v>20</v>
      </c>
      <c r="F4" s="2">
        <v>1</v>
      </c>
      <c r="G4" s="2"/>
      <c r="H4" s="2"/>
      <c r="I4" s="2">
        <f t="shared" si="1"/>
        <v>0</v>
      </c>
      <c r="J4" s="2">
        <v>6</v>
      </c>
      <c r="K4" s="3">
        <v>2.4</v>
      </c>
      <c r="L4" s="2" t="s">
        <v>32</v>
      </c>
      <c r="M4" s="2" t="s">
        <v>32</v>
      </c>
      <c r="N4" s="2"/>
      <c r="O4" s="2"/>
    </row>
    <row r="5" spans="1:16" x14ac:dyDescent="0.25">
      <c r="A5" s="3">
        <v>54</v>
      </c>
      <c r="B5" s="3">
        <v>14</v>
      </c>
      <c r="C5" s="2">
        <v>2</v>
      </c>
      <c r="D5" s="2">
        <v>3</v>
      </c>
      <c r="E5" s="2">
        <f t="shared" si="0"/>
        <v>20</v>
      </c>
      <c r="F5" s="2">
        <v>1</v>
      </c>
      <c r="G5" s="2"/>
      <c r="H5" s="2"/>
      <c r="I5" s="2">
        <f t="shared" si="1"/>
        <v>0</v>
      </c>
      <c r="J5" s="2">
        <v>2</v>
      </c>
      <c r="K5" s="3">
        <v>2.4</v>
      </c>
      <c r="L5" s="2" t="s">
        <v>32</v>
      </c>
      <c r="M5" s="2" t="s">
        <v>32</v>
      </c>
      <c r="N5" s="2"/>
      <c r="O5" s="2"/>
    </row>
    <row r="6" spans="1:16" x14ac:dyDescent="0.25">
      <c r="A6" s="3">
        <v>54</v>
      </c>
      <c r="B6" s="3">
        <v>14</v>
      </c>
      <c r="C6" s="2">
        <v>2</v>
      </c>
      <c r="D6" s="2">
        <v>3</v>
      </c>
      <c r="E6" s="2">
        <f t="shared" si="0"/>
        <v>20</v>
      </c>
      <c r="F6" s="2">
        <v>1</v>
      </c>
      <c r="G6" s="2"/>
      <c r="H6" s="2"/>
      <c r="I6" s="2">
        <f t="shared" si="1"/>
        <v>0</v>
      </c>
      <c r="J6" s="2">
        <v>4</v>
      </c>
      <c r="K6" s="3">
        <v>2.4</v>
      </c>
      <c r="L6" s="2" t="s">
        <v>32</v>
      </c>
      <c r="M6" s="2" t="s">
        <v>32</v>
      </c>
      <c r="N6" s="2"/>
      <c r="O6" s="2"/>
    </row>
    <row r="7" spans="1:16" x14ac:dyDescent="0.25">
      <c r="A7" s="3">
        <v>54</v>
      </c>
      <c r="B7" s="3">
        <v>14</v>
      </c>
      <c r="C7" s="2">
        <v>2</v>
      </c>
      <c r="D7" s="2">
        <v>3</v>
      </c>
      <c r="E7" s="2">
        <f t="shared" si="0"/>
        <v>20</v>
      </c>
      <c r="F7" s="2">
        <v>1</v>
      </c>
      <c r="G7" s="2"/>
      <c r="H7" s="2"/>
      <c r="I7" s="2">
        <f t="shared" si="1"/>
        <v>0</v>
      </c>
      <c r="J7" s="2">
        <v>6</v>
      </c>
      <c r="K7" s="3">
        <v>2.4</v>
      </c>
      <c r="L7" s="2" t="s">
        <v>32</v>
      </c>
      <c r="M7" s="2" t="s">
        <v>32</v>
      </c>
      <c r="N7" s="2"/>
      <c r="O7" s="2"/>
    </row>
    <row r="8" spans="1:16" x14ac:dyDescent="0.25">
      <c r="A8" s="3">
        <v>54</v>
      </c>
      <c r="B8" s="3">
        <v>14</v>
      </c>
      <c r="C8" s="2">
        <v>2</v>
      </c>
      <c r="D8" s="2">
        <v>4</v>
      </c>
      <c r="E8" s="2">
        <f t="shared" si="0"/>
        <v>20</v>
      </c>
      <c r="F8" s="2">
        <v>1</v>
      </c>
      <c r="G8" s="2"/>
      <c r="H8" s="2"/>
      <c r="I8" s="2">
        <f t="shared" si="1"/>
        <v>0</v>
      </c>
      <c r="J8" s="2">
        <v>2</v>
      </c>
      <c r="K8" s="3">
        <v>2.4</v>
      </c>
      <c r="L8" s="2" t="s">
        <v>32</v>
      </c>
      <c r="M8" s="2" t="s">
        <v>32</v>
      </c>
      <c r="N8" s="2"/>
      <c r="O8" s="2"/>
    </row>
    <row r="9" spans="1:16" x14ac:dyDescent="0.25">
      <c r="A9" s="3">
        <v>54</v>
      </c>
      <c r="B9" s="3">
        <v>14</v>
      </c>
      <c r="C9" s="2">
        <v>2</v>
      </c>
      <c r="D9" s="2">
        <v>4</v>
      </c>
      <c r="E9" s="2">
        <f t="shared" si="0"/>
        <v>20</v>
      </c>
      <c r="F9" s="2">
        <v>1</v>
      </c>
      <c r="G9" s="2"/>
      <c r="H9" s="2"/>
      <c r="I9" s="2">
        <f t="shared" si="1"/>
        <v>0</v>
      </c>
      <c r="J9" s="2">
        <v>4</v>
      </c>
      <c r="K9" s="3">
        <v>2.4</v>
      </c>
      <c r="L9" s="2" t="s">
        <v>32</v>
      </c>
      <c r="M9" s="2" t="s">
        <v>32</v>
      </c>
      <c r="N9" s="2"/>
      <c r="O9" s="2"/>
    </row>
    <row r="10" spans="1:16" x14ac:dyDescent="0.25">
      <c r="A10" s="3">
        <v>54</v>
      </c>
      <c r="B10" s="3">
        <v>14</v>
      </c>
      <c r="C10" s="2">
        <v>2</v>
      </c>
      <c r="D10" s="2">
        <v>4</v>
      </c>
      <c r="E10" s="2">
        <f t="shared" si="0"/>
        <v>20</v>
      </c>
      <c r="F10" s="2">
        <v>1</v>
      </c>
      <c r="G10" s="2"/>
      <c r="H10" s="2"/>
      <c r="I10" s="2">
        <f t="shared" si="1"/>
        <v>0</v>
      </c>
      <c r="J10" s="2">
        <v>6</v>
      </c>
      <c r="K10" s="3">
        <v>2.4</v>
      </c>
      <c r="L10" s="2" t="s">
        <v>32</v>
      </c>
      <c r="M10" s="2" t="s">
        <v>32</v>
      </c>
      <c r="N10" s="2"/>
      <c r="O10" s="2"/>
    </row>
    <row r="11" spans="1:16" x14ac:dyDescent="0.25">
      <c r="A11" s="3">
        <v>54</v>
      </c>
      <c r="B11" s="3">
        <v>14</v>
      </c>
      <c r="C11" s="2">
        <v>2</v>
      </c>
      <c r="D11" s="2">
        <v>6</v>
      </c>
      <c r="E11" s="2">
        <f t="shared" si="0"/>
        <v>20</v>
      </c>
      <c r="F11" s="2">
        <v>1</v>
      </c>
      <c r="G11" s="2"/>
      <c r="H11" s="2"/>
      <c r="I11" s="2">
        <f t="shared" si="1"/>
        <v>0</v>
      </c>
      <c r="J11" s="2">
        <v>2</v>
      </c>
      <c r="K11" s="3">
        <v>2.4</v>
      </c>
      <c r="L11" s="2" t="s">
        <v>32</v>
      </c>
      <c r="M11" s="2" t="s">
        <v>32</v>
      </c>
      <c r="N11" s="2"/>
      <c r="O11" s="2"/>
    </row>
    <row r="12" spans="1:16" x14ac:dyDescent="0.25">
      <c r="A12" s="3">
        <v>54</v>
      </c>
      <c r="B12" s="3">
        <v>14</v>
      </c>
      <c r="C12" s="2">
        <v>2</v>
      </c>
      <c r="D12" s="2">
        <v>6</v>
      </c>
      <c r="E12" s="2">
        <f t="shared" si="0"/>
        <v>20</v>
      </c>
      <c r="F12" s="2">
        <v>1</v>
      </c>
      <c r="G12" s="2"/>
      <c r="H12" s="2"/>
      <c r="I12" s="2">
        <f t="shared" si="1"/>
        <v>0</v>
      </c>
      <c r="J12" s="2">
        <v>4</v>
      </c>
      <c r="K12" s="3">
        <v>2.4</v>
      </c>
      <c r="L12" s="2" t="s">
        <v>32</v>
      </c>
      <c r="M12" s="2" t="s">
        <v>32</v>
      </c>
      <c r="N12" s="2"/>
      <c r="O12" s="2"/>
    </row>
    <row r="13" spans="1:16" x14ac:dyDescent="0.25">
      <c r="A13" s="3">
        <v>54</v>
      </c>
      <c r="B13" s="3">
        <v>14</v>
      </c>
      <c r="C13" s="2">
        <v>2</v>
      </c>
      <c r="D13" s="2">
        <v>6</v>
      </c>
      <c r="E13" s="2">
        <f t="shared" si="0"/>
        <v>20</v>
      </c>
      <c r="F13" s="2">
        <v>1</v>
      </c>
      <c r="G13" s="2"/>
      <c r="H13" s="2"/>
      <c r="I13" s="2">
        <f t="shared" si="1"/>
        <v>0</v>
      </c>
      <c r="J13" s="2">
        <v>6</v>
      </c>
      <c r="K13" s="3">
        <v>2.4</v>
      </c>
      <c r="L13" s="2" t="s">
        <v>32</v>
      </c>
      <c r="M13" s="2" t="s">
        <v>32</v>
      </c>
      <c r="N13" s="2"/>
      <c r="O13" s="2"/>
    </row>
    <row r="14" spans="1:16" x14ac:dyDescent="0.25">
      <c r="A14" s="3">
        <v>54</v>
      </c>
      <c r="B14" s="3">
        <v>14</v>
      </c>
      <c r="C14" s="2">
        <v>3</v>
      </c>
      <c r="D14" s="2">
        <v>2</v>
      </c>
      <c r="E14" s="2">
        <f t="shared" si="0"/>
        <v>20</v>
      </c>
      <c r="F14" s="2">
        <v>1</v>
      </c>
      <c r="G14" s="2"/>
      <c r="H14" s="2"/>
      <c r="I14" s="2">
        <f t="shared" si="1"/>
        <v>0</v>
      </c>
      <c r="J14" s="2">
        <v>2</v>
      </c>
      <c r="K14" s="3">
        <v>2.4</v>
      </c>
      <c r="L14" s="2" t="s">
        <v>32</v>
      </c>
      <c r="M14" s="2" t="s">
        <v>32</v>
      </c>
      <c r="N14" s="2"/>
      <c r="O14" s="2"/>
    </row>
    <row r="15" spans="1:16" x14ac:dyDescent="0.25">
      <c r="A15" s="3">
        <v>54</v>
      </c>
      <c r="B15" s="3">
        <v>14</v>
      </c>
      <c r="C15" s="2">
        <v>3</v>
      </c>
      <c r="D15" s="2">
        <v>2</v>
      </c>
      <c r="E15" s="2">
        <f t="shared" si="0"/>
        <v>20</v>
      </c>
      <c r="F15" s="2">
        <v>1</v>
      </c>
      <c r="G15" s="2"/>
      <c r="H15" s="2"/>
      <c r="I15" s="2">
        <f t="shared" si="1"/>
        <v>0</v>
      </c>
      <c r="J15" s="2">
        <v>4</v>
      </c>
      <c r="K15" s="3">
        <v>2.4</v>
      </c>
      <c r="L15" s="2" t="s">
        <v>32</v>
      </c>
      <c r="M15" s="2" t="s">
        <v>32</v>
      </c>
      <c r="N15" s="2"/>
      <c r="O15" s="2"/>
    </row>
    <row r="16" spans="1:16" x14ac:dyDescent="0.25">
      <c r="A16" s="3">
        <v>54</v>
      </c>
      <c r="B16" s="3">
        <v>14</v>
      </c>
      <c r="C16" s="2">
        <v>3</v>
      </c>
      <c r="D16" s="2">
        <v>2</v>
      </c>
      <c r="E16" s="2">
        <f t="shared" si="0"/>
        <v>20</v>
      </c>
      <c r="F16" s="2">
        <v>1</v>
      </c>
      <c r="G16" s="2"/>
      <c r="H16" s="2"/>
      <c r="I16" s="2">
        <f t="shared" si="1"/>
        <v>0</v>
      </c>
      <c r="J16" s="2">
        <v>6</v>
      </c>
      <c r="K16" s="3">
        <v>2.4</v>
      </c>
      <c r="L16" s="2" t="s">
        <v>32</v>
      </c>
      <c r="M16" s="2" t="s">
        <v>32</v>
      </c>
      <c r="N16" s="2"/>
      <c r="O16" s="2"/>
    </row>
    <row r="17" spans="1:15" x14ac:dyDescent="0.25">
      <c r="A17" s="3">
        <v>54</v>
      </c>
      <c r="B17" s="3">
        <v>14</v>
      </c>
      <c r="C17" s="2">
        <v>3</v>
      </c>
      <c r="D17" s="2">
        <v>3</v>
      </c>
      <c r="E17" s="2">
        <f t="shared" si="0"/>
        <v>20</v>
      </c>
      <c r="F17" s="2">
        <v>1</v>
      </c>
      <c r="G17" s="2"/>
      <c r="H17" s="2"/>
      <c r="I17" s="2">
        <f t="shared" si="1"/>
        <v>0</v>
      </c>
      <c r="J17" s="2">
        <v>2</v>
      </c>
      <c r="K17" s="3">
        <v>2.4</v>
      </c>
      <c r="L17" s="2" t="s">
        <v>32</v>
      </c>
      <c r="M17" s="2" t="s">
        <v>32</v>
      </c>
      <c r="N17" s="2"/>
      <c r="O17" s="2"/>
    </row>
    <row r="18" spans="1:15" x14ac:dyDescent="0.25">
      <c r="A18" s="3">
        <v>54</v>
      </c>
      <c r="B18" s="3">
        <v>14</v>
      </c>
      <c r="C18" s="2">
        <v>3</v>
      </c>
      <c r="D18" s="2">
        <v>3</v>
      </c>
      <c r="E18" s="2">
        <f t="shared" si="0"/>
        <v>20</v>
      </c>
      <c r="F18" s="2">
        <v>1</v>
      </c>
      <c r="G18" s="2"/>
      <c r="H18" s="2"/>
      <c r="I18" s="2">
        <f t="shared" si="1"/>
        <v>0</v>
      </c>
      <c r="J18" s="2">
        <v>4</v>
      </c>
      <c r="K18" s="3">
        <v>2.4</v>
      </c>
      <c r="L18" s="2" t="s">
        <v>32</v>
      </c>
      <c r="M18" s="2" t="s">
        <v>32</v>
      </c>
      <c r="N18" s="2"/>
      <c r="O18" s="2"/>
    </row>
    <row r="19" spans="1:15" x14ac:dyDescent="0.25">
      <c r="A19" s="3">
        <v>54</v>
      </c>
      <c r="B19" s="3">
        <v>14</v>
      </c>
      <c r="C19" s="2">
        <v>3</v>
      </c>
      <c r="D19" s="2">
        <v>3</v>
      </c>
      <c r="E19" s="2">
        <f t="shared" si="0"/>
        <v>20</v>
      </c>
      <c r="F19" s="2">
        <v>1</v>
      </c>
      <c r="G19" s="2"/>
      <c r="H19" s="2"/>
      <c r="I19" s="2">
        <f t="shared" si="1"/>
        <v>0</v>
      </c>
      <c r="J19" s="2">
        <v>6</v>
      </c>
      <c r="K19" s="3">
        <v>2.4</v>
      </c>
      <c r="L19" s="2" t="s">
        <v>32</v>
      </c>
      <c r="M19" s="2" t="s">
        <v>32</v>
      </c>
      <c r="N19" s="2"/>
      <c r="O19" s="2"/>
    </row>
    <row r="20" spans="1:15" x14ac:dyDescent="0.25">
      <c r="A20" s="3">
        <v>54</v>
      </c>
      <c r="B20" s="3">
        <v>14</v>
      </c>
      <c r="C20" s="2">
        <v>3</v>
      </c>
      <c r="D20" s="2">
        <v>4</v>
      </c>
      <c r="E20" s="2">
        <f t="shared" si="0"/>
        <v>20</v>
      </c>
      <c r="F20" s="2">
        <v>1</v>
      </c>
      <c r="G20" s="2"/>
      <c r="H20" s="2"/>
      <c r="I20" s="2">
        <f t="shared" si="1"/>
        <v>0</v>
      </c>
      <c r="J20" s="2">
        <v>2</v>
      </c>
      <c r="K20" s="3">
        <v>2.4</v>
      </c>
      <c r="L20" s="2" t="s">
        <v>32</v>
      </c>
      <c r="M20" s="2" t="s">
        <v>32</v>
      </c>
      <c r="N20" s="2"/>
      <c r="O20" s="2"/>
    </row>
    <row r="21" spans="1:15" x14ac:dyDescent="0.25">
      <c r="A21" s="3">
        <v>54</v>
      </c>
      <c r="B21" s="3">
        <v>14</v>
      </c>
      <c r="C21" s="2">
        <v>3</v>
      </c>
      <c r="D21" s="2">
        <v>4</v>
      </c>
      <c r="E21" s="2">
        <f t="shared" si="0"/>
        <v>20</v>
      </c>
      <c r="F21" s="2">
        <v>1</v>
      </c>
      <c r="G21" s="2"/>
      <c r="H21" s="2"/>
      <c r="I21" s="2">
        <f t="shared" si="1"/>
        <v>0</v>
      </c>
      <c r="J21" s="2">
        <v>4</v>
      </c>
      <c r="K21" s="3">
        <v>2.4</v>
      </c>
      <c r="L21" s="2" t="s">
        <v>32</v>
      </c>
      <c r="M21" s="2" t="s">
        <v>32</v>
      </c>
      <c r="N21" s="2"/>
      <c r="O21" s="2"/>
    </row>
    <row r="22" spans="1:15" x14ac:dyDescent="0.25">
      <c r="A22" s="3">
        <v>54</v>
      </c>
      <c r="B22" s="3">
        <v>14</v>
      </c>
      <c r="C22" s="2">
        <v>3</v>
      </c>
      <c r="D22" s="2">
        <v>4</v>
      </c>
      <c r="E22" s="2">
        <f t="shared" si="0"/>
        <v>20</v>
      </c>
      <c r="F22" s="2">
        <v>1</v>
      </c>
      <c r="G22" s="2"/>
      <c r="H22" s="2"/>
      <c r="I22" s="2">
        <f t="shared" si="1"/>
        <v>0</v>
      </c>
      <c r="J22" s="2">
        <v>6</v>
      </c>
      <c r="K22" s="3">
        <v>2.4</v>
      </c>
      <c r="L22" s="2" t="s">
        <v>32</v>
      </c>
      <c r="M22" s="2" t="s">
        <v>32</v>
      </c>
      <c r="N22" s="2"/>
      <c r="O22" s="2"/>
    </row>
    <row r="23" spans="1:15" x14ac:dyDescent="0.25">
      <c r="J23" s="2"/>
    </row>
    <row r="24" spans="1:15" x14ac:dyDescent="0.25">
      <c r="J24" s="2"/>
    </row>
    <row r="25" spans="1:15" x14ac:dyDescent="0.25">
      <c r="J25" s="2"/>
    </row>
    <row r="35" spans="3:8" x14ac:dyDescent="0.25">
      <c r="C35" s="2" t="s">
        <v>71</v>
      </c>
      <c r="D35" s="2" t="s">
        <v>72</v>
      </c>
      <c r="E35" s="2" t="s">
        <v>73</v>
      </c>
      <c r="F35" s="2" t="s">
        <v>70</v>
      </c>
      <c r="G35" s="2" t="s">
        <v>74</v>
      </c>
      <c r="H35" s="2" t="s">
        <v>75</v>
      </c>
    </row>
    <row r="36" spans="3:8" x14ac:dyDescent="0.25">
      <c r="C36" s="2">
        <v>44</v>
      </c>
      <c r="D36" s="2">
        <v>14</v>
      </c>
      <c r="E36" s="2">
        <v>19</v>
      </c>
      <c r="F36" s="2">
        <v>2</v>
      </c>
      <c r="G36" s="2">
        <v>4</v>
      </c>
      <c r="H36" s="2" t="s">
        <v>76</v>
      </c>
    </row>
    <row r="37" spans="3:8" x14ac:dyDescent="0.25">
      <c r="C37" s="2">
        <v>54</v>
      </c>
      <c r="D37" s="2">
        <v>14</v>
      </c>
      <c r="E37" s="2">
        <v>33</v>
      </c>
      <c r="F37" s="2">
        <v>3</v>
      </c>
      <c r="G37" s="2">
        <v>6</v>
      </c>
      <c r="H37" s="2" t="s">
        <v>76</v>
      </c>
    </row>
    <row r="38" spans="3:8" x14ac:dyDescent="0.25">
      <c r="C38" s="2">
        <v>54</v>
      </c>
      <c r="D38" s="2">
        <v>14</v>
      </c>
      <c r="E38" s="2">
        <v>20</v>
      </c>
      <c r="F38" s="2">
        <v>4</v>
      </c>
      <c r="G38" s="2">
        <v>3</v>
      </c>
      <c r="H38" s="2" t="s">
        <v>76</v>
      </c>
    </row>
    <row r="39" spans="3:8" x14ac:dyDescent="0.25">
      <c r="C39" s="2">
        <v>54</v>
      </c>
      <c r="D39" s="2">
        <v>14</v>
      </c>
      <c r="E39" s="2">
        <v>20</v>
      </c>
      <c r="F39" s="2">
        <v>3</v>
      </c>
      <c r="G39" s="2">
        <v>4</v>
      </c>
      <c r="H39" s="2" t="s">
        <v>76</v>
      </c>
    </row>
    <row r="40" spans="3:8" x14ac:dyDescent="0.25">
      <c r="C40" s="2">
        <v>54</v>
      </c>
      <c r="D40" s="2">
        <v>14</v>
      </c>
      <c r="E40" s="2">
        <v>20</v>
      </c>
      <c r="F40" s="2">
        <v>2</v>
      </c>
      <c r="G40" s="2">
        <v>5</v>
      </c>
      <c r="H40" s="2" t="s">
        <v>76</v>
      </c>
    </row>
    <row r="41" spans="3:8" x14ac:dyDescent="0.25">
      <c r="C41" s="2">
        <v>54</v>
      </c>
      <c r="D41" s="2">
        <v>14</v>
      </c>
      <c r="E41" s="2">
        <v>20</v>
      </c>
      <c r="F41" s="2">
        <v>2</v>
      </c>
      <c r="G41" s="2">
        <v>5</v>
      </c>
      <c r="H41" s="24" t="s">
        <v>77</v>
      </c>
    </row>
    <row r="42" spans="3:8" x14ac:dyDescent="0.25">
      <c r="C42" s="2"/>
      <c r="D42" s="2"/>
      <c r="E42" s="2"/>
      <c r="F42" s="2"/>
      <c r="G42" s="2"/>
      <c r="H42" s="2"/>
    </row>
    <row r="43" spans="3:8" x14ac:dyDescent="0.25">
      <c r="C43" s="2"/>
      <c r="D43" s="2"/>
      <c r="E43" s="2"/>
      <c r="F43" s="2"/>
      <c r="G43" s="2"/>
      <c r="H43" s="2"/>
    </row>
    <row r="44" spans="3:8" x14ac:dyDescent="0.25">
      <c r="C44" s="2" t="s">
        <v>74</v>
      </c>
      <c r="D44" s="2" t="s">
        <v>78</v>
      </c>
      <c r="E44" s="2"/>
      <c r="F44" s="2"/>
      <c r="G44" s="2"/>
      <c r="H44" s="2"/>
    </row>
    <row r="45" spans="3:8" x14ac:dyDescent="0.25">
      <c r="C45" s="2">
        <v>2</v>
      </c>
      <c r="D45" s="2">
        <v>4</v>
      </c>
      <c r="E45" s="2"/>
      <c r="F45" s="2"/>
      <c r="G45" s="2"/>
      <c r="H45" s="2"/>
    </row>
    <row r="46" spans="3:8" x14ac:dyDescent="0.25">
      <c r="C46" s="2">
        <v>3</v>
      </c>
      <c r="D46" s="2">
        <v>4</v>
      </c>
      <c r="E46" s="2"/>
      <c r="F46" s="2"/>
      <c r="G46" s="2"/>
      <c r="H46" s="2"/>
    </row>
    <row r="47" spans="3:8" x14ac:dyDescent="0.25">
      <c r="C47" s="2">
        <v>4</v>
      </c>
      <c r="D47" s="2">
        <v>4</v>
      </c>
      <c r="E47" s="2"/>
      <c r="F47" s="2"/>
      <c r="G47" s="2"/>
      <c r="H47" s="2"/>
    </row>
    <row r="48" spans="3:8" x14ac:dyDescent="0.25">
      <c r="C48" s="2">
        <v>5</v>
      </c>
      <c r="D48" s="2">
        <v>2</v>
      </c>
      <c r="E48" s="2"/>
      <c r="F48" s="2"/>
      <c r="G48" s="2"/>
      <c r="H48" s="2"/>
    </row>
    <row r="49" spans="3:8" x14ac:dyDescent="0.25">
      <c r="C49" s="2">
        <v>5</v>
      </c>
      <c r="D49" s="2">
        <v>4</v>
      </c>
      <c r="E49" s="2"/>
      <c r="F49" s="2"/>
      <c r="G49" s="2"/>
      <c r="H49" s="2"/>
    </row>
    <row r="50" spans="3:8" x14ac:dyDescent="0.25">
      <c r="C50" s="2">
        <v>5</v>
      </c>
      <c r="D50" s="2">
        <v>8</v>
      </c>
      <c r="E50" s="2"/>
      <c r="F50" s="2"/>
      <c r="G50" s="2"/>
      <c r="H50" s="2"/>
    </row>
    <row r="51" spans="3:8" x14ac:dyDescent="0.25">
      <c r="C51" s="2">
        <v>5</v>
      </c>
      <c r="D51" s="2">
        <v>12</v>
      </c>
      <c r="E51" s="2"/>
      <c r="F51" s="2"/>
      <c r="G51" s="2"/>
      <c r="H51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A47AA-D9B0-4A8D-A01C-E20429437D7C}">
  <dimension ref="A1:M26"/>
  <sheetViews>
    <sheetView zoomScaleNormal="100" workbookViewId="0">
      <selection activeCell="F23" sqref="F23"/>
    </sheetView>
  </sheetViews>
  <sheetFormatPr defaultRowHeight="15" x14ac:dyDescent="0.25"/>
  <cols>
    <col min="1" max="8" width="15.85546875" customWidth="1"/>
  </cols>
  <sheetData>
    <row r="1" spans="1:8" x14ac:dyDescent="0.25">
      <c r="C1" s="21" t="s">
        <v>5</v>
      </c>
      <c r="D1" s="21"/>
      <c r="E1" s="21"/>
      <c r="F1" s="21" t="s">
        <v>6</v>
      </c>
      <c r="G1" s="21"/>
      <c r="H1" s="21"/>
    </row>
    <row r="2" spans="1:8" x14ac:dyDescent="0.25">
      <c r="A2" t="s">
        <v>1</v>
      </c>
      <c r="B2" t="s">
        <v>2</v>
      </c>
      <c r="C2" t="s">
        <v>3</v>
      </c>
      <c r="D2" t="s">
        <v>8</v>
      </c>
      <c r="E2" t="s">
        <v>7</v>
      </c>
      <c r="F2" t="s">
        <v>3</v>
      </c>
      <c r="G2" t="s">
        <v>8</v>
      </c>
      <c r="H2" t="s">
        <v>4</v>
      </c>
    </row>
    <row r="3" spans="1:8" x14ac:dyDescent="0.25">
      <c r="A3" s="22">
        <v>50</v>
      </c>
      <c r="B3">
        <v>50</v>
      </c>
      <c r="C3">
        <v>0.22</v>
      </c>
      <c r="D3">
        <f t="shared" ref="D3:D16" si="0">RADIANS(C3)</f>
        <v>3.8397243543875251E-3</v>
      </c>
      <c r="E3">
        <f>(A$3*9.81*COS(D3)*B3)/(1000*1000)</f>
        <v>2.4524819208260391E-2</v>
      </c>
      <c r="F3">
        <v>0.31</v>
      </c>
      <c r="G3">
        <f>RADIANS(F3)</f>
        <v>5.4105206811824215E-3</v>
      </c>
      <c r="H3">
        <f>(A$3*9.81*COS(G3)*B3)/(1000*1000)</f>
        <v>2.4524641031712015E-2</v>
      </c>
    </row>
    <row r="4" spans="1:8" x14ac:dyDescent="0.25">
      <c r="A4" s="22"/>
      <c r="B4">
        <v>75</v>
      </c>
      <c r="C4">
        <v>0.4</v>
      </c>
      <c r="D4">
        <f t="shared" si="0"/>
        <v>6.9813170079773184E-3</v>
      </c>
      <c r="E4">
        <f t="shared" ref="E4:E6" si="1">(A$3*9.81*COS(D4)*B4)/(1000*1000)</f>
        <v>3.678660351457471E-2</v>
      </c>
      <c r="F4">
        <v>0.48</v>
      </c>
      <c r="G4">
        <f t="shared" ref="G4:G14" si="2">RADIANS(F4)</f>
        <v>8.377580409572781E-3</v>
      </c>
      <c r="H4">
        <f t="shared" ref="H4:H6" si="3">(A$3*9.81*COS(G4)*B4)/(1000*1000)</f>
        <v>3.6786209063294606E-2</v>
      </c>
    </row>
    <row r="5" spans="1:8" x14ac:dyDescent="0.25">
      <c r="A5" s="22"/>
      <c r="B5">
        <v>100</v>
      </c>
      <c r="C5">
        <v>0.62</v>
      </c>
      <c r="D5">
        <f t="shared" si="0"/>
        <v>1.0821041362364843E-2</v>
      </c>
      <c r="E5">
        <f t="shared" si="1"/>
        <v>4.9047128274712734E-2</v>
      </c>
      <c r="F5">
        <v>0.7</v>
      </c>
      <c r="G5">
        <f t="shared" si="2"/>
        <v>1.2217304763960306E-2</v>
      </c>
      <c r="H5">
        <f t="shared" si="3"/>
        <v>4.9046339381845175E-2</v>
      </c>
    </row>
    <row r="6" spans="1:8" x14ac:dyDescent="0.25">
      <c r="A6" s="1" t="s">
        <v>0</v>
      </c>
      <c r="B6">
        <v>0</v>
      </c>
      <c r="C6">
        <v>0.18</v>
      </c>
      <c r="D6">
        <f t="shared" si="0"/>
        <v>3.1415926535897929E-3</v>
      </c>
      <c r="E6">
        <f t="shared" si="1"/>
        <v>0</v>
      </c>
      <c r="F6">
        <v>0.26</v>
      </c>
      <c r="G6">
        <f t="shared" si="2"/>
        <v>4.5378560551852572E-3</v>
      </c>
      <c r="H6">
        <f t="shared" si="3"/>
        <v>0</v>
      </c>
    </row>
    <row r="7" spans="1:8" x14ac:dyDescent="0.25">
      <c r="A7" s="22">
        <v>100</v>
      </c>
      <c r="B7">
        <v>50</v>
      </c>
      <c r="C7">
        <v>0.62</v>
      </c>
      <c r="D7">
        <f t="shared" si="0"/>
        <v>1.0821041362364843E-2</v>
      </c>
      <c r="E7">
        <f>(A$7*9.81*COS(D7)*B7)/(1000*1000)</f>
        <v>4.9047128274712734E-2</v>
      </c>
      <c r="F7">
        <v>0.7</v>
      </c>
      <c r="G7">
        <f t="shared" si="2"/>
        <v>1.2217304763960306E-2</v>
      </c>
      <c r="H7">
        <f>(A$7*9.81*COS(G7)*B7)/(1000*1000)</f>
        <v>4.9046339381845175E-2</v>
      </c>
    </row>
    <row r="8" spans="1:8" x14ac:dyDescent="0.25">
      <c r="A8" s="22"/>
      <c r="B8">
        <v>75</v>
      </c>
      <c r="C8">
        <v>0.97</v>
      </c>
      <c r="D8">
        <f t="shared" si="0"/>
        <v>1.6929693744344994E-2</v>
      </c>
      <c r="E8">
        <f t="shared" ref="E8:E10" si="4">(A$7*9.81*COS(D8)*B8)/(1000*1000)</f>
        <v>7.356445641979964E-2</v>
      </c>
      <c r="F8">
        <v>1.19</v>
      </c>
      <c r="G8">
        <f t="shared" si="2"/>
        <v>2.076941809873252E-2</v>
      </c>
      <c r="H8">
        <f t="shared" ref="H8:H9" si="5">(A$7*9.81*COS(G8)*B8)/(1000*1000)</f>
        <v>7.3559131593352978E-2</v>
      </c>
    </row>
    <row r="9" spans="1:8" x14ac:dyDescent="0.25">
      <c r="A9" s="22"/>
      <c r="B9">
        <v>100</v>
      </c>
      <c r="C9">
        <v>1.45</v>
      </c>
      <c r="D9">
        <f t="shared" si="0"/>
        <v>2.5307274153917779E-2</v>
      </c>
      <c r="E9">
        <f t="shared" si="4"/>
        <v>9.8068587205565744E-2</v>
      </c>
      <c r="F9">
        <v>1.71</v>
      </c>
      <c r="G9">
        <f t="shared" si="2"/>
        <v>2.9845130209103034E-2</v>
      </c>
      <c r="H9">
        <f t="shared" si="5"/>
        <v>9.8056312848286462E-2</v>
      </c>
    </row>
    <row r="10" spans="1:8" x14ac:dyDescent="0.25">
      <c r="A10" s="1" t="s">
        <v>0</v>
      </c>
      <c r="B10">
        <v>0</v>
      </c>
      <c r="C10">
        <v>0.18</v>
      </c>
      <c r="D10">
        <f t="shared" si="0"/>
        <v>3.1415926535897929E-3</v>
      </c>
      <c r="E10">
        <f t="shared" si="4"/>
        <v>0</v>
      </c>
      <c r="F10">
        <v>0.44</v>
      </c>
      <c r="G10">
        <f t="shared" si="2"/>
        <v>7.6794487087750501E-3</v>
      </c>
      <c r="H10">
        <f>(A$7*9.81*COS(G10)*B10)/(1000*1000)</f>
        <v>0</v>
      </c>
    </row>
    <row r="11" spans="1:8" x14ac:dyDescent="0.25">
      <c r="A11" s="22">
        <v>200</v>
      </c>
      <c r="B11">
        <v>50</v>
      </c>
      <c r="C11">
        <v>1.49</v>
      </c>
      <c r="D11">
        <f t="shared" si="0"/>
        <v>2.6005405854715509E-2</v>
      </c>
      <c r="E11">
        <f>(A$11*9.81*COS(D11)*B11)/(1000*1000)</f>
        <v>9.8066830279794764E-2</v>
      </c>
      <c r="F11">
        <v>1.41</v>
      </c>
      <c r="G11">
        <f t="shared" si="2"/>
        <v>2.4609142453120045E-2</v>
      </c>
      <c r="H11">
        <f>(A$11*9.81*COS(G11)*B11)/(1000*1000)</f>
        <v>9.807029633389866E-2</v>
      </c>
    </row>
    <row r="12" spans="1:8" x14ac:dyDescent="0.25">
      <c r="A12" s="22"/>
      <c r="B12">
        <v>75</v>
      </c>
      <c r="C12">
        <v>2.37</v>
      </c>
      <c r="D12">
        <f t="shared" si="0"/>
        <v>4.1364303272265611E-2</v>
      </c>
      <c r="E12">
        <f t="shared" ref="E12:E14" si="6">(A$11*9.81*COS(D12)*B12)/(1000*1000)</f>
        <v>0.14702413071252554</v>
      </c>
      <c r="F12">
        <v>2.59</v>
      </c>
      <c r="G12">
        <f t="shared" si="2"/>
        <v>4.5204027626653133E-2</v>
      </c>
      <c r="H12">
        <f t="shared" ref="H12:H14" si="7">(A$11*9.81*COS(G12)*B12)/(1000*1000)</f>
        <v>0.14699968214162956</v>
      </c>
    </row>
    <row r="13" spans="1:8" x14ac:dyDescent="0.25">
      <c r="A13" s="22"/>
      <c r="B13">
        <v>100</v>
      </c>
      <c r="C13">
        <v>3.56</v>
      </c>
      <c r="D13">
        <f t="shared" si="0"/>
        <v>6.2133721370998131E-2</v>
      </c>
      <c r="E13">
        <f t="shared" si="6"/>
        <v>0.1958213970319678</v>
      </c>
      <c r="F13">
        <v>3.52</v>
      </c>
      <c r="G13">
        <f t="shared" si="2"/>
        <v>6.1435589670200401E-2</v>
      </c>
      <c r="H13">
        <f t="shared" si="7"/>
        <v>0.19582985450533863</v>
      </c>
    </row>
    <row r="14" spans="1:8" x14ac:dyDescent="0.25">
      <c r="A14" s="1" t="s">
        <v>0</v>
      </c>
      <c r="B14">
        <v>0</v>
      </c>
      <c r="C14">
        <v>0.7</v>
      </c>
      <c r="D14">
        <f t="shared" si="0"/>
        <v>1.2217304763960306E-2</v>
      </c>
      <c r="E14">
        <f t="shared" si="6"/>
        <v>0</v>
      </c>
      <c r="F14">
        <v>0.66</v>
      </c>
      <c r="G14">
        <f t="shared" si="2"/>
        <v>1.1519173063162575E-2</v>
      </c>
      <c r="H14">
        <f t="shared" si="7"/>
        <v>0</v>
      </c>
    </row>
    <row r="16" spans="1:8" x14ac:dyDescent="0.25">
      <c r="A16" t="s">
        <v>13</v>
      </c>
      <c r="C16">
        <v>60</v>
      </c>
      <c r="D16">
        <f t="shared" si="0"/>
        <v>1.0471975511965976</v>
      </c>
      <c r="F16">
        <v>56</v>
      </c>
      <c r="G16">
        <f t="shared" ref="G16" si="8">RADIANS(F16)</f>
        <v>0.97738438111682457</v>
      </c>
    </row>
    <row r="18" spans="1:13" x14ac:dyDescent="0.25">
      <c r="A18" t="s">
        <v>14</v>
      </c>
    </row>
    <row r="19" spans="1:13" x14ac:dyDescent="0.25">
      <c r="A19" s="23" t="s">
        <v>16</v>
      </c>
      <c r="B19" s="23"/>
      <c r="C19" s="23"/>
      <c r="D19" s="23"/>
    </row>
    <row r="20" spans="1:13" x14ac:dyDescent="0.25">
      <c r="A20" s="23"/>
      <c r="B20" s="23"/>
      <c r="C20" s="23"/>
      <c r="D20" s="23"/>
      <c r="J20" t="s">
        <v>9</v>
      </c>
      <c r="L20">
        <f>1/0.2757</f>
        <v>3.6271309394269133</v>
      </c>
      <c r="M20" t="s">
        <v>11</v>
      </c>
    </row>
    <row r="21" spans="1:13" x14ac:dyDescent="0.25">
      <c r="A21" s="23"/>
      <c r="B21" s="23"/>
      <c r="C21" s="23"/>
      <c r="D21" s="23"/>
      <c r="J21" t="s">
        <v>10</v>
      </c>
      <c r="L21">
        <f>1/0.2784</f>
        <v>3.5919540229885061</v>
      </c>
      <c r="M21" t="s">
        <v>11</v>
      </c>
    </row>
    <row r="22" spans="1:13" x14ac:dyDescent="0.25">
      <c r="A22" s="23"/>
      <c r="B22" s="23"/>
      <c r="C22" s="23"/>
      <c r="D22" s="23"/>
    </row>
    <row r="23" spans="1:13" x14ac:dyDescent="0.25">
      <c r="A23" s="23"/>
      <c r="B23" s="23"/>
      <c r="C23" s="23"/>
      <c r="D23" s="23"/>
      <c r="J23" t="s">
        <v>12</v>
      </c>
      <c r="L23">
        <f>AVERAGE(L20,L21)</f>
        <v>3.6095424812077095</v>
      </c>
      <c r="M23" t="s">
        <v>11</v>
      </c>
    </row>
    <row r="24" spans="1:13" x14ac:dyDescent="0.25">
      <c r="A24" s="23"/>
      <c r="B24" s="23"/>
      <c r="C24" s="23"/>
      <c r="D24" s="23"/>
    </row>
    <row r="25" spans="1:13" x14ac:dyDescent="0.25">
      <c r="A25" s="23"/>
      <c r="B25" s="23"/>
      <c r="C25" s="23"/>
      <c r="D25" s="23"/>
      <c r="L25">
        <f>L23*4</f>
        <v>14.438169924830838</v>
      </c>
    </row>
    <row r="26" spans="1:13" x14ac:dyDescent="0.25">
      <c r="A26" s="23"/>
      <c r="B26" s="23"/>
      <c r="C26" s="23"/>
      <c r="D26" s="23"/>
    </row>
  </sheetData>
  <mergeCells count="6">
    <mergeCell ref="A19:D26"/>
    <mergeCell ref="C1:E1"/>
    <mergeCell ref="F1:H1"/>
    <mergeCell ref="A3:A5"/>
    <mergeCell ref="A7:A9"/>
    <mergeCell ref="A11:A1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929C0-B96D-4F9B-8D10-24FEEFAD81E6}">
  <dimension ref="A1:M26"/>
  <sheetViews>
    <sheetView zoomScaleNormal="100" workbookViewId="0">
      <selection activeCell="P23" sqref="P23"/>
    </sheetView>
  </sheetViews>
  <sheetFormatPr defaultRowHeight="15" x14ac:dyDescent="0.25"/>
  <cols>
    <col min="1" max="8" width="15.85546875" customWidth="1"/>
  </cols>
  <sheetData>
    <row r="1" spans="1:8" x14ac:dyDescent="0.25">
      <c r="C1" s="21" t="s">
        <v>5</v>
      </c>
      <c r="D1" s="21"/>
      <c r="E1" s="21"/>
      <c r="F1" s="21" t="s">
        <v>6</v>
      </c>
      <c r="G1" s="21"/>
      <c r="H1" s="21"/>
    </row>
    <row r="2" spans="1:8" x14ac:dyDescent="0.25">
      <c r="A2" t="s">
        <v>1</v>
      </c>
      <c r="B2" t="s">
        <v>2</v>
      </c>
      <c r="C2" t="s">
        <v>3</v>
      </c>
      <c r="D2" t="s">
        <v>8</v>
      </c>
      <c r="E2" t="s">
        <v>7</v>
      </c>
      <c r="F2" t="s">
        <v>3</v>
      </c>
      <c r="G2" t="s">
        <v>8</v>
      </c>
      <c r="H2" t="s">
        <v>4</v>
      </c>
    </row>
    <row r="3" spans="1:8" x14ac:dyDescent="0.25">
      <c r="A3" s="22">
        <v>50</v>
      </c>
      <c r="B3">
        <v>50</v>
      </c>
      <c r="C3">
        <v>0.56999999999999995</v>
      </c>
      <c r="D3">
        <f t="shared" ref="D3:D16" si="0">RADIANS(C3)</f>
        <v>9.948376736367677E-3</v>
      </c>
      <c r="E3">
        <f>(A$3*9.81*COS(D3)*B3)/(1000*1000)</f>
        <v>2.4523786387935651E-2</v>
      </c>
      <c r="F3">
        <v>0.7</v>
      </c>
      <c r="G3">
        <f>RADIANS(F3)</f>
        <v>1.2217304763960306E-2</v>
      </c>
      <c r="H3">
        <f>(A$3*9.81*COS(G3)*B3)/(1000*1000)</f>
        <v>2.4523169690922587E-2</v>
      </c>
    </row>
    <row r="4" spans="1:8" x14ac:dyDescent="0.25">
      <c r="A4" s="22"/>
      <c r="B4">
        <v>75</v>
      </c>
      <c r="C4">
        <v>1.05</v>
      </c>
      <c r="D4">
        <f t="shared" si="0"/>
        <v>1.8325957145940461E-2</v>
      </c>
      <c r="E4">
        <f t="shared" ref="E4:E6" si="1">(A$3*9.81*COS(D4)*B4)/(1000*1000)</f>
        <v>3.6781322802909036E-2</v>
      </c>
      <c r="F4">
        <v>1.23</v>
      </c>
      <c r="G4">
        <f t="shared" ref="G4:G14" si="2">RADIANS(F4)</f>
        <v>2.1467549799530253E-2</v>
      </c>
      <c r="H4">
        <f t="shared" ref="H4:H6" si="3">(A$3*9.81*COS(G4)*B4)/(1000*1000)</f>
        <v>3.6779023461117152E-2</v>
      </c>
    </row>
    <row r="5" spans="1:8" x14ac:dyDescent="0.25">
      <c r="A5" s="22"/>
      <c r="B5">
        <v>100</v>
      </c>
      <c r="C5">
        <v>1.58</v>
      </c>
      <c r="D5">
        <f t="shared" si="0"/>
        <v>2.7576202181510408E-2</v>
      </c>
      <c r="E5">
        <f t="shared" si="1"/>
        <v>4.9031351220950155E-2</v>
      </c>
      <c r="F5">
        <v>1.63</v>
      </c>
      <c r="G5">
        <f t="shared" si="2"/>
        <v>2.8448866807507571E-2</v>
      </c>
      <c r="H5">
        <f t="shared" si="3"/>
        <v>4.9030152323672402E-2</v>
      </c>
    </row>
    <row r="6" spans="1:8" x14ac:dyDescent="0.25">
      <c r="A6" s="1" t="s">
        <v>0</v>
      </c>
      <c r="B6">
        <v>0</v>
      </c>
      <c r="C6">
        <v>0.4</v>
      </c>
      <c r="D6">
        <f t="shared" si="0"/>
        <v>6.9813170079773184E-3</v>
      </c>
      <c r="E6">
        <f t="shared" si="1"/>
        <v>0</v>
      </c>
      <c r="F6">
        <v>0.31</v>
      </c>
      <c r="G6">
        <f t="shared" si="2"/>
        <v>5.4105206811824215E-3</v>
      </c>
      <c r="H6">
        <f t="shared" si="3"/>
        <v>0</v>
      </c>
    </row>
    <row r="7" spans="1:8" x14ac:dyDescent="0.25">
      <c r="A7" s="22">
        <v>100</v>
      </c>
      <c r="B7">
        <v>50</v>
      </c>
      <c r="C7">
        <v>1.63</v>
      </c>
      <c r="D7">
        <f t="shared" si="0"/>
        <v>2.8448866807507571E-2</v>
      </c>
      <c r="E7">
        <f>(A$7*9.81*COS(D7)*B7)/(1000*1000)</f>
        <v>4.9030152323672402E-2</v>
      </c>
      <c r="F7">
        <v>1.58</v>
      </c>
      <c r="G7">
        <f t="shared" si="2"/>
        <v>2.7576202181510408E-2</v>
      </c>
      <c r="H7">
        <f>(A$7*9.81*COS(G7)*B7)/(1000*1000)</f>
        <v>4.9031351220950155E-2</v>
      </c>
    </row>
    <row r="8" spans="1:8" x14ac:dyDescent="0.25">
      <c r="A8" s="22"/>
      <c r="B8">
        <v>75</v>
      </c>
      <c r="C8">
        <v>2.64</v>
      </c>
      <c r="D8">
        <f t="shared" si="0"/>
        <v>4.6076692252650299E-2</v>
      </c>
      <c r="E8">
        <f t="shared" ref="E8:E10" si="4">(A$7*9.81*COS(D8)*B8)/(1000*1000)</f>
        <v>7.3496911689523339E-2</v>
      </c>
      <c r="F8">
        <v>2.5099999999999998</v>
      </c>
      <c r="G8">
        <f t="shared" si="2"/>
        <v>4.3807764225057666E-2</v>
      </c>
      <c r="H8">
        <f t="shared" ref="H8:H9" si="5">(A$7*9.81*COS(G8)*B8)/(1000*1000)</f>
        <v>7.3504411655450311E-2</v>
      </c>
    </row>
    <row r="9" spans="1:8" x14ac:dyDescent="0.25">
      <c r="A9" s="22"/>
      <c r="B9">
        <v>100</v>
      </c>
      <c r="C9">
        <v>3.56</v>
      </c>
      <c r="D9">
        <f t="shared" si="0"/>
        <v>6.2133721370998131E-2</v>
      </c>
      <c r="E9">
        <f t="shared" si="4"/>
        <v>9.7910698515983899E-2</v>
      </c>
      <c r="F9">
        <v>3.69</v>
      </c>
      <c r="G9">
        <f t="shared" si="2"/>
        <v>6.4402649398590764E-2</v>
      </c>
      <c r="H9">
        <f t="shared" si="5"/>
        <v>9.7896625562990211E-2</v>
      </c>
    </row>
    <row r="10" spans="1:8" x14ac:dyDescent="0.25">
      <c r="A10" s="1" t="s">
        <v>0</v>
      </c>
      <c r="B10">
        <v>0</v>
      </c>
      <c r="C10">
        <v>0.88</v>
      </c>
      <c r="D10">
        <f t="shared" si="0"/>
        <v>1.53588974175501E-2</v>
      </c>
      <c r="E10">
        <f t="shared" si="4"/>
        <v>0</v>
      </c>
      <c r="F10">
        <v>0.53</v>
      </c>
      <c r="G10">
        <f t="shared" si="2"/>
        <v>9.250245035569947E-3</v>
      </c>
      <c r="H10">
        <f>(A$7*9.81*COS(G10)*B10)/(1000*1000)</f>
        <v>0</v>
      </c>
    </row>
    <row r="11" spans="1:8" x14ac:dyDescent="0.25">
      <c r="A11" s="22">
        <v>200</v>
      </c>
      <c r="B11">
        <v>50</v>
      </c>
      <c r="C11">
        <v>3.69</v>
      </c>
      <c r="D11">
        <f t="shared" si="0"/>
        <v>6.4402649398590764E-2</v>
      </c>
      <c r="E11">
        <f>(A$11*9.81*COS(D11)*B11)/(1000*1000)</f>
        <v>9.7896625562990211E-2</v>
      </c>
      <c r="F11">
        <v>3.65</v>
      </c>
      <c r="G11">
        <f t="shared" si="2"/>
        <v>6.3704517697793034E-2</v>
      </c>
      <c r="H11">
        <f>(A$11*9.81*COS(G11)*B11)/(1000*1000)</f>
        <v>9.7901009383595805E-2</v>
      </c>
    </row>
    <row r="12" spans="1:8" x14ac:dyDescent="0.25">
      <c r="A12" s="22"/>
      <c r="B12">
        <v>75</v>
      </c>
      <c r="C12">
        <v>5.67</v>
      </c>
      <c r="D12">
        <f t="shared" si="0"/>
        <v>9.896016858807849E-2</v>
      </c>
      <c r="E12">
        <f t="shared" ref="E12:E14" si="6">(A$11*9.81*COS(D12)*B12)/(1000*1000)</f>
        <v>0.14643005939253601</v>
      </c>
      <c r="F12">
        <v>5.49</v>
      </c>
      <c r="G12">
        <f t="shared" si="2"/>
        <v>9.5818575934488698E-2</v>
      </c>
      <c r="H12">
        <f t="shared" ref="H12:H14" si="7">(A$11*9.81*COS(G12)*B12)/(1000*1000)</f>
        <v>0.1464750099192639</v>
      </c>
    </row>
    <row r="13" spans="1:8" x14ac:dyDescent="0.25">
      <c r="A13" s="22"/>
      <c r="B13">
        <v>100</v>
      </c>
      <c r="C13">
        <v>7.91</v>
      </c>
      <c r="D13">
        <f t="shared" si="0"/>
        <v>0.13805554383275148</v>
      </c>
      <c r="E13">
        <f t="shared" si="6"/>
        <v>0.19433324716438419</v>
      </c>
      <c r="F13">
        <v>7.91</v>
      </c>
      <c r="G13">
        <f t="shared" si="2"/>
        <v>0.13805554383275148</v>
      </c>
      <c r="H13">
        <f t="shared" si="7"/>
        <v>0.19433324716438419</v>
      </c>
    </row>
    <row r="14" spans="1:8" x14ac:dyDescent="0.25">
      <c r="A14" s="1" t="s">
        <v>0</v>
      </c>
      <c r="B14">
        <v>0</v>
      </c>
      <c r="C14">
        <v>1.76</v>
      </c>
      <c r="D14">
        <f t="shared" si="0"/>
        <v>3.07177948351002E-2</v>
      </c>
      <c r="E14">
        <f t="shared" si="6"/>
        <v>0</v>
      </c>
      <c r="F14">
        <v>1.23</v>
      </c>
      <c r="G14">
        <f t="shared" si="2"/>
        <v>2.1467549799530253E-2</v>
      </c>
      <c r="H14">
        <f t="shared" si="7"/>
        <v>0</v>
      </c>
    </row>
    <row r="16" spans="1:8" x14ac:dyDescent="0.25">
      <c r="A16" t="s">
        <v>13</v>
      </c>
      <c r="C16">
        <v>60</v>
      </c>
      <c r="D16">
        <f t="shared" si="0"/>
        <v>1.0471975511965976</v>
      </c>
      <c r="F16">
        <v>56</v>
      </c>
      <c r="G16">
        <f t="shared" ref="G16" si="8">RADIANS(F16)</f>
        <v>0.97738438111682457</v>
      </c>
    </row>
    <row r="18" spans="1:13" x14ac:dyDescent="0.25">
      <c r="A18" t="s">
        <v>14</v>
      </c>
    </row>
    <row r="19" spans="1:13" x14ac:dyDescent="0.25">
      <c r="A19" s="23" t="s">
        <v>17</v>
      </c>
      <c r="B19" s="23"/>
      <c r="C19" s="23"/>
      <c r="D19" s="23"/>
    </row>
    <row r="20" spans="1:13" x14ac:dyDescent="0.25">
      <c r="A20" s="23"/>
      <c r="B20" s="23"/>
      <c r="C20" s="23"/>
      <c r="D20" s="23"/>
      <c r="J20" t="s">
        <v>9</v>
      </c>
      <c r="L20">
        <f>1/0.6234</f>
        <v>1.6041065126724416</v>
      </c>
      <c r="M20" t="s">
        <v>11</v>
      </c>
    </row>
    <row r="21" spans="1:13" x14ac:dyDescent="0.25">
      <c r="A21" s="23"/>
      <c r="B21" s="23"/>
      <c r="C21" s="23"/>
      <c r="D21" s="23"/>
      <c r="J21" t="s">
        <v>10</v>
      </c>
      <c r="L21">
        <f>1/0.6399</f>
        <v>1.5627441787779339</v>
      </c>
      <c r="M21" t="s">
        <v>11</v>
      </c>
    </row>
    <row r="22" spans="1:13" x14ac:dyDescent="0.25">
      <c r="A22" s="23"/>
      <c r="B22" s="23"/>
      <c r="C22" s="23"/>
      <c r="D22" s="23"/>
    </row>
    <row r="23" spans="1:13" x14ac:dyDescent="0.25">
      <c r="A23" s="23"/>
      <c r="B23" s="23"/>
      <c r="C23" s="23"/>
      <c r="D23" s="23"/>
      <c r="J23" t="s">
        <v>12</v>
      </c>
      <c r="L23">
        <f>AVERAGE(L20,L21)</f>
        <v>1.5834253457251877</v>
      </c>
      <c r="M23" t="s">
        <v>11</v>
      </c>
    </row>
    <row r="24" spans="1:13" x14ac:dyDescent="0.25">
      <c r="A24" s="23"/>
      <c r="B24" s="23"/>
      <c r="C24" s="23"/>
      <c r="D24" s="23"/>
    </row>
    <row r="25" spans="1:13" x14ac:dyDescent="0.25">
      <c r="A25" s="23"/>
      <c r="B25" s="23"/>
      <c r="C25" s="23"/>
      <c r="D25" s="23"/>
    </row>
    <row r="26" spans="1:13" x14ac:dyDescent="0.25">
      <c r="A26" s="23"/>
      <c r="B26" s="23"/>
      <c r="C26" s="23"/>
      <c r="D26" s="23"/>
    </row>
  </sheetData>
  <mergeCells count="6">
    <mergeCell ref="A19:D26"/>
    <mergeCell ref="C1:E1"/>
    <mergeCell ref="F1:H1"/>
    <mergeCell ref="A3:A5"/>
    <mergeCell ref="A7:A9"/>
    <mergeCell ref="A11:A1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2B8A3-95C2-4791-94DF-9E76D33A34B1}">
  <dimension ref="A1:M30"/>
  <sheetViews>
    <sheetView zoomScaleNormal="100" workbookViewId="0">
      <selection activeCell="P28" sqref="P28"/>
    </sheetView>
  </sheetViews>
  <sheetFormatPr defaultRowHeight="15" x14ac:dyDescent="0.25"/>
  <cols>
    <col min="1" max="8" width="15.85546875" customWidth="1"/>
  </cols>
  <sheetData>
    <row r="1" spans="1:8" x14ac:dyDescent="0.25">
      <c r="C1" s="21" t="s">
        <v>5</v>
      </c>
      <c r="D1" s="21"/>
      <c r="E1" s="21"/>
      <c r="F1" s="21" t="s">
        <v>6</v>
      </c>
      <c r="G1" s="21"/>
      <c r="H1" s="21"/>
    </row>
    <row r="2" spans="1:8" x14ac:dyDescent="0.25">
      <c r="A2" t="s">
        <v>1</v>
      </c>
      <c r="B2" t="s">
        <v>2</v>
      </c>
      <c r="C2" t="s">
        <v>3</v>
      </c>
      <c r="D2" t="s">
        <v>8</v>
      </c>
      <c r="E2" t="s">
        <v>7</v>
      </c>
      <c r="F2" t="s">
        <v>3</v>
      </c>
      <c r="G2" t="s">
        <v>8</v>
      </c>
      <c r="H2" t="s">
        <v>7</v>
      </c>
    </row>
    <row r="3" spans="1:8" x14ac:dyDescent="0.25">
      <c r="A3" s="22">
        <v>50</v>
      </c>
      <c r="B3">
        <v>50</v>
      </c>
      <c r="C3">
        <v>0.79</v>
      </c>
      <c r="D3">
        <f t="shared" ref="D3:D20" si="0">RADIANS(C3)</f>
        <v>1.3788101090755204E-2</v>
      </c>
      <c r="E3">
        <f>(A$3*9.81*COS(D3)*B3)/(1000*1000)</f>
        <v>2.4522668791823018E-2</v>
      </c>
      <c r="F3">
        <v>0.62</v>
      </c>
      <c r="G3">
        <f>RADIANS(F3)</f>
        <v>1.0821041362364843E-2</v>
      </c>
      <c r="H3">
        <f>(A$3*9.81*COS(G3)*B3)/(1000*1000)</f>
        <v>2.4523564137356367E-2</v>
      </c>
    </row>
    <row r="4" spans="1:8" x14ac:dyDescent="0.25">
      <c r="A4" s="22"/>
      <c r="B4">
        <v>75</v>
      </c>
      <c r="C4">
        <v>1.36</v>
      </c>
      <c r="D4">
        <f t="shared" si="0"/>
        <v>2.3736477827122883E-2</v>
      </c>
      <c r="E4">
        <f t="shared" ref="E4:E6" si="1">(A$3*9.81*COS(D4)*B4)/(1000*1000)</f>
        <v>3.6777137072962776E-2</v>
      </c>
      <c r="F4">
        <v>1.19</v>
      </c>
      <c r="G4">
        <f t="shared" ref="G4:G14" si="2">RADIANS(F4)</f>
        <v>2.076941809873252E-2</v>
      </c>
      <c r="H4">
        <f t="shared" ref="H4:H6" si="3">(A$3*9.81*COS(G4)*B4)/(1000*1000)</f>
        <v>3.6779565796676489E-2</v>
      </c>
    </row>
    <row r="5" spans="1:8" x14ac:dyDescent="0.25">
      <c r="A5" s="22"/>
      <c r="B5">
        <v>100</v>
      </c>
      <c r="C5">
        <v>1.76</v>
      </c>
      <c r="D5">
        <f t="shared" si="0"/>
        <v>3.07177948351002E-2</v>
      </c>
      <c r="E5">
        <f t="shared" si="1"/>
        <v>4.9026860448491472E-2</v>
      </c>
      <c r="F5">
        <v>1.41</v>
      </c>
      <c r="G5">
        <f t="shared" si="2"/>
        <v>2.4609142453120045E-2</v>
      </c>
      <c r="H5">
        <f t="shared" si="3"/>
        <v>4.903514816694933E-2</v>
      </c>
    </row>
    <row r="6" spans="1:8" x14ac:dyDescent="0.25">
      <c r="A6" s="1" t="s">
        <v>0</v>
      </c>
      <c r="B6">
        <v>0</v>
      </c>
      <c r="C6">
        <v>0.44</v>
      </c>
      <c r="D6">
        <f t="shared" si="0"/>
        <v>7.6794487087750501E-3</v>
      </c>
      <c r="E6">
        <f t="shared" si="1"/>
        <v>0</v>
      </c>
      <c r="F6">
        <v>0.26</v>
      </c>
      <c r="G6">
        <f t="shared" si="2"/>
        <v>4.5378560551852572E-3</v>
      </c>
      <c r="H6">
        <f t="shared" si="3"/>
        <v>0</v>
      </c>
    </row>
    <row r="7" spans="1:8" x14ac:dyDescent="0.25">
      <c r="A7" s="22">
        <v>100</v>
      </c>
      <c r="B7">
        <v>50</v>
      </c>
      <c r="C7">
        <v>1.71</v>
      </c>
      <c r="D7">
        <f t="shared" si="0"/>
        <v>2.9845130209103034E-2</v>
      </c>
      <c r="E7">
        <f>(A$7*9.81*COS(D7)*B7)/(1000*1000)</f>
        <v>4.9028156424143231E-2</v>
      </c>
      <c r="F7">
        <v>1.41</v>
      </c>
      <c r="G7">
        <f t="shared" si="2"/>
        <v>2.4609142453120045E-2</v>
      </c>
      <c r="H7">
        <f>(A$7*9.81*COS(G7)*B7)/(1000*1000)</f>
        <v>4.903514816694933E-2</v>
      </c>
    </row>
    <row r="8" spans="1:8" x14ac:dyDescent="0.25">
      <c r="A8" s="22"/>
      <c r="B8">
        <v>75</v>
      </c>
      <c r="C8">
        <v>2.68</v>
      </c>
      <c r="D8">
        <f t="shared" si="0"/>
        <v>4.6774823953448036E-2</v>
      </c>
      <c r="E8">
        <f t="shared" ref="E8:E10" si="4">(A$7*9.81*COS(D8)*B8)/(1000*1000)</f>
        <v>7.3494527885192965E-2</v>
      </c>
      <c r="F8">
        <v>2.2000000000000002</v>
      </c>
      <c r="G8">
        <f t="shared" si="2"/>
        <v>3.8397243543875255E-2</v>
      </c>
      <c r="H8">
        <f t="shared" ref="H8:H9" si="5">(A$7*9.81*COS(G8)*B8)/(1000*1000)</f>
        <v>7.3520769074911452E-2</v>
      </c>
    </row>
    <row r="9" spans="1:8" x14ac:dyDescent="0.25">
      <c r="A9" s="22"/>
      <c r="B9">
        <v>100</v>
      </c>
      <c r="C9">
        <v>3.74</v>
      </c>
      <c r="D9">
        <f t="shared" si="0"/>
        <v>6.527531402458793E-2</v>
      </c>
      <c r="E9">
        <f t="shared" si="4"/>
        <v>9.7891078690199168E-2</v>
      </c>
      <c r="F9">
        <v>3.12</v>
      </c>
      <c r="G9">
        <f t="shared" si="2"/>
        <v>5.4454272662223087E-2</v>
      </c>
      <c r="H9">
        <f t="shared" si="5"/>
        <v>9.7954589550933682E-2</v>
      </c>
    </row>
    <row r="10" spans="1:8" x14ac:dyDescent="0.25">
      <c r="A10" s="1" t="s">
        <v>0</v>
      </c>
      <c r="B10">
        <v>0</v>
      </c>
      <c r="C10">
        <v>0.92</v>
      </c>
      <c r="D10">
        <f t="shared" si="0"/>
        <v>1.6057029118347832E-2</v>
      </c>
      <c r="E10">
        <f t="shared" si="4"/>
        <v>0</v>
      </c>
      <c r="F10">
        <v>0.4</v>
      </c>
      <c r="G10">
        <f t="shared" si="2"/>
        <v>6.9813170079773184E-3</v>
      </c>
      <c r="H10">
        <f>(A$7*9.81*COS(G10)*B10)/(1000*1000)</f>
        <v>0</v>
      </c>
    </row>
    <row r="11" spans="1:8" x14ac:dyDescent="0.25">
      <c r="A11" s="22">
        <v>200</v>
      </c>
      <c r="B11">
        <v>50</v>
      </c>
      <c r="C11">
        <v>3.82</v>
      </c>
      <c r="D11">
        <f t="shared" si="0"/>
        <v>6.667157742618339E-2</v>
      </c>
      <c r="E11">
        <f>(A$11*9.81*COS(D11)*B11)/(1000*1000)</f>
        <v>9.7882048635017246E-2</v>
      </c>
      <c r="F11">
        <v>3.03</v>
      </c>
      <c r="G11">
        <f t="shared" si="2"/>
        <v>5.2883476335428184E-2</v>
      </c>
      <c r="H11">
        <f>(A$11*9.81*COS(G11)*B11)/(1000*1000)</f>
        <v>9.7962855692160053E-2</v>
      </c>
    </row>
    <row r="12" spans="1:8" x14ac:dyDescent="0.25">
      <c r="A12" s="22"/>
      <c r="B12">
        <v>75</v>
      </c>
      <c r="C12">
        <v>5.89</v>
      </c>
      <c r="D12">
        <f t="shared" si="0"/>
        <v>0.102799892942466</v>
      </c>
      <c r="E12">
        <f t="shared" ref="E12:E14" si="6">(A$11*9.81*COS(D12)*B12)/(1000*1000)</f>
        <v>0.14637315728080433</v>
      </c>
      <c r="F12">
        <v>5.05</v>
      </c>
      <c r="G12">
        <f t="shared" si="2"/>
        <v>8.813912722571364E-2</v>
      </c>
      <c r="H12">
        <f t="shared" ref="H12:H14" si="7">(A$11*9.81*COS(G12)*B12)/(1000*1000)</f>
        <v>0.14657880211276461</v>
      </c>
    </row>
    <row r="13" spans="1:8" x14ac:dyDescent="0.25">
      <c r="A13" s="22"/>
      <c r="B13">
        <v>100</v>
      </c>
      <c r="C13">
        <v>8.0399999999999991</v>
      </c>
      <c r="D13">
        <f t="shared" si="0"/>
        <v>0.14032447186034408</v>
      </c>
      <c r="E13">
        <f t="shared" si="6"/>
        <v>0.19427148472285499</v>
      </c>
      <c r="F13">
        <v>7.6</v>
      </c>
      <c r="G13">
        <f t="shared" si="2"/>
        <v>0.13264502315156904</v>
      </c>
      <c r="H13">
        <f t="shared" si="7"/>
        <v>0.19447648899735248</v>
      </c>
    </row>
    <row r="14" spans="1:8" x14ac:dyDescent="0.25">
      <c r="A14" s="1" t="s">
        <v>0</v>
      </c>
      <c r="B14">
        <v>0</v>
      </c>
      <c r="C14">
        <v>2.11</v>
      </c>
      <c r="D14">
        <f t="shared" si="0"/>
        <v>3.6826447217080352E-2</v>
      </c>
      <c r="E14">
        <f t="shared" si="6"/>
        <v>0</v>
      </c>
      <c r="F14">
        <v>1.01</v>
      </c>
      <c r="G14">
        <f t="shared" si="2"/>
        <v>1.7627825445142728E-2</v>
      </c>
      <c r="H14">
        <f t="shared" si="7"/>
        <v>0</v>
      </c>
    </row>
    <row r="15" spans="1:8" x14ac:dyDescent="0.25">
      <c r="A15" s="22">
        <v>500</v>
      </c>
      <c r="B15">
        <v>50</v>
      </c>
      <c r="C15">
        <v>9.67</v>
      </c>
      <c r="D15">
        <f t="shared" ref="D15:D18" si="8">RADIANS(C15)</f>
        <v>0.16877333866785166</v>
      </c>
      <c r="E15">
        <f>(A$15*9.81*COS(D15)*B15)/(1000*1000)</f>
        <v>0.24176537881459353</v>
      </c>
      <c r="F15">
        <v>8.66</v>
      </c>
      <c r="G15">
        <f t="shared" ref="G15:G18" si="9">RADIANS(F15)</f>
        <v>0.15114551322270894</v>
      </c>
      <c r="H15">
        <f>(A$15*9.81*COS(G15)*B15)/(1000*1000)</f>
        <v>0.24245396505301486</v>
      </c>
    </row>
    <row r="16" spans="1:8" x14ac:dyDescent="0.25">
      <c r="A16" s="22"/>
      <c r="B16">
        <v>75</v>
      </c>
      <c r="C16">
        <v>14.33</v>
      </c>
      <c r="D16">
        <f t="shared" si="8"/>
        <v>0.25010568181078741</v>
      </c>
      <c r="E16">
        <f>(A$15*9.81*COS(D16)*B16)/(1000*1000)</f>
        <v>0.35642903665040032</v>
      </c>
      <c r="F16">
        <v>13.72</v>
      </c>
      <c r="G16">
        <f t="shared" si="9"/>
        <v>0.23945917337362202</v>
      </c>
      <c r="H16">
        <f>(A$15*9.81*COS(G16)*B16)/(1000*1000)</f>
        <v>0.35737819774312474</v>
      </c>
    </row>
    <row r="17" spans="1:13" x14ac:dyDescent="0.25">
      <c r="A17" s="22"/>
      <c r="B17">
        <v>100</v>
      </c>
      <c r="C17">
        <v>20.88</v>
      </c>
      <c r="D17">
        <f t="shared" si="8"/>
        <v>0.36442474781641598</v>
      </c>
      <c r="E17">
        <f>(A$15*9.81*COS(D17)*B17)/(1000*1000)</f>
        <v>0.45828834627496817</v>
      </c>
      <c r="F17">
        <v>21.11</v>
      </c>
      <c r="G17">
        <f t="shared" si="9"/>
        <v>0.36843900509600297</v>
      </c>
      <c r="H17">
        <f>(A$15*9.81*COS(G17)*B17)/(1000*1000)</f>
        <v>0.45758288311152356</v>
      </c>
    </row>
    <row r="18" spans="1:13" x14ac:dyDescent="0.25">
      <c r="A18" s="1" t="s">
        <v>0</v>
      </c>
      <c r="B18">
        <v>0</v>
      </c>
      <c r="C18">
        <v>7.12</v>
      </c>
      <c r="D18">
        <f t="shared" si="8"/>
        <v>0.12426744274199626</v>
      </c>
      <c r="E18">
        <f>(A$15*9.81*COS(D18)*B18)/(1000*1000)</f>
        <v>0</v>
      </c>
      <c r="F18">
        <v>2.46</v>
      </c>
      <c r="G18">
        <f t="shared" si="9"/>
        <v>4.2935099599060507E-2</v>
      </c>
      <c r="H18">
        <f t="shared" ref="H18" si="10">(A$11*9.81*COS(G18)*B18)/(1000*1000)</f>
        <v>0</v>
      </c>
    </row>
    <row r="20" spans="1:13" x14ac:dyDescent="0.25">
      <c r="A20" t="s">
        <v>13</v>
      </c>
      <c r="C20">
        <v>60</v>
      </c>
      <c r="D20">
        <f t="shared" si="0"/>
        <v>1.0471975511965976</v>
      </c>
      <c r="F20">
        <v>56</v>
      </c>
      <c r="G20">
        <f t="shared" ref="G20" si="11">RADIANS(F20)</f>
        <v>0.97738438111682457</v>
      </c>
      <c r="J20" t="s">
        <v>9</v>
      </c>
      <c r="L20">
        <f>1/0.6842</f>
        <v>1.4615609470914936</v>
      </c>
      <c r="M20" t="s">
        <v>11</v>
      </c>
    </row>
    <row r="21" spans="1:13" x14ac:dyDescent="0.25">
      <c r="J21" t="s">
        <v>10</v>
      </c>
      <c r="L21">
        <f>1/0.7209</f>
        <v>1.3871549452073797</v>
      </c>
      <c r="M21" t="s">
        <v>11</v>
      </c>
    </row>
    <row r="22" spans="1:13" x14ac:dyDescent="0.25">
      <c r="A22" t="s">
        <v>14</v>
      </c>
    </row>
    <row r="23" spans="1:13" x14ac:dyDescent="0.25">
      <c r="A23" s="23" t="s">
        <v>15</v>
      </c>
      <c r="B23" s="23"/>
      <c r="C23" s="23"/>
      <c r="D23" s="23"/>
      <c r="J23" t="s">
        <v>12</v>
      </c>
      <c r="L23">
        <f>AVERAGE(L20,L21)</f>
        <v>1.4243579461494367</v>
      </c>
      <c r="M23" t="s">
        <v>11</v>
      </c>
    </row>
    <row r="24" spans="1:13" x14ac:dyDescent="0.25">
      <c r="A24" s="23"/>
      <c r="B24" s="23"/>
      <c r="C24" s="23"/>
      <c r="D24" s="23"/>
    </row>
    <row r="25" spans="1:13" x14ac:dyDescent="0.25">
      <c r="A25" s="23"/>
      <c r="B25" s="23"/>
      <c r="C25" s="23"/>
      <c r="D25" s="23"/>
      <c r="L25">
        <f>L23*4</f>
        <v>5.6974317845977467</v>
      </c>
    </row>
    <row r="26" spans="1:13" x14ac:dyDescent="0.25">
      <c r="A26" s="23"/>
      <c r="B26" s="23"/>
      <c r="C26" s="23"/>
      <c r="D26" s="23"/>
    </row>
    <row r="27" spans="1:13" x14ac:dyDescent="0.25">
      <c r="A27" s="23"/>
      <c r="B27" s="23"/>
      <c r="C27" s="23"/>
      <c r="D27" s="23"/>
    </row>
    <row r="28" spans="1:13" x14ac:dyDescent="0.25">
      <c r="A28" s="23"/>
      <c r="B28" s="23"/>
      <c r="C28" s="23"/>
      <c r="D28" s="23"/>
    </row>
    <row r="29" spans="1:13" x14ac:dyDescent="0.25">
      <c r="A29" s="23"/>
      <c r="B29" s="23"/>
      <c r="C29" s="23"/>
      <c r="D29" s="23"/>
    </row>
    <row r="30" spans="1:13" x14ac:dyDescent="0.25">
      <c r="A30" s="23"/>
      <c r="B30" s="23"/>
      <c r="C30" s="23"/>
      <c r="D30" s="23"/>
    </row>
  </sheetData>
  <mergeCells count="7">
    <mergeCell ref="A23:D30"/>
    <mergeCell ref="A15:A17"/>
    <mergeCell ref="C1:E1"/>
    <mergeCell ref="F1:H1"/>
    <mergeCell ref="A3:A5"/>
    <mergeCell ref="A7:A9"/>
    <mergeCell ref="A11:A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74A3D-8B14-45D1-B319-AB4200826715}">
  <dimension ref="A1:P23"/>
  <sheetViews>
    <sheetView workbookViewId="0">
      <selection activeCell="H34" sqref="H34"/>
    </sheetView>
  </sheetViews>
  <sheetFormatPr defaultRowHeight="15" x14ac:dyDescent="0.25"/>
  <cols>
    <col min="1" max="1" width="13.140625" customWidth="1"/>
    <col min="2" max="8" width="17.85546875" customWidth="1"/>
  </cols>
  <sheetData>
    <row r="1" spans="1:8" x14ac:dyDescent="0.25">
      <c r="A1" s="19" t="s">
        <v>64</v>
      </c>
      <c r="B1" s="19"/>
      <c r="C1" s="19"/>
      <c r="D1" s="19"/>
      <c r="E1" s="19"/>
      <c r="F1" s="19"/>
      <c r="G1" s="19"/>
      <c r="H1" s="19"/>
    </row>
    <row r="2" spans="1:8" x14ac:dyDescent="0.25">
      <c r="A2" s="9"/>
      <c r="B2" s="9"/>
      <c r="C2" s="20" t="s">
        <v>5</v>
      </c>
      <c r="D2" s="20"/>
      <c r="E2" s="20"/>
      <c r="F2" s="20" t="s">
        <v>6</v>
      </c>
      <c r="G2" s="20"/>
      <c r="H2" s="20"/>
    </row>
    <row r="3" spans="1:8" x14ac:dyDescent="0.25">
      <c r="A3" s="10" t="s">
        <v>52</v>
      </c>
      <c r="B3" s="10" t="s">
        <v>53</v>
      </c>
      <c r="C3" s="10" t="s">
        <v>54</v>
      </c>
      <c r="D3" s="10" t="s">
        <v>55</v>
      </c>
      <c r="E3" s="10" t="s">
        <v>56</v>
      </c>
      <c r="F3" s="10" t="s">
        <v>54</v>
      </c>
      <c r="G3" s="10" t="s">
        <v>55</v>
      </c>
      <c r="H3" s="10" t="s">
        <v>56</v>
      </c>
    </row>
    <row r="4" spans="1:8" x14ac:dyDescent="0.25">
      <c r="A4" s="18">
        <v>50</v>
      </c>
      <c r="B4" s="3">
        <v>50</v>
      </c>
      <c r="C4" s="2">
        <v>3.52</v>
      </c>
      <c r="D4" s="7">
        <f>RADIANS(C4)</f>
        <v>6.1435589670200401E-2</v>
      </c>
      <c r="E4" s="7">
        <f>(A$4*9.81*COS(D4)*B4)/(1000*1000)</f>
        <v>2.4478731813167329E-2</v>
      </c>
      <c r="F4" s="2">
        <v>1.32</v>
      </c>
      <c r="G4" s="7">
        <f>RADIANS(F4)</f>
        <v>2.3038346126325149E-2</v>
      </c>
      <c r="H4" s="7">
        <f>(A$4*9.81*COS(G4)*B4)/(1000*1000)</f>
        <v>2.4518491777246961E-2</v>
      </c>
    </row>
    <row r="5" spans="1:8" x14ac:dyDescent="0.25">
      <c r="A5" s="18"/>
      <c r="B5" s="3">
        <v>75</v>
      </c>
      <c r="C5" s="2">
        <v>7.95</v>
      </c>
      <c r="D5" s="7">
        <f t="shared" ref="D5:D21" si="0">RADIANS(C5)</f>
        <v>0.1387536755335492</v>
      </c>
      <c r="E5" s="7">
        <f t="shared" ref="E5:E7" si="1">(A$4*9.81*COS(D5)*B5)/(1000*1000)</f>
        <v>3.6433940601870246E-2</v>
      </c>
      <c r="F5" s="2">
        <v>2.94</v>
      </c>
      <c r="G5" s="7">
        <f t="shared" ref="G5:G21" si="2">RADIANS(F5)</f>
        <v>5.1312680008633288E-2</v>
      </c>
      <c r="H5" s="7">
        <f>(A$4*9.81*COS(G5)*B5)/(1000*1000)</f>
        <v>3.6739080044916821E-2</v>
      </c>
    </row>
    <row r="6" spans="1:8" x14ac:dyDescent="0.25">
      <c r="A6" s="18"/>
      <c r="B6" s="3">
        <v>100</v>
      </c>
      <c r="C6" s="2">
        <v>9.98</v>
      </c>
      <c r="D6" s="7">
        <f t="shared" si="0"/>
        <v>0.1741838593490341</v>
      </c>
      <c r="E6" s="7">
        <f t="shared" si="1"/>
        <v>4.830779049081451E-2</v>
      </c>
      <c r="F6" s="2">
        <v>4.79</v>
      </c>
      <c r="G6" s="7">
        <f t="shared" si="2"/>
        <v>8.3601271170528388E-2</v>
      </c>
      <c r="H6" s="7">
        <f>(A$4*9.81*COS(G6)*B6)/(1000*1000)</f>
        <v>4.887869035435715E-2</v>
      </c>
    </row>
    <row r="7" spans="1:8" x14ac:dyDescent="0.25">
      <c r="A7" s="15" t="s">
        <v>0</v>
      </c>
      <c r="B7" s="3">
        <v>0</v>
      </c>
      <c r="C7" s="2">
        <v>4.57</v>
      </c>
      <c r="D7" s="7">
        <f t="shared" si="0"/>
        <v>7.9761546816140866E-2</v>
      </c>
      <c r="E7" s="7">
        <f t="shared" si="1"/>
        <v>0</v>
      </c>
      <c r="F7" s="2">
        <v>1.49</v>
      </c>
      <c r="G7" s="7">
        <f t="shared" si="2"/>
        <v>2.6005405854715509E-2</v>
      </c>
      <c r="H7" s="7">
        <f>(A$4*9.81*COS(G7)*B7)/(1000*1000)</f>
        <v>0</v>
      </c>
    </row>
    <row r="8" spans="1:8" x14ac:dyDescent="0.25">
      <c r="A8" s="18">
        <v>100</v>
      </c>
      <c r="B8" s="3">
        <v>50</v>
      </c>
      <c r="C8" s="2">
        <v>10.37</v>
      </c>
      <c r="D8" s="7">
        <f t="shared" si="0"/>
        <v>0.18099064343181195</v>
      </c>
      <c r="E8" s="7">
        <f>(A$8*9.81*COS(D8)*B8)/(1000*1000)</f>
        <v>4.8248810216524878E-2</v>
      </c>
      <c r="F8" s="2">
        <v>3.82</v>
      </c>
      <c r="G8" s="7">
        <f t="shared" si="2"/>
        <v>6.667157742618339E-2</v>
      </c>
      <c r="H8" s="7">
        <f>(A$8*9.81*COS(G8)*B8)/(1000*1000)</f>
        <v>4.8941024317508623E-2</v>
      </c>
    </row>
    <row r="9" spans="1:8" x14ac:dyDescent="0.25">
      <c r="A9" s="18"/>
      <c r="B9" s="3">
        <v>75</v>
      </c>
      <c r="C9" s="2">
        <v>12.75</v>
      </c>
      <c r="D9" s="7">
        <f t="shared" si="0"/>
        <v>0.22252947962927702</v>
      </c>
      <c r="E9" s="7">
        <f t="shared" ref="E9:E11" si="3">(A$8*9.81*COS(D9)*B9)/(1000*1000)</f>
        <v>7.1760811231413812E-2</v>
      </c>
      <c r="F9" s="2">
        <v>7.34</v>
      </c>
      <c r="G9" s="7">
        <f t="shared" si="2"/>
        <v>0.12810716709638378</v>
      </c>
      <c r="H9" s="7">
        <f t="shared" ref="H9:H11" si="4">(A$8*9.81*COS(G9)*B9)/(1000*1000)</f>
        <v>7.2972089150952948E-2</v>
      </c>
    </row>
    <row r="10" spans="1:8" x14ac:dyDescent="0.25">
      <c r="A10" s="18"/>
      <c r="B10" s="3">
        <v>100</v>
      </c>
      <c r="C10" s="2">
        <v>16.48</v>
      </c>
      <c r="D10" s="7">
        <f t="shared" si="0"/>
        <v>0.28763026072866554</v>
      </c>
      <c r="E10" s="7">
        <f t="shared" si="3"/>
        <v>9.4069935899568899E-2</v>
      </c>
      <c r="F10" s="2">
        <v>10.77</v>
      </c>
      <c r="G10" s="7">
        <f t="shared" si="2"/>
        <v>0.18797196043978928</v>
      </c>
      <c r="H10" s="7">
        <f t="shared" si="4"/>
        <v>9.63719909355958E-2</v>
      </c>
    </row>
    <row r="11" spans="1:8" x14ac:dyDescent="0.25">
      <c r="A11" s="15" t="s">
        <v>0</v>
      </c>
      <c r="B11" s="3">
        <v>0</v>
      </c>
      <c r="C11" s="2">
        <v>4.13</v>
      </c>
      <c r="D11" s="7">
        <f t="shared" si="0"/>
        <v>7.2082098107365808E-2</v>
      </c>
      <c r="E11" s="7">
        <f t="shared" si="3"/>
        <v>0</v>
      </c>
      <c r="F11" s="2">
        <v>0.92</v>
      </c>
      <c r="G11" s="7">
        <f t="shared" si="2"/>
        <v>1.6057029118347832E-2</v>
      </c>
      <c r="H11" s="7">
        <f t="shared" si="4"/>
        <v>0</v>
      </c>
    </row>
    <row r="12" spans="1:8" x14ac:dyDescent="0.25">
      <c r="A12" s="18">
        <v>200</v>
      </c>
      <c r="B12" s="3">
        <v>50</v>
      </c>
      <c r="C12" s="2">
        <v>14.97</v>
      </c>
      <c r="D12" s="7">
        <f t="shared" si="0"/>
        <v>0.26127578902355114</v>
      </c>
      <c r="E12" s="7">
        <f>(A$12*9.81*COS(D12)*B12)/(1000*1000)</f>
        <v>9.4770604819796309E-2</v>
      </c>
      <c r="F12" s="2">
        <v>9.89</v>
      </c>
      <c r="G12" s="7">
        <f t="shared" si="2"/>
        <v>0.17261306302223919</v>
      </c>
      <c r="H12" s="7">
        <f>(A$12*9.81*COS(G12)*B12)/(1000*1000)</f>
        <v>9.6642167138899948E-2</v>
      </c>
    </row>
    <row r="13" spans="1:8" x14ac:dyDescent="0.25">
      <c r="A13" s="18"/>
      <c r="B13" s="3">
        <v>75</v>
      </c>
      <c r="C13" s="2">
        <v>20.88</v>
      </c>
      <c r="D13" s="7">
        <f t="shared" si="0"/>
        <v>0.36442474781641598</v>
      </c>
      <c r="E13" s="7">
        <f t="shared" ref="E13:E15" si="5">(A$12*9.81*COS(D13)*B13)/(1000*1000)</f>
        <v>0.13748650388249045</v>
      </c>
      <c r="F13" s="2">
        <v>15.99</v>
      </c>
      <c r="G13" s="7">
        <f t="shared" si="2"/>
        <v>0.27907814739389331</v>
      </c>
      <c r="H13" s="7">
        <f t="shared" ref="H13:H14" si="6">(A$12*9.81*COS(G13)*B13)/(1000*1000)</f>
        <v>0.14145673546477402</v>
      </c>
    </row>
    <row r="14" spans="1:8" x14ac:dyDescent="0.25">
      <c r="A14" s="18"/>
      <c r="B14" s="3">
        <v>100</v>
      </c>
      <c r="C14" s="2">
        <v>26.5</v>
      </c>
      <c r="D14" s="7">
        <f t="shared" si="0"/>
        <v>0.46251225177849731</v>
      </c>
      <c r="E14" s="7">
        <f t="shared" si="5"/>
        <v>0.17558612174631733</v>
      </c>
      <c r="F14" s="2">
        <v>26.8</v>
      </c>
      <c r="G14" s="7">
        <f t="shared" si="2"/>
        <v>0.4677482395344803</v>
      </c>
      <c r="H14" s="7">
        <f t="shared" si="6"/>
        <v>0.17512533758030702</v>
      </c>
    </row>
    <row r="15" spans="1:8" x14ac:dyDescent="0.25">
      <c r="A15" s="15" t="s">
        <v>0</v>
      </c>
      <c r="B15" s="3">
        <v>0</v>
      </c>
      <c r="C15" s="2">
        <v>5.8</v>
      </c>
      <c r="D15" s="7">
        <f t="shared" si="0"/>
        <v>0.10122909661567112</v>
      </c>
      <c r="E15" s="7">
        <f t="shared" si="5"/>
        <v>0</v>
      </c>
      <c r="F15" s="2">
        <v>-0.66</v>
      </c>
      <c r="G15" s="7">
        <f t="shared" si="2"/>
        <v>-1.1519173063162575E-2</v>
      </c>
      <c r="H15" s="7">
        <f>(A$12*9.81*COS(G15)*B15)/(1000*1000)</f>
        <v>0</v>
      </c>
    </row>
    <row r="16" spans="1:8" x14ac:dyDescent="0.25">
      <c r="A16" s="18">
        <v>500</v>
      </c>
      <c r="B16" s="3">
        <v>50</v>
      </c>
      <c r="C16" s="2">
        <v>22.97</v>
      </c>
      <c r="D16" s="7">
        <f t="shared" si="0"/>
        <v>0.40090212918309748</v>
      </c>
      <c r="E16" s="7">
        <f>(A$16*9.81*COS(D16)*B16)/(1000*1000)</f>
        <v>0.22580395916107299</v>
      </c>
      <c r="F16" s="2">
        <v>21.45</v>
      </c>
      <c r="G16" s="7">
        <f t="shared" si="2"/>
        <v>0.37437312455278365</v>
      </c>
      <c r="H16" s="7">
        <f>(A$16*9.81*COS(G16)*B16)/(1000*1000)</f>
        <v>0.22826326061013963</v>
      </c>
    </row>
    <row r="17" spans="1:16" x14ac:dyDescent="0.25">
      <c r="A17" s="18"/>
      <c r="B17" s="3">
        <v>75</v>
      </c>
      <c r="C17" s="2">
        <v>30.78</v>
      </c>
      <c r="D17" s="7">
        <f t="shared" si="0"/>
        <v>0.53721234376385463</v>
      </c>
      <c r="E17" s="7">
        <f t="shared" ref="E17:E19" si="7">(A$16*9.81*COS(D17)*B17)/(1000*1000)</f>
        <v>0.31605560558627294</v>
      </c>
      <c r="F17" s="2">
        <v>30.37</v>
      </c>
      <c r="G17" s="7">
        <f t="shared" si="2"/>
        <v>0.53005649383067788</v>
      </c>
      <c r="H17" s="7">
        <f t="shared" ref="H17:H19" si="8">(A$16*9.81*COS(G17)*B17)/(1000*1000)</f>
        <v>0.31739464422754232</v>
      </c>
    </row>
    <row r="18" spans="1:16" x14ac:dyDescent="0.25">
      <c r="A18" s="18"/>
      <c r="B18" s="3">
        <v>100</v>
      </c>
      <c r="C18" s="2">
        <v>37.31</v>
      </c>
      <c r="D18" s="7">
        <f t="shared" si="0"/>
        <v>0.65118234391908436</v>
      </c>
      <c r="E18" s="7">
        <f t="shared" si="7"/>
        <v>0.39012785871956218</v>
      </c>
      <c r="F18" s="2">
        <v>38.69</v>
      </c>
      <c r="G18" s="7">
        <f t="shared" si="2"/>
        <v>0.67526788759660605</v>
      </c>
      <c r="H18" s="7">
        <f t="shared" si="8"/>
        <v>0.38285463499208666</v>
      </c>
    </row>
    <row r="19" spans="1:16" x14ac:dyDescent="0.25">
      <c r="A19" s="15" t="s">
        <v>0</v>
      </c>
      <c r="B19" s="3">
        <v>0</v>
      </c>
      <c r="C19" s="2">
        <v>7.34</v>
      </c>
      <c r="D19" s="7">
        <f t="shared" si="0"/>
        <v>0.12810716709638378</v>
      </c>
      <c r="E19" s="7">
        <f t="shared" si="7"/>
        <v>0</v>
      </c>
      <c r="F19" s="2">
        <v>-2.2000000000000002</v>
      </c>
      <c r="G19" s="7">
        <f t="shared" si="2"/>
        <v>-3.8397243543875255E-2</v>
      </c>
      <c r="H19" s="7">
        <f t="shared" si="8"/>
        <v>0</v>
      </c>
    </row>
    <row r="21" spans="1:16" x14ac:dyDescent="0.25">
      <c r="A21" s="11" t="s">
        <v>13</v>
      </c>
      <c r="B21" s="2"/>
      <c r="C21" s="2">
        <v>43</v>
      </c>
      <c r="D21" s="8">
        <f t="shared" si="0"/>
        <v>0.75049157835756175</v>
      </c>
      <c r="E21" s="2"/>
      <c r="F21" s="2">
        <v>43</v>
      </c>
      <c r="G21" s="8">
        <f t="shared" si="2"/>
        <v>0.75049157835756175</v>
      </c>
      <c r="L21" s="14" t="s">
        <v>57</v>
      </c>
      <c r="M21">
        <v>0.64390000000000003</v>
      </c>
      <c r="N21" t="s">
        <v>60</v>
      </c>
      <c r="P21" s="17">
        <f>ABS(M21-M22)/M23</f>
        <v>0.1957374254049446</v>
      </c>
    </row>
    <row r="22" spans="1:16" x14ac:dyDescent="0.25">
      <c r="L22" s="14" t="s">
        <v>58</v>
      </c>
      <c r="M22">
        <v>0.52910000000000001</v>
      </c>
      <c r="N22" t="s">
        <v>60</v>
      </c>
      <c r="P22" s="17"/>
    </row>
    <row r="23" spans="1:16" x14ac:dyDescent="0.25">
      <c r="L23" s="12" t="s">
        <v>59</v>
      </c>
      <c r="M23" s="13">
        <f>AVERAGE(M21:M22)</f>
        <v>0.58650000000000002</v>
      </c>
      <c r="N23" s="13" t="s">
        <v>60</v>
      </c>
    </row>
  </sheetData>
  <mergeCells count="7">
    <mergeCell ref="A12:A14"/>
    <mergeCell ref="A16:A18"/>
    <mergeCell ref="A1:H1"/>
    <mergeCell ref="C2:E2"/>
    <mergeCell ref="F2:H2"/>
    <mergeCell ref="A4:A6"/>
    <mergeCell ref="A8:A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FBEE9-465E-4F2C-8228-998CAC6DC9BC}">
  <dimension ref="A1:N23"/>
  <sheetViews>
    <sheetView workbookViewId="0">
      <selection activeCell="I21" sqref="I21"/>
    </sheetView>
  </sheetViews>
  <sheetFormatPr defaultRowHeight="15" x14ac:dyDescent="0.25"/>
  <cols>
    <col min="1" max="1" width="13.140625" customWidth="1"/>
    <col min="2" max="8" width="17.85546875" customWidth="1"/>
  </cols>
  <sheetData>
    <row r="1" spans="1:8" x14ac:dyDescent="0.25">
      <c r="A1" s="19" t="s">
        <v>51</v>
      </c>
      <c r="B1" s="19"/>
      <c r="C1" s="19"/>
      <c r="D1" s="19"/>
      <c r="E1" s="19"/>
      <c r="F1" s="19"/>
      <c r="G1" s="19"/>
      <c r="H1" s="19"/>
    </row>
    <row r="2" spans="1:8" x14ac:dyDescent="0.25">
      <c r="A2" s="9"/>
      <c r="B2" s="9"/>
      <c r="C2" s="20" t="s">
        <v>5</v>
      </c>
      <c r="D2" s="20"/>
      <c r="E2" s="20"/>
      <c r="F2" s="20" t="s">
        <v>6</v>
      </c>
      <c r="G2" s="20"/>
      <c r="H2" s="20"/>
    </row>
    <row r="3" spans="1:8" x14ac:dyDescent="0.25">
      <c r="A3" s="10" t="s">
        <v>52</v>
      </c>
      <c r="B3" s="10" t="s">
        <v>53</v>
      </c>
      <c r="C3" s="10" t="s">
        <v>54</v>
      </c>
      <c r="D3" s="10" t="s">
        <v>55</v>
      </c>
      <c r="E3" s="10" t="s">
        <v>56</v>
      </c>
      <c r="F3" s="10" t="s">
        <v>54</v>
      </c>
      <c r="G3" s="10" t="s">
        <v>55</v>
      </c>
      <c r="H3" s="10" t="s">
        <v>56</v>
      </c>
    </row>
    <row r="4" spans="1:8" x14ac:dyDescent="0.25">
      <c r="A4" s="18">
        <v>50</v>
      </c>
      <c r="B4" s="3">
        <v>50</v>
      </c>
      <c r="C4" s="2">
        <v>0.18</v>
      </c>
      <c r="D4" s="7">
        <f>RADIANS(C4)</f>
        <v>3.1415926535897929E-3</v>
      </c>
      <c r="E4" s="7">
        <f>(A$4*9.81*COS(D4)*B4)/(1000*1000)</f>
        <v>2.4524878974075574E-2</v>
      </c>
      <c r="F4" s="2">
        <v>0.04</v>
      </c>
      <c r="G4" s="7">
        <f>RADIANS(F4)</f>
        <v>6.9813170079773186E-4</v>
      </c>
      <c r="H4" s="7">
        <f>(A$4*9.81*COS(G4)*B4)/(1000*1000)</f>
        <v>2.4524994023406466E-2</v>
      </c>
    </row>
    <row r="5" spans="1:8" x14ac:dyDescent="0.25">
      <c r="A5" s="18"/>
      <c r="B5" s="3">
        <v>75</v>
      </c>
      <c r="C5" s="2">
        <v>0.22</v>
      </c>
      <c r="D5" s="7">
        <f t="shared" ref="D5:D21" si="0">RADIANS(C5)</f>
        <v>3.8397243543875251E-3</v>
      </c>
      <c r="E5" s="7">
        <f t="shared" ref="E5:E7" si="1">(A$4*9.81*COS(D5)*B5)/(1000*1000)</f>
        <v>3.6787228812390591E-2</v>
      </c>
      <c r="F5" s="2">
        <v>0.13</v>
      </c>
      <c r="G5" s="7">
        <f t="shared" ref="G5:G21" si="2">RADIANS(F5)</f>
        <v>2.2689280275926286E-3</v>
      </c>
      <c r="H5" s="7">
        <f>(A$4*9.81*COS(G5)*B5)/(1000*1000)</f>
        <v>3.6787405308382981E-2</v>
      </c>
    </row>
    <row r="6" spans="1:8" x14ac:dyDescent="0.25">
      <c r="A6" s="18"/>
      <c r="B6" s="3">
        <v>100</v>
      </c>
      <c r="C6" s="2">
        <v>0.4</v>
      </c>
      <c r="D6" s="7">
        <f t="shared" si="0"/>
        <v>6.9813170079773184E-3</v>
      </c>
      <c r="E6" s="7">
        <f t="shared" si="1"/>
        <v>4.9048804686099609E-2</v>
      </c>
      <c r="F6" s="2">
        <v>0.18</v>
      </c>
      <c r="G6" s="7">
        <f t="shared" si="2"/>
        <v>3.1415926535897929E-3</v>
      </c>
      <c r="H6" s="7">
        <f>(A$4*9.81*COS(G6)*B6)/(1000*1000)</f>
        <v>4.9049757948151147E-2</v>
      </c>
    </row>
    <row r="7" spans="1:8" x14ac:dyDescent="0.25">
      <c r="A7" s="15" t="s">
        <v>0</v>
      </c>
      <c r="B7" s="3">
        <v>0</v>
      </c>
      <c r="C7" s="2">
        <v>0.22</v>
      </c>
      <c r="D7" s="7">
        <f t="shared" si="0"/>
        <v>3.8397243543875251E-3</v>
      </c>
      <c r="E7" s="7">
        <f t="shared" si="1"/>
        <v>0</v>
      </c>
      <c r="F7" s="2">
        <v>0.13</v>
      </c>
      <c r="G7" s="7">
        <f t="shared" si="2"/>
        <v>2.2689280275926286E-3</v>
      </c>
      <c r="H7" s="7">
        <f>(A$4*9.81*COS(G7)*B7)/(1000*1000)</f>
        <v>0</v>
      </c>
    </row>
    <row r="8" spans="1:8" x14ac:dyDescent="0.25">
      <c r="A8" s="18">
        <v>100</v>
      </c>
      <c r="B8" s="3">
        <v>50</v>
      </c>
      <c r="C8" s="2">
        <v>0.18</v>
      </c>
      <c r="D8" s="7">
        <f>RADIANS(C8)</f>
        <v>3.1415926535897929E-3</v>
      </c>
      <c r="E8" s="7">
        <f>(A$8*9.81*COS(D8)*B8)/(1000*1000)</f>
        <v>4.9049757948151147E-2</v>
      </c>
      <c r="F8" s="2">
        <v>0.04</v>
      </c>
      <c r="G8" s="7">
        <f>RADIANS(F8)</f>
        <v>6.9813170079773186E-4</v>
      </c>
      <c r="H8" s="7">
        <f>(A$8*9.81*COS(G8)*B8)/(1000*1000)</f>
        <v>4.9049988046812931E-2</v>
      </c>
    </row>
    <row r="9" spans="1:8" x14ac:dyDescent="0.25">
      <c r="A9" s="18"/>
      <c r="B9" s="3">
        <v>75</v>
      </c>
      <c r="C9" s="2">
        <v>0.35</v>
      </c>
      <c r="D9" s="7">
        <f>RADIANS(C9)</f>
        <v>6.1086523819801532E-3</v>
      </c>
      <c r="E9" s="7">
        <f t="shared" ref="E9:E11" si="3">(A$8*9.81*COS(D9)*B9)/(1000*1000)</f>
        <v>7.3573627255385771E-2</v>
      </c>
      <c r="F9" s="2">
        <v>0.13</v>
      </c>
      <c r="G9" s="7">
        <f>RADIANS(F9)</f>
        <v>2.2689280275926286E-3</v>
      </c>
      <c r="H9" s="7">
        <f t="shared" ref="H9:H11" si="4">(A$8*9.81*COS(G9)*B9)/(1000*1000)</f>
        <v>7.3574810616765962E-2</v>
      </c>
    </row>
    <row r="10" spans="1:8" x14ac:dyDescent="0.25">
      <c r="A10" s="18"/>
      <c r="B10" s="3">
        <v>100</v>
      </c>
      <c r="C10" s="2">
        <v>0.56999999999999995</v>
      </c>
      <c r="D10" s="7">
        <f>RADIANS(C10)</f>
        <v>9.948376736367677E-3</v>
      </c>
      <c r="E10" s="7">
        <f t="shared" si="3"/>
        <v>9.8095145551742605E-2</v>
      </c>
      <c r="F10" s="2">
        <v>0.48</v>
      </c>
      <c r="G10" s="7">
        <f>RADIANS(F10)</f>
        <v>8.377580409572781E-3</v>
      </c>
      <c r="H10" s="7">
        <f t="shared" si="4"/>
        <v>9.8096557502118945E-2</v>
      </c>
    </row>
    <row r="11" spans="1:8" x14ac:dyDescent="0.25">
      <c r="A11" s="15" t="s">
        <v>0</v>
      </c>
      <c r="B11" s="3">
        <v>0</v>
      </c>
      <c r="C11" s="2">
        <v>0.18</v>
      </c>
      <c r="D11" s="7">
        <f>RADIANS(C11)</f>
        <v>3.1415926535897929E-3</v>
      </c>
      <c r="E11" s="7">
        <f t="shared" si="3"/>
        <v>0</v>
      </c>
      <c r="F11" s="2">
        <v>0.31</v>
      </c>
      <c r="G11" s="7">
        <f>RADIANS(F11)</f>
        <v>5.4105206811824215E-3</v>
      </c>
      <c r="H11" s="7">
        <f t="shared" si="4"/>
        <v>0</v>
      </c>
    </row>
    <row r="12" spans="1:8" x14ac:dyDescent="0.25">
      <c r="A12" s="18">
        <v>200</v>
      </c>
      <c r="B12" s="3">
        <v>50</v>
      </c>
      <c r="C12" s="2">
        <v>0.48</v>
      </c>
      <c r="D12" s="7">
        <f t="shared" si="0"/>
        <v>8.377580409572781E-3</v>
      </c>
      <c r="E12" s="7">
        <f>(A$12*9.81*COS(D12)*B12)/(1000*1000)</f>
        <v>9.8096557502118945E-2</v>
      </c>
      <c r="F12" s="2">
        <v>0.31</v>
      </c>
      <c r="G12" s="7">
        <f t="shared" si="2"/>
        <v>5.4105206811824215E-3</v>
      </c>
      <c r="H12" s="7">
        <f>(A$12*9.81*COS(G12)*B12)/(1000*1000)</f>
        <v>9.8098564126848059E-2</v>
      </c>
    </row>
    <row r="13" spans="1:8" x14ac:dyDescent="0.25">
      <c r="A13" s="18"/>
      <c r="B13" s="3">
        <v>75</v>
      </c>
      <c r="C13" s="2">
        <v>1.32</v>
      </c>
      <c r="D13" s="7">
        <f t="shared" si="0"/>
        <v>2.3038346126325149E-2</v>
      </c>
      <c r="E13" s="7">
        <f t="shared" ref="E13:E15" si="5">(A$12*9.81*COS(D13)*B13)/(1000*1000)</f>
        <v>0.14711095066348176</v>
      </c>
      <c r="F13" s="2">
        <v>1.32</v>
      </c>
      <c r="G13" s="7">
        <f t="shared" si="2"/>
        <v>2.3038346126325149E-2</v>
      </c>
      <c r="H13" s="7">
        <f t="shared" ref="H13:H14" si="6">(A$12*9.81*COS(G13)*B13)/(1000*1000)</f>
        <v>0.14711095066348176</v>
      </c>
    </row>
    <row r="14" spans="1:8" x14ac:dyDescent="0.25">
      <c r="A14" s="18"/>
      <c r="B14" s="3">
        <v>100</v>
      </c>
      <c r="C14" s="2">
        <v>2.29</v>
      </c>
      <c r="D14" s="7">
        <f t="shared" si="0"/>
        <v>3.9968039870670144E-2</v>
      </c>
      <c r="E14" s="7">
        <f t="shared" si="5"/>
        <v>0.19604331158297392</v>
      </c>
      <c r="F14" s="2">
        <v>2.0699999999999998</v>
      </c>
      <c r="G14" s="7">
        <f t="shared" si="2"/>
        <v>3.6128315516282622E-2</v>
      </c>
      <c r="H14" s="7">
        <f t="shared" si="6"/>
        <v>0.19607196839371022</v>
      </c>
    </row>
    <row r="15" spans="1:8" x14ac:dyDescent="0.25">
      <c r="A15" s="15" t="s">
        <v>0</v>
      </c>
      <c r="B15" s="3">
        <v>0</v>
      </c>
      <c r="C15" s="2">
        <v>1.1399999999999999</v>
      </c>
      <c r="D15" s="7">
        <f t="shared" si="0"/>
        <v>1.9896753472735354E-2</v>
      </c>
      <c r="E15" s="7">
        <f t="shared" si="5"/>
        <v>0</v>
      </c>
      <c r="F15" s="2">
        <v>1.27</v>
      </c>
      <c r="G15" s="7">
        <f t="shared" si="2"/>
        <v>2.2165681500327987E-2</v>
      </c>
      <c r="H15" s="7">
        <f>(A$12*9.81*COS(G15)*B15)/(1000*1000)</f>
        <v>0</v>
      </c>
    </row>
    <row r="16" spans="1:8" x14ac:dyDescent="0.25">
      <c r="A16" s="18">
        <v>500</v>
      </c>
      <c r="B16" s="3">
        <v>50</v>
      </c>
      <c r="C16" s="2">
        <v>2.59</v>
      </c>
      <c r="D16" s="7">
        <f t="shared" si="0"/>
        <v>4.5204027626653133E-2</v>
      </c>
      <c r="E16" s="7">
        <f>(A$16*9.81*COS(D16)*B16)/(1000*1000)</f>
        <v>0.24499947023604926</v>
      </c>
      <c r="F16" s="2">
        <v>1.32</v>
      </c>
      <c r="G16" s="7">
        <f t="shared" si="2"/>
        <v>2.3038346126325149E-2</v>
      </c>
      <c r="H16" s="7">
        <f>(A$16*9.81*COS(G16)*B16)/(1000*1000)</f>
        <v>0.24518491777246956</v>
      </c>
    </row>
    <row r="17" spans="1:14" x14ac:dyDescent="0.25">
      <c r="A17" s="18"/>
      <c r="B17" s="3">
        <v>75</v>
      </c>
      <c r="C17" s="2">
        <v>5.76</v>
      </c>
      <c r="D17" s="7">
        <f t="shared" si="0"/>
        <v>0.10053096491487337</v>
      </c>
      <c r="E17" s="7">
        <f t="shared" ref="E17:E19" si="7">(A$16*9.81*COS(D17)*B17)/(1000*1000)</f>
        <v>0.36601760537199585</v>
      </c>
      <c r="F17" s="2">
        <v>4.83</v>
      </c>
      <c r="G17" s="7">
        <f t="shared" si="2"/>
        <v>8.4299402871326118E-2</v>
      </c>
      <c r="H17" s="7">
        <f t="shared" ref="H17:H19" si="8">(A$16*9.81*COS(G17)*B17)/(1000*1000)</f>
        <v>0.36656864241239406</v>
      </c>
    </row>
    <row r="18" spans="1:14" x14ac:dyDescent="0.25">
      <c r="A18" s="18"/>
      <c r="B18" s="3">
        <v>100</v>
      </c>
      <c r="C18" s="2">
        <v>8.44</v>
      </c>
      <c r="D18" s="7">
        <f t="shared" si="0"/>
        <v>0.14730578886832141</v>
      </c>
      <c r="E18" s="7">
        <f t="shared" si="7"/>
        <v>0.48518793733557797</v>
      </c>
      <c r="F18" s="2">
        <v>7.52</v>
      </c>
      <c r="G18" s="7">
        <f t="shared" si="2"/>
        <v>0.13124875974997358</v>
      </c>
      <c r="H18" s="7">
        <f t="shared" si="8"/>
        <v>0.4862813266000936</v>
      </c>
    </row>
    <row r="19" spans="1:14" x14ac:dyDescent="0.25">
      <c r="A19" s="15" t="s">
        <v>0</v>
      </c>
      <c r="B19" s="3">
        <v>0</v>
      </c>
      <c r="C19" s="2">
        <v>2.81</v>
      </c>
      <c r="D19" s="7">
        <f t="shared" si="0"/>
        <v>4.9043751981040662E-2</v>
      </c>
      <c r="E19" s="7">
        <f t="shared" si="7"/>
        <v>0</v>
      </c>
      <c r="F19" s="2">
        <v>2.63</v>
      </c>
      <c r="G19" s="7">
        <f t="shared" si="2"/>
        <v>4.5902159327450863E-2</v>
      </c>
      <c r="H19" s="7">
        <f t="shared" si="8"/>
        <v>0</v>
      </c>
    </row>
    <row r="21" spans="1:14" x14ac:dyDescent="0.25">
      <c r="A21" s="11" t="s">
        <v>13</v>
      </c>
      <c r="B21" s="2"/>
      <c r="C21" s="2">
        <v>23</v>
      </c>
      <c r="D21" s="8">
        <f t="shared" si="0"/>
        <v>0.4014257279586958</v>
      </c>
      <c r="E21" s="2"/>
      <c r="F21" s="2">
        <v>25</v>
      </c>
      <c r="G21" s="8">
        <f t="shared" si="2"/>
        <v>0.43633231299858238</v>
      </c>
      <c r="L21" s="14" t="s">
        <v>57</v>
      </c>
      <c r="M21">
        <v>3.1013000000000002</v>
      </c>
      <c r="N21" t="s">
        <v>60</v>
      </c>
    </row>
    <row r="22" spans="1:14" x14ac:dyDescent="0.25">
      <c r="L22" s="14" t="s">
        <v>58</v>
      </c>
      <c r="M22">
        <v>3.4339</v>
      </c>
      <c r="N22" t="s">
        <v>60</v>
      </c>
    </row>
    <row r="23" spans="1:14" x14ac:dyDescent="0.25">
      <c r="L23" s="12" t="s">
        <v>59</v>
      </c>
      <c r="M23" s="13">
        <f>AVERAGE(M21:M22)</f>
        <v>3.2675999999999998</v>
      </c>
      <c r="N23" s="13" t="s">
        <v>60</v>
      </c>
    </row>
  </sheetData>
  <mergeCells count="7">
    <mergeCell ref="A16:A18"/>
    <mergeCell ref="A1:H1"/>
    <mergeCell ref="C2:E2"/>
    <mergeCell ref="F2:H2"/>
    <mergeCell ref="A4:A6"/>
    <mergeCell ref="A8:A10"/>
    <mergeCell ref="A12:A1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6D04F-DDA3-4D38-BAAD-DF6A01F783DA}">
  <dimension ref="A1:N33"/>
  <sheetViews>
    <sheetView workbookViewId="0">
      <selection activeCell="G34" sqref="G34"/>
    </sheetView>
  </sheetViews>
  <sheetFormatPr defaultRowHeight="15" x14ac:dyDescent="0.25"/>
  <cols>
    <col min="1" max="1" width="13.140625" customWidth="1"/>
    <col min="2" max="8" width="17.85546875" customWidth="1"/>
  </cols>
  <sheetData>
    <row r="1" spans="1:8" x14ac:dyDescent="0.25">
      <c r="A1" s="19" t="s">
        <v>62</v>
      </c>
      <c r="B1" s="19"/>
      <c r="C1" s="19"/>
      <c r="D1" s="19"/>
      <c r="E1" s="19"/>
      <c r="F1" s="19"/>
      <c r="G1" s="19"/>
      <c r="H1" s="19"/>
    </row>
    <row r="2" spans="1:8" x14ac:dyDescent="0.25">
      <c r="A2" s="9"/>
      <c r="B2" s="9"/>
      <c r="C2" s="20" t="s">
        <v>5</v>
      </c>
      <c r="D2" s="20"/>
      <c r="E2" s="20"/>
      <c r="F2" s="20" t="s">
        <v>6</v>
      </c>
      <c r="G2" s="20"/>
      <c r="H2" s="20"/>
    </row>
    <row r="3" spans="1:8" x14ac:dyDescent="0.25">
      <c r="A3" s="10" t="s">
        <v>52</v>
      </c>
      <c r="B3" s="10" t="s">
        <v>53</v>
      </c>
      <c r="C3" s="10" t="s">
        <v>54</v>
      </c>
      <c r="D3" s="10" t="s">
        <v>55</v>
      </c>
      <c r="E3" s="10" t="s">
        <v>56</v>
      </c>
      <c r="F3" s="10" t="s">
        <v>54</v>
      </c>
      <c r="G3" s="10" t="s">
        <v>55</v>
      </c>
      <c r="H3" s="10" t="s">
        <v>56</v>
      </c>
    </row>
    <row r="4" spans="1:8" x14ac:dyDescent="0.25">
      <c r="A4" s="18">
        <v>50</v>
      </c>
      <c r="B4" s="3">
        <v>50</v>
      </c>
      <c r="C4" s="2">
        <v>1.8</v>
      </c>
      <c r="D4" s="7">
        <f>RADIANS(C4)</f>
        <v>3.1415926535897934E-2</v>
      </c>
      <c r="E4" s="7">
        <f>(A$4*9.81*COS(D4)*B4)/(1000*1000)</f>
        <v>2.4512898392969568E-2</v>
      </c>
      <c r="F4" s="2">
        <v>-1.27</v>
      </c>
      <c r="G4" s="7">
        <f>RADIANS(F4)</f>
        <v>-2.2165681500327987E-2</v>
      </c>
      <c r="H4" s="7">
        <f>(A$4*9.81*COS(G4)*B4)/(1000*1000)</f>
        <v>2.4518975466605718E-2</v>
      </c>
    </row>
    <row r="5" spans="1:8" x14ac:dyDescent="0.25">
      <c r="A5" s="18"/>
      <c r="B5" s="3">
        <v>75</v>
      </c>
      <c r="C5" s="2">
        <v>2.99</v>
      </c>
      <c r="D5" s="7">
        <f t="shared" ref="D5:D21" si="0">RADIANS(C5)</f>
        <v>5.2185344634630454E-2</v>
      </c>
      <c r="E5" s="7">
        <f t="shared" ref="E5:E7" si="1">(A$4*9.81*COS(D5)*B5)/(1000*1000)</f>
        <v>3.6737419480054385E-2</v>
      </c>
      <c r="F5" s="2">
        <v>2.2400000000000002</v>
      </c>
      <c r="G5" s="7">
        <f t="shared" ref="G5:G21" si="2">RADIANS(F5)</f>
        <v>3.9095375244672985E-2</v>
      </c>
      <c r="H5" s="7">
        <f>(A$4*9.81*COS(G5)*B5)/(1000*1000)</f>
        <v>3.6759389683580931E-2</v>
      </c>
    </row>
    <row r="6" spans="1:8" x14ac:dyDescent="0.25">
      <c r="A6" s="18"/>
      <c r="B6" s="3">
        <v>100</v>
      </c>
      <c r="C6" s="2">
        <v>4.04</v>
      </c>
      <c r="D6" s="7">
        <f t="shared" si="0"/>
        <v>7.0511301780570912E-2</v>
      </c>
      <c r="E6" s="7">
        <f t="shared" si="1"/>
        <v>4.8928116045331246E-2</v>
      </c>
      <c r="F6" s="2">
        <v>3.34</v>
      </c>
      <c r="G6" s="7">
        <f t="shared" si="2"/>
        <v>5.8293997016610602E-2</v>
      </c>
      <c r="H6" s="7">
        <f>(A$4*9.81*COS(G6)*B6)/(1000*1000)</f>
        <v>4.8966682986017869E-2</v>
      </c>
    </row>
    <row r="7" spans="1:8" x14ac:dyDescent="0.25">
      <c r="A7" s="15" t="s">
        <v>0</v>
      </c>
      <c r="B7" s="3">
        <v>0</v>
      </c>
      <c r="C7" s="2">
        <v>0.97</v>
      </c>
      <c r="D7" s="7">
        <f t="shared" si="0"/>
        <v>1.6929693744344994E-2</v>
      </c>
      <c r="E7" s="7">
        <f t="shared" si="1"/>
        <v>0</v>
      </c>
      <c r="F7" s="2">
        <v>-0.26</v>
      </c>
      <c r="G7" s="7">
        <f t="shared" si="2"/>
        <v>-4.5378560551852572E-3</v>
      </c>
      <c r="H7" s="7">
        <f>(A$4*9.81*COS(G7)*B7)/(1000*1000)</f>
        <v>0</v>
      </c>
    </row>
    <row r="8" spans="1:8" x14ac:dyDescent="0.25">
      <c r="A8" s="18">
        <v>100</v>
      </c>
      <c r="B8" s="3">
        <v>50</v>
      </c>
      <c r="C8" s="2">
        <v>3.69</v>
      </c>
      <c r="D8" s="7">
        <f t="shared" si="0"/>
        <v>6.4402649398590764E-2</v>
      </c>
      <c r="E8" s="7">
        <f>(A$8*9.81*COS(D8)*B8)/(1000*1000)</f>
        <v>4.8948312781495106E-2</v>
      </c>
      <c r="F8" s="2">
        <v>2.2400000000000002</v>
      </c>
      <c r="G8" s="7">
        <f t="shared" si="2"/>
        <v>3.9095375244672985E-2</v>
      </c>
      <c r="H8" s="7">
        <f>(A$8*9.81*COS(G8)*B8)/(1000*1000)</f>
        <v>4.9012519578107899E-2</v>
      </c>
    </row>
    <row r="9" spans="1:8" x14ac:dyDescent="0.25">
      <c r="A9" s="18"/>
      <c r="B9" s="3">
        <v>75</v>
      </c>
      <c r="C9" s="2">
        <v>6.28</v>
      </c>
      <c r="D9" s="7">
        <f t="shared" si="0"/>
        <v>0.1096066770252439</v>
      </c>
      <c r="E9" s="7">
        <f t="shared" ref="E9:E11" si="3">(A$8*9.81*COS(D9)*B9)/(1000*1000)</f>
        <v>7.3133491095815045E-2</v>
      </c>
      <c r="F9" s="2">
        <v>4.75</v>
      </c>
      <c r="G9" s="7">
        <f t="shared" si="2"/>
        <v>8.2903139469730658E-2</v>
      </c>
      <c r="H9" s="7">
        <f t="shared" ref="H9:H11" si="4">(A$8*9.81*COS(G9)*B9)/(1000*1000)</f>
        <v>7.3322306846272792E-2</v>
      </c>
    </row>
    <row r="10" spans="1:8" x14ac:dyDescent="0.25">
      <c r="A10" s="18"/>
      <c r="B10" s="3">
        <v>100</v>
      </c>
      <c r="C10" s="2">
        <v>8.8800000000000008</v>
      </c>
      <c r="D10" s="7">
        <f t="shared" si="0"/>
        <v>0.15498523757709648</v>
      </c>
      <c r="E10" s="7">
        <f t="shared" si="3"/>
        <v>9.6924154730676809E-2</v>
      </c>
      <c r="F10" s="2">
        <v>7.91</v>
      </c>
      <c r="G10" s="7">
        <f t="shared" si="2"/>
        <v>0.13805554383275148</v>
      </c>
      <c r="H10" s="7">
        <f t="shared" si="4"/>
        <v>9.7166623582192094E-2</v>
      </c>
    </row>
    <row r="11" spans="1:8" x14ac:dyDescent="0.25">
      <c r="A11" s="15" t="s">
        <v>0</v>
      </c>
      <c r="B11" s="3">
        <v>0</v>
      </c>
      <c r="C11" s="2">
        <v>1.23</v>
      </c>
      <c r="D11" s="7">
        <f t="shared" si="0"/>
        <v>2.1467549799530253E-2</v>
      </c>
      <c r="E11" s="7">
        <f t="shared" si="3"/>
        <v>0</v>
      </c>
      <c r="F11" s="2">
        <v>-1.1399999999999999</v>
      </c>
      <c r="G11" s="7">
        <f t="shared" si="2"/>
        <v>-1.9896753472735354E-2</v>
      </c>
      <c r="H11" s="7">
        <f t="shared" si="4"/>
        <v>0</v>
      </c>
    </row>
    <row r="12" spans="1:8" x14ac:dyDescent="0.25">
      <c r="A12" s="18">
        <v>200</v>
      </c>
      <c r="B12" s="3">
        <v>50</v>
      </c>
      <c r="C12" s="2">
        <v>8.0399999999999991</v>
      </c>
      <c r="D12" s="7">
        <f t="shared" si="0"/>
        <v>0.14032447186034408</v>
      </c>
      <c r="E12" s="7">
        <f>(A$12*9.81*COS(D12)*B12)/(1000*1000)</f>
        <v>9.7135742361427496E-2</v>
      </c>
      <c r="F12" s="2">
        <v>6.86</v>
      </c>
      <c r="G12" s="7">
        <f t="shared" si="2"/>
        <v>0.11972958668681101</v>
      </c>
      <c r="H12" s="7">
        <f>(A$12*9.81*COS(G12)*B12)/(1000*1000)</f>
        <v>9.7397699287406533E-2</v>
      </c>
    </row>
    <row r="13" spans="1:8" x14ac:dyDescent="0.25">
      <c r="A13" s="18"/>
      <c r="B13" s="3">
        <v>75</v>
      </c>
      <c r="C13" s="2">
        <v>12.53</v>
      </c>
      <c r="D13" s="7">
        <f t="shared" si="0"/>
        <v>0.21868975527488949</v>
      </c>
      <c r="E13" s="7">
        <f t="shared" ref="E13:E15" si="5">(A$12*9.81*COS(D13)*B13)/(1000*1000)</f>
        <v>0.14364526161148561</v>
      </c>
      <c r="F13" s="2">
        <v>10.94</v>
      </c>
      <c r="G13" s="7">
        <f t="shared" si="2"/>
        <v>0.19093902016817965</v>
      </c>
      <c r="H13" s="7">
        <f t="shared" ref="H13:H14" si="6">(A$12*9.81*COS(G13)*B13)/(1000*1000)</f>
        <v>0.14447576357230818</v>
      </c>
    </row>
    <row r="14" spans="1:8" x14ac:dyDescent="0.25">
      <c r="A14" s="18"/>
      <c r="B14" s="3">
        <v>100</v>
      </c>
      <c r="C14" s="2">
        <v>17.18</v>
      </c>
      <c r="D14" s="7">
        <f t="shared" si="0"/>
        <v>0.29984756549262581</v>
      </c>
      <c r="E14" s="7">
        <f t="shared" si="5"/>
        <v>0.18744585530375152</v>
      </c>
      <c r="F14" s="2">
        <v>16.920000000000002</v>
      </c>
      <c r="G14" s="7">
        <f t="shared" si="2"/>
        <v>0.29530970943744062</v>
      </c>
      <c r="H14" s="7">
        <f t="shared" si="6"/>
        <v>0.18770690451584252</v>
      </c>
    </row>
    <row r="15" spans="1:8" x14ac:dyDescent="0.25">
      <c r="A15" s="15" t="s">
        <v>0</v>
      </c>
      <c r="B15" s="3">
        <v>0</v>
      </c>
      <c r="C15" s="2">
        <v>2.5499999999999998</v>
      </c>
      <c r="D15" s="7">
        <f t="shared" si="0"/>
        <v>4.4505895925855403E-2</v>
      </c>
      <c r="E15" s="7">
        <f t="shared" si="5"/>
        <v>0</v>
      </c>
      <c r="F15" s="2">
        <v>-2.33</v>
      </c>
      <c r="G15" s="7">
        <f t="shared" si="2"/>
        <v>-4.0666171571467881E-2</v>
      </c>
      <c r="H15" s="7">
        <f>(A$12*9.81*COS(G15)*B15)/(1000*1000)</f>
        <v>0</v>
      </c>
    </row>
    <row r="16" spans="1:8" x14ac:dyDescent="0.25">
      <c r="A16" s="18">
        <v>500</v>
      </c>
      <c r="B16" s="3">
        <v>50</v>
      </c>
      <c r="C16" s="2">
        <v>16.75</v>
      </c>
      <c r="D16" s="7">
        <f t="shared" si="0"/>
        <v>0.29234264970905022</v>
      </c>
      <c r="E16" s="7">
        <f>(A$16*9.81*COS(D16)*B16)/(1000*1000)</f>
        <v>0.23484437623738072</v>
      </c>
      <c r="F16" s="2">
        <v>15.36</v>
      </c>
      <c r="G16" s="7">
        <f t="shared" si="2"/>
        <v>0.26808257310632899</v>
      </c>
      <c r="H16" s="7">
        <f>(A$16*9.81*COS(G16)*B16)/(1000*1000)</f>
        <v>0.23648980793321431</v>
      </c>
    </row>
    <row r="17" spans="1:14" x14ac:dyDescent="0.25">
      <c r="A17" s="18"/>
      <c r="B17" s="3">
        <v>75</v>
      </c>
      <c r="C17" s="2">
        <v>24.96</v>
      </c>
      <c r="D17" s="7">
        <f t="shared" si="0"/>
        <v>0.4356341812977847</v>
      </c>
      <c r="E17" s="7">
        <f t="shared" ref="E17:E19" si="7">(A$16*9.81*COS(D17)*B17)/(1000*1000)</f>
        <v>0.33351643491714661</v>
      </c>
      <c r="F17" s="2">
        <v>22.89</v>
      </c>
      <c r="G17" s="7">
        <f t="shared" si="2"/>
        <v>0.39950586578150205</v>
      </c>
      <c r="H17" s="7">
        <f t="shared" ref="H17:H19" si="8">(A$16*9.81*COS(G17)*B17)/(1000*1000)</f>
        <v>0.33890606011993341</v>
      </c>
    </row>
    <row r="18" spans="1:14" x14ac:dyDescent="0.25">
      <c r="A18" s="18"/>
      <c r="B18" s="3">
        <v>100</v>
      </c>
      <c r="C18" s="2">
        <v>29.04</v>
      </c>
      <c r="D18" s="7">
        <f t="shared" si="0"/>
        <v>0.5068436147791533</v>
      </c>
      <c r="E18" s="7">
        <f t="shared" si="7"/>
        <v>0.42883484671722177</v>
      </c>
      <c r="F18" s="2">
        <v>32.49</v>
      </c>
      <c r="G18" s="7">
        <f t="shared" si="2"/>
        <v>0.56705747397295769</v>
      </c>
      <c r="H18" s="7">
        <f t="shared" si="8"/>
        <v>0.41372949522991614</v>
      </c>
    </row>
    <row r="19" spans="1:14" x14ac:dyDescent="0.25">
      <c r="A19" s="15" t="s">
        <v>0</v>
      </c>
      <c r="B19" s="3">
        <v>0</v>
      </c>
      <c r="C19" s="2">
        <v>4.09</v>
      </c>
      <c r="D19" s="7">
        <f t="shared" si="0"/>
        <v>7.1383966406568078E-2</v>
      </c>
      <c r="E19" s="7">
        <f t="shared" si="7"/>
        <v>0</v>
      </c>
      <c r="F19" s="2">
        <f>-5.23</f>
        <v>-5.23</v>
      </c>
      <c r="G19" s="7">
        <f t="shared" si="2"/>
        <v>-9.1280719879303446E-2</v>
      </c>
      <c r="H19" s="7">
        <f t="shared" si="8"/>
        <v>0</v>
      </c>
    </row>
    <row r="21" spans="1:14" x14ac:dyDescent="0.25">
      <c r="A21" s="11" t="s">
        <v>13</v>
      </c>
      <c r="B21" s="2"/>
      <c r="C21" s="2">
        <v>34</v>
      </c>
      <c r="D21" s="8">
        <f t="shared" si="0"/>
        <v>0.59341194567807209</v>
      </c>
      <c r="E21" s="2"/>
      <c r="F21" s="2">
        <v>33</v>
      </c>
      <c r="G21" s="8">
        <f t="shared" si="2"/>
        <v>0.57595865315812877</v>
      </c>
      <c r="L21" s="14" t="s">
        <v>57</v>
      </c>
      <c r="M21">
        <v>0.81200000000000006</v>
      </c>
      <c r="N21" t="s">
        <v>60</v>
      </c>
    </row>
    <row r="22" spans="1:14" x14ac:dyDescent="0.25">
      <c r="L22" s="14" t="s">
        <v>58</v>
      </c>
      <c r="M22">
        <v>0.71709999999999996</v>
      </c>
      <c r="N22" t="s">
        <v>60</v>
      </c>
    </row>
    <row r="23" spans="1:14" x14ac:dyDescent="0.25">
      <c r="L23" s="12" t="s">
        <v>59</v>
      </c>
      <c r="M23" s="13">
        <f>AVERAGE(M21:M22)</f>
        <v>0.76455000000000006</v>
      </c>
      <c r="N23" s="13" t="s">
        <v>60</v>
      </c>
    </row>
    <row r="33" spans="7:7" x14ac:dyDescent="0.25">
      <c r="G33">
        <f>0.8175/0.5865</f>
        <v>1.3938618925831201</v>
      </c>
    </row>
  </sheetData>
  <mergeCells count="7">
    <mergeCell ref="A16:A18"/>
    <mergeCell ref="A1:H1"/>
    <mergeCell ref="C2:E2"/>
    <mergeCell ref="F2:H2"/>
    <mergeCell ref="A4:A6"/>
    <mergeCell ref="A8:A10"/>
    <mergeCell ref="A12:A1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2740F-38F5-465B-9AB1-2A355D2F4BF6}">
  <dimension ref="A1:N23"/>
  <sheetViews>
    <sheetView workbookViewId="0">
      <selection activeCell="E30" sqref="E30"/>
    </sheetView>
  </sheetViews>
  <sheetFormatPr defaultRowHeight="15" x14ac:dyDescent="0.25"/>
  <cols>
    <col min="1" max="1" width="13.140625" customWidth="1"/>
    <col min="2" max="8" width="17.85546875" customWidth="1"/>
  </cols>
  <sheetData>
    <row r="1" spans="1:8" x14ac:dyDescent="0.25">
      <c r="A1" s="19" t="s">
        <v>63</v>
      </c>
      <c r="B1" s="19"/>
      <c r="C1" s="19"/>
      <c r="D1" s="19"/>
      <c r="E1" s="19"/>
      <c r="F1" s="19"/>
      <c r="G1" s="19"/>
      <c r="H1" s="19"/>
    </row>
    <row r="2" spans="1:8" x14ac:dyDescent="0.25">
      <c r="A2" s="9"/>
      <c r="B2" s="9"/>
      <c r="C2" s="20" t="s">
        <v>5</v>
      </c>
      <c r="D2" s="20"/>
      <c r="E2" s="20"/>
      <c r="F2" s="20" t="s">
        <v>6</v>
      </c>
      <c r="G2" s="20"/>
      <c r="H2" s="20"/>
    </row>
    <row r="3" spans="1:8" x14ac:dyDescent="0.25">
      <c r="A3" s="10" t="s">
        <v>52</v>
      </c>
      <c r="B3" s="10" t="s">
        <v>53</v>
      </c>
      <c r="C3" s="10" t="s">
        <v>54</v>
      </c>
      <c r="D3" s="10" t="s">
        <v>55</v>
      </c>
      <c r="E3" s="10" t="s">
        <v>56</v>
      </c>
      <c r="F3" s="10" t="s">
        <v>54</v>
      </c>
      <c r="G3" s="10" t="s">
        <v>55</v>
      </c>
      <c r="H3" s="10" t="s">
        <v>56</v>
      </c>
    </row>
    <row r="4" spans="1:8" x14ac:dyDescent="0.25">
      <c r="A4" s="18">
        <v>50</v>
      </c>
      <c r="B4" s="3">
        <v>50</v>
      </c>
      <c r="C4" s="2">
        <v>1.4</v>
      </c>
      <c r="D4" s="7">
        <f>RADIANS(C4)</f>
        <v>2.4434609527920613E-2</v>
      </c>
      <c r="E4" s="7">
        <f>(A$4*9.81*COS(D4)*B4)/(1000*1000)</f>
        <v>2.4517679036883518E-2</v>
      </c>
      <c r="F4" s="2">
        <v>0.09</v>
      </c>
      <c r="G4" s="7">
        <f>RADIANS(F4)</f>
        <v>1.5707963267948964E-3</v>
      </c>
      <c r="H4" s="7">
        <f>(A$4*9.81*COS(G4)*B4)/(1000*1000)</f>
        <v>2.4524969743500227E-2</v>
      </c>
    </row>
    <row r="5" spans="1:8" x14ac:dyDescent="0.25">
      <c r="A5" s="18"/>
      <c r="B5" s="3">
        <v>75</v>
      </c>
      <c r="C5" s="2">
        <v>2.33</v>
      </c>
      <c r="D5" s="7">
        <f t="shared" ref="D5:D21" si="0">RADIANS(C5)</f>
        <v>4.0666171571467881E-2</v>
      </c>
      <c r="E5" s="7">
        <f t="shared" ref="E5:E7" si="1">(A$4*9.81*COS(D5)*B5)/(1000*1000)</f>
        <v>3.675708575744803E-2</v>
      </c>
      <c r="F5" s="2">
        <v>1.05</v>
      </c>
      <c r="G5" s="7">
        <f t="shared" ref="G5:G21" si="2">RADIANS(F5)</f>
        <v>1.8325957145940461E-2</v>
      </c>
      <c r="H5" s="7">
        <f>(A$4*9.81*COS(G5)*B5)/(1000*1000)</f>
        <v>3.6781322802909036E-2</v>
      </c>
    </row>
    <row r="6" spans="1:8" x14ac:dyDescent="0.25">
      <c r="A6" s="18"/>
      <c r="B6" s="3">
        <v>100</v>
      </c>
      <c r="C6" s="2">
        <v>3.25</v>
      </c>
      <c r="D6" s="7">
        <f t="shared" si="0"/>
        <v>5.6723200689815713E-2</v>
      </c>
      <c r="E6" s="7">
        <f t="shared" si="1"/>
        <v>4.8971111440837961E-2</v>
      </c>
      <c r="F6" s="2">
        <v>1.93</v>
      </c>
      <c r="G6" s="7">
        <f t="shared" si="2"/>
        <v>3.368485456349056E-2</v>
      </c>
      <c r="H6" s="7">
        <f>(A$4*9.81*COS(G6)*B6)/(1000*1000)</f>
        <v>4.9022174863480636E-2</v>
      </c>
    </row>
    <row r="7" spans="1:8" x14ac:dyDescent="0.25">
      <c r="A7" s="15" t="s">
        <v>0</v>
      </c>
      <c r="B7" s="3">
        <v>0</v>
      </c>
      <c r="C7" s="2">
        <v>1.41</v>
      </c>
      <c r="D7" s="7">
        <f t="shared" si="0"/>
        <v>2.4609142453120045E-2</v>
      </c>
      <c r="E7" s="7">
        <f t="shared" si="1"/>
        <v>0</v>
      </c>
      <c r="F7" s="2">
        <v>0.56999999999999995</v>
      </c>
      <c r="G7" s="7">
        <f t="shared" si="2"/>
        <v>9.948376736367677E-3</v>
      </c>
      <c r="H7" s="7">
        <f>(A$4*9.81*COS(G7)*B7)/(1000*1000)</f>
        <v>0</v>
      </c>
    </row>
    <row r="8" spans="1:8" x14ac:dyDescent="0.25">
      <c r="A8" s="18">
        <v>100</v>
      </c>
      <c r="B8" s="3">
        <v>50</v>
      </c>
      <c r="C8" s="2">
        <v>4</v>
      </c>
      <c r="D8" s="7">
        <f t="shared" si="0"/>
        <v>6.9813170079773182E-2</v>
      </c>
      <c r="E8" s="7">
        <f>(A$8*9.81*COS(D8)*B8)/(1000*1000)</f>
        <v>4.8930516665244374E-2</v>
      </c>
      <c r="F8" s="2">
        <v>1.45</v>
      </c>
      <c r="G8" s="7">
        <f t="shared" si="2"/>
        <v>2.5307274153917779E-2</v>
      </c>
      <c r="H8" s="7">
        <f>(A$8*9.81*COS(G8)*B8)/(1000*1000)</f>
        <v>4.9034293602782872E-2</v>
      </c>
    </row>
    <row r="9" spans="1:8" x14ac:dyDescent="0.25">
      <c r="A9" s="18"/>
      <c r="B9" s="3">
        <v>75</v>
      </c>
      <c r="C9" s="2">
        <v>6.07</v>
      </c>
      <c r="D9" s="7">
        <f t="shared" si="0"/>
        <v>0.1059414855960558</v>
      </c>
      <c r="E9" s="7">
        <f t="shared" ref="E9:E11" si="3">(A$8*9.81*COS(D9)*B9)/(1000*1000)</f>
        <v>7.3162497904713381E-2</v>
      </c>
      <c r="F9" s="2">
        <v>3.38</v>
      </c>
      <c r="G9" s="7">
        <f t="shared" si="2"/>
        <v>5.8992128717408339E-2</v>
      </c>
      <c r="H9" s="7">
        <f t="shared" ref="H9:H11" si="4">(A$8*9.81*COS(G9)*B9)/(1000*1000)</f>
        <v>7.34470140020268E-2</v>
      </c>
    </row>
    <row r="10" spans="1:8" x14ac:dyDescent="0.25">
      <c r="A10" s="18"/>
      <c r="B10" s="3">
        <v>100</v>
      </c>
      <c r="C10" s="2">
        <v>7.91</v>
      </c>
      <c r="D10" s="7">
        <f t="shared" si="0"/>
        <v>0.13805554383275148</v>
      </c>
      <c r="E10" s="7">
        <f t="shared" si="3"/>
        <v>9.7166623582192094E-2</v>
      </c>
      <c r="F10" s="2">
        <v>6.15</v>
      </c>
      <c r="G10" s="7">
        <f t="shared" si="2"/>
        <v>0.10733774899765128</v>
      </c>
      <c r="H10" s="7">
        <f t="shared" si="4"/>
        <v>9.753541808130764E-2</v>
      </c>
    </row>
    <row r="11" spans="1:8" x14ac:dyDescent="0.25">
      <c r="A11" s="15" t="s">
        <v>0</v>
      </c>
      <c r="B11" s="3">
        <v>0</v>
      </c>
      <c r="C11" s="2">
        <v>2.33</v>
      </c>
      <c r="D11" s="7">
        <f t="shared" si="0"/>
        <v>4.0666171571467881E-2</v>
      </c>
      <c r="E11" s="7">
        <f t="shared" si="3"/>
        <v>0</v>
      </c>
      <c r="F11" s="2">
        <v>0</v>
      </c>
      <c r="G11" s="7">
        <f t="shared" si="2"/>
        <v>0</v>
      </c>
      <c r="H11" s="7">
        <f t="shared" si="4"/>
        <v>0</v>
      </c>
    </row>
    <row r="12" spans="1:8" x14ac:dyDescent="0.25">
      <c r="A12" s="18">
        <v>200</v>
      </c>
      <c r="B12" s="3">
        <v>50</v>
      </c>
      <c r="C12" s="2">
        <v>6.94</v>
      </c>
      <c r="D12" s="7">
        <f t="shared" si="0"/>
        <v>0.12112585008840648</v>
      </c>
      <c r="E12" s="7">
        <f>(A$12*9.81*COS(D12)*B12)/(1000*1000)</f>
        <v>9.7381243732693801E-2</v>
      </c>
      <c r="F12" s="2">
        <v>5.76</v>
      </c>
      <c r="G12" s="7">
        <f t="shared" si="2"/>
        <v>0.10053096491487337</v>
      </c>
      <c r="H12" s="7">
        <f>(A$12*9.81*COS(G12)*B12)/(1000*1000)</f>
        <v>9.7604694765865543E-2</v>
      </c>
    </row>
    <row r="13" spans="1:8" x14ac:dyDescent="0.25">
      <c r="A13" s="18"/>
      <c r="B13" s="3">
        <v>75</v>
      </c>
      <c r="C13" s="2">
        <v>10.94</v>
      </c>
      <c r="D13" s="7">
        <f t="shared" si="0"/>
        <v>0.19093902016817965</v>
      </c>
      <c r="E13" s="7">
        <f t="shared" ref="E13:E15" si="5">(A$12*9.81*COS(D13)*B13)/(1000*1000)</f>
        <v>0.14447576357230818</v>
      </c>
      <c r="F13" s="2">
        <v>10.28</v>
      </c>
      <c r="G13" s="7">
        <f t="shared" si="2"/>
        <v>0.17941984710501707</v>
      </c>
      <c r="H13" s="7">
        <f t="shared" ref="H13:H14" si="6">(A$12*9.81*COS(G13)*B13)/(1000*1000)</f>
        <v>0.14478785869422364</v>
      </c>
    </row>
    <row r="14" spans="1:8" x14ac:dyDescent="0.25">
      <c r="A14" s="18"/>
      <c r="B14" s="3">
        <v>100</v>
      </c>
      <c r="C14" s="2">
        <v>14.94</v>
      </c>
      <c r="D14" s="7">
        <f t="shared" si="0"/>
        <v>0.26075219024795282</v>
      </c>
      <c r="E14" s="7">
        <f t="shared" si="5"/>
        <v>0.18956772019747242</v>
      </c>
      <c r="F14" s="2">
        <v>16.170000000000002</v>
      </c>
      <c r="G14" s="7">
        <f t="shared" si="2"/>
        <v>0.28221974004748313</v>
      </c>
      <c r="H14" s="7">
        <f t="shared" si="6"/>
        <v>0.18843825608030276</v>
      </c>
    </row>
    <row r="15" spans="1:8" x14ac:dyDescent="0.25">
      <c r="A15" s="15" t="s">
        <v>0</v>
      </c>
      <c r="B15" s="3">
        <v>0</v>
      </c>
      <c r="C15" s="2">
        <v>3.56</v>
      </c>
      <c r="D15" s="7">
        <f t="shared" si="0"/>
        <v>6.2133721370998131E-2</v>
      </c>
      <c r="E15" s="7">
        <f t="shared" si="5"/>
        <v>0</v>
      </c>
      <c r="F15" s="2">
        <v>1.93</v>
      </c>
      <c r="G15" s="7">
        <f t="shared" si="2"/>
        <v>3.368485456349056E-2</v>
      </c>
      <c r="H15" s="7">
        <f>(A$12*9.81*COS(G15)*B15)/(1000*1000)</f>
        <v>0</v>
      </c>
    </row>
    <row r="16" spans="1:8" x14ac:dyDescent="0.25">
      <c r="A16" s="18">
        <v>500</v>
      </c>
      <c r="B16" s="3">
        <v>50</v>
      </c>
      <c r="C16" s="2">
        <v>14.46</v>
      </c>
      <c r="D16" s="7">
        <f t="shared" si="0"/>
        <v>0.25237460983838006</v>
      </c>
      <c r="E16" s="7">
        <f>(A$16*9.81*COS(D16)*B16)/(1000*1000)</f>
        <v>0.23748102019998255</v>
      </c>
      <c r="F16" s="2">
        <v>14.42</v>
      </c>
      <c r="G16" s="7">
        <f t="shared" si="2"/>
        <v>0.25167647813758232</v>
      </c>
      <c r="H16" s="7">
        <f>(A$16*9.81*COS(G16)*B16)/(1000*1000)</f>
        <v>0.23752371585186985</v>
      </c>
    </row>
    <row r="17" spans="1:14" x14ac:dyDescent="0.25">
      <c r="A17" s="18"/>
      <c r="B17" s="3">
        <v>75</v>
      </c>
      <c r="C17" s="2">
        <v>21.54</v>
      </c>
      <c r="D17" s="7">
        <f t="shared" si="0"/>
        <v>0.37594392087957856</v>
      </c>
      <c r="E17" s="7">
        <f t="shared" ref="E17:E19" si="7">(A$16*9.81*COS(D17)*B17)/(1000*1000)</f>
        <v>0.34218315266747384</v>
      </c>
      <c r="F17" s="2">
        <v>21.84</v>
      </c>
      <c r="G17" s="7">
        <f t="shared" si="2"/>
        <v>0.38117990863556156</v>
      </c>
      <c r="H17" s="7">
        <f t="shared" ref="H17:H19" si="8">(A$16*9.81*COS(G17)*B17)/(1000*1000)</f>
        <v>0.34147126371540037</v>
      </c>
    </row>
    <row r="18" spans="1:14" x14ac:dyDescent="0.25">
      <c r="A18" s="18"/>
      <c r="B18" s="3">
        <v>100</v>
      </c>
      <c r="C18" s="2">
        <v>27.25</v>
      </c>
      <c r="D18" s="7">
        <f t="shared" si="0"/>
        <v>0.4756022211684548</v>
      </c>
      <c r="E18" s="7">
        <f t="shared" si="7"/>
        <v>0.43606290789875374</v>
      </c>
      <c r="F18" s="2">
        <v>32.479999999999997</v>
      </c>
      <c r="G18" s="7">
        <f t="shared" si="2"/>
        <v>0.56688294104775816</v>
      </c>
      <c r="H18" s="7">
        <f t="shared" si="8"/>
        <v>0.41377547368569079</v>
      </c>
    </row>
    <row r="19" spans="1:14" x14ac:dyDescent="0.25">
      <c r="A19" s="15" t="s">
        <v>0</v>
      </c>
      <c r="B19" s="3">
        <v>0</v>
      </c>
      <c r="C19" s="2">
        <v>4.66</v>
      </c>
      <c r="D19" s="7">
        <f t="shared" si="0"/>
        <v>8.1332343142935762E-2</v>
      </c>
      <c r="E19" s="7">
        <f t="shared" si="7"/>
        <v>0</v>
      </c>
      <c r="F19" s="2">
        <v>4.3099999999999996</v>
      </c>
      <c r="G19" s="7">
        <f t="shared" si="2"/>
        <v>7.52236907609556E-2</v>
      </c>
      <c r="H19" s="7">
        <f t="shared" si="8"/>
        <v>0</v>
      </c>
    </row>
    <row r="21" spans="1:14" x14ac:dyDescent="0.25">
      <c r="A21" s="11" t="s">
        <v>13</v>
      </c>
      <c r="B21" s="2"/>
      <c r="C21" s="2">
        <v>33</v>
      </c>
      <c r="D21" s="8">
        <f t="shared" si="0"/>
        <v>0.57595865315812877</v>
      </c>
      <c r="E21" s="2"/>
      <c r="F21" s="2">
        <v>35</v>
      </c>
      <c r="G21" s="8">
        <f t="shared" si="2"/>
        <v>0.6108652381980153</v>
      </c>
      <c r="L21" s="14" t="s">
        <v>57</v>
      </c>
      <c r="M21">
        <v>0.91949999999999998</v>
      </c>
      <c r="N21" t="s">
        <v>60</v>
      </c>
    </row>
    <row r="22" spans="1:14" x14ac:dyDescent="0.25">
      <c r="L22" s="14" t="s">
        <v>58</v>
      </c>
      <c r="M22">
        <v>0.71550000000000002</v>
      </c>
      <c r="N22" t="s">
        <v>60</v>
      </c>
    </row>
    <row r="23" spans="1:14" x14ac:dyDescent="0.25">
      <c r="L23" s="12" t="s">
        <v>59</v>
      </c>
      <c r="M23" s="13">
        <f>AVERAGE(M21:M22)</f>
        <v>0.8175</v>
      </c>
      <c r="N23" s="13" t="s">
        <v>60</v>
      </c>
    </row>
  </sheetData>
  <mergeCells count="7">
    <mergeCell ref="A16:A18"/>
    <mergeCell ref="A1:H1"/>
    <mergeCell ref="C2:E2"/>
    <mergeCell ref="F2:H2"/>
    <mergeCell ref="A4:A6"/>
    <mergeCell ref="A8:A10"/>
    <mergeCell ref="A12:A1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15D6B-E848-4B07-9099-31D65C6117F4}">
  <dimension ref="A1:N56"/>
  <sheetViews>
    <sheetView topLeftCell="A31" workbookViewId="0">
      <selection activeCell="I47" sqref="I47"/>
    </sheetView>
  </sheetViews>
  <sheetFormatPr defaultRowHeight="15" x14ac:dyDescent="0.25"/>
  <cols>
    <col min="1" max="1" width="13.140625" customWidth="1"/>
    <col min="2" max="8" width="17.85546875" customWidth="1"/>
  </cols>
  <sheetData>
    <row r="1" spans="1:8" x14ac:dyDescent="0.25">
      <c r="A1" s="19" t="s">
        <v>67</v>
      </c>
      <c r="B1" s="19"/>
      <c r="C1" s="19"/>
      <c r="D1" s="19"/>
      <c r="E1" s="19"/>
      <c r="F1" s="19"/>
      <c r="G1" s="19"/>
      <c r="H1" s="19"/>
    </row>
    <row r="2" spans="1:8" x14ac:dyDescent="0.25">
      <c r="A2" s="9"/>
      <c r="B2" s="9"/>
      <c r="C2" s="20" t="s">
        <v>5</v>
      </c>
      <c r="D2" s="20"/>
      <c r="E2" s="20"/>
      <c r="F2" s="20" t="s">
        <v>6</v>
      </c>
      <c r="G2" s="20"/>
      <c r="H2" s="20"/>
    </row>
    <row r="3" spans="1:8" x14ac:dyDescent="0.25">
      <c r="A3" s="10" t="s">
        <v>52</v>
      </c>
      <c r="B3" s="10" t="s">
        <v>53</v>
      </c>
      <c r="C3" s="10" t="s">
        <v>54</v>
      </c>
      <c r="D3" s="10" t="s">
        <v>55</v>
      </c>
      <c r="E3" s="10" t="s">
        <v>56</v>
      </c>
      <c r="F3" s="10" t="s">
        <v>54</v>
      </c>
      <c r="G3" s="10" t="s">
        <v>55</v>
      </c>
      <c r="H3" s="10" t="s">
        <v>56</v>
      </c>
    </row>
    <row r="4" spans="1:8" x14ac:dyDescent="0.25">
      <c r="A4" s="18">
        <v>50</v>
      </c>
      <c r="B4" s="3">
        <v>50</v>
      </c>
      <c r="C4" s="2">
        <v>2.33</v>
      </c>
      <c r="D4" s="7">
        <f>RADIANS(C4)</f>
        <v>4.0666171571467881E-2</v>
      </c>
      <c r="E4" s="7">
        <f>(A$4*9.81*COS(D4)*B4)/(1000*1000)</f>
        <v>2.4504723838298687E-2</v>
      </c>
      <c r="F4" s="2">
        <v>2.46</v>
      </c>
      <c r="G4" s="7">
        <f>RADIANS(F4)</f>
        <v>4.2935099599060507E-2</v>
      </c>
      <c r="H4" s="7">
        <f>(A$4*9.81*COS(G4)*B4)/(1000*1000)</f>
        <v>2.4502398500519867E-2</v>
      </c>
    </row>
    <row r="5" spans="1:8" x14ac:dyDescent="0.25">
      <c r="A5" s="18"/>
      <c r="B5" s="3">
        <v>75</v>
      </c>
      <c r="C5" s="2">
        <v>2.46</v>
      </c>
      <c r="D5" s="7">
        <f t="shared" ref="D5:D25" si="0">RADIANS(C5)</f>
        <v>4.2935099599060507E-2</v>
      </c>
      <c r="E5" s="7">
        <f t="shared" ref="E5:E6" si="1">(A$4*9.81*COS(D5)*B5)/(1000*1000)</f>
        <v>3.6753597750779798E-2</v>
      </c>
      <c r="F5" s="2">
        <v>3.03</v>
      </c>
      <c r="G5" s="7">
        <f t="shared" ref="G5:G25" si="2">RADIANS(F5)</f>
        <v>5.2883476335428184E-2</v>
      </c>
      <c r="H5" s="7">
        <f>(A$4*9.81*COS(G5)*B5)/(1000*1000)</f>
        <v>3.6736070884560018E-2</v>
      </c>
    </row>
    <row r="6" spans="1:8" x14ac:dyDescent="0.25">
      <c r="A6" s="18"/>
      <c r="B6" s="3">
        <v>100</v>
      </c>
      <c r="C6" s="2">
        <v>2.64</v>
      </c>
      <c r="D6" s="7">
        <f t="shared" si="0"/>
        <v>4.6076692252650299E-2</v>
      </c>
      <c r="E6" s="7">
        <f t="shared" si="1"/>
        <v>4.89979411263489E-2</v>
      </c>
      <c r="F6" s="2">
        <v>2.94</v>
      </c>
      <c r="G6" s="7">
        <f t="shared" si="2"/>
        <v>5.1312680008633288E-2</v>
      </c>
      <c r="H6" s="7">
        <f>(A$4*9.81*COS(G6)*B6)/(1000*1000)</f>
        <v>4.8985440059889092E-2</v>
      </c>
    </row>
    <row r="7" spans="1:8" x14ac:dyDescent="0.25">
      <c r="A7" s="15" t="s">
        <v>0</v>
      </c>
      <c r="B7" s="3">
        <v>0</v>
      </c>
      <c r="C7" s="2">
        <v>1.8</v>
      </c>
      <c r="D7" s="7">
        <f t="shared" si="0"/>
        <v>3.1415926535897934E-2</v>
      </c>
      <c r="E7" s="7">
        <f>(A$4*9.81*COS(D7)*B7)/(1000*1000)</f>
        <v>0</v>
      </c>
      <c r="F7" s="2">
        <v>0.48</v>
      </c>
      <c r="G7" s="7">
        <f t="shared" si="2"/>
        <v>8.377580409572781E-3</v>
      </c>
      <c r="H7" s="7">
        <f>(A$4*9.81*COS(G7)*B7)/(1000*1000)</f>
        <v>0</v>
      </c>
    </row>
    <row r="8" spans="1:8" x14ac:dyDescent="0.25">
      <c r="A8" s="18">
        <v>100</v>
      </c>
      <c r="B8" s="3">
        <v>50</v>
      </c>
      <c r="C8" s="2">
        <v>2.99</v>
      </c>
      <c r="D8" s="7">
        <f t="shared" si="0"/>
        <v>5.2185344634630454E-2</v>
      </c>
      <c r="E8" s="7">
        <f>(A$8*9.81*COS(D8)*B8)/(1000*1000)</f>
        <v>4.8983225973405847E-2</v>
      </c>
      <c r="F8" s="2">
        <v>2.9</v>
      </c>
      <c r="G8" s="7">
        <f t="shared" si="2"/>
        <v>5.0614548307835558E-2</v>
      </c>
      <c r="H8" s="7">
        <f>(A$8*9.81*COS(G8)*B8)/(1000*1000)</f>
        <v>4.8987184469884336E-2</v>
      </c>
    </row>
    <row r="9" spans="1:8" x14ac:dyDescent="0.25">
      <c r="A9" s="18"/>
      <c r="B9" s="3">
        <v>75</v>
      </c>
      <c r="C9" s="2">
        <v>2.99</v>
      </c>
      <c r="D9" s="7">
        <f t="shared" si="0"/>
        <v>5.2185344634630454E-2</v>
      </c>
      <c r="E9" s="7">
        <f t="shared" ref="E9:E11" si="3">(A$8*9.81*COS(D9)*B9)/(1000*1000)</f>
        <v>7.3474838960108771E-2</v>
      </c>
      <c r="F9" s="2">
        <v>3.38</v>
      </c>
      <c r="G9" s="7">
        <f t="shared" si="2"/>
        <v>5.8992128717408339E-2</v>
      </c>
      <c r="H9" s="7">
        <f t="shared" ref="H9:H11" si="4">(A$8*9.81*COS(G9)*B9)/(1000*1000)</f>
        <v>7.34470140020268E-2</v>
      </c>
    </row>
    <row r="10" spans="1:8" x14ac:dyDescent="0.25">
      <c r="A10" s="18"/>
      <c r="B10" s="3">
        <v>100</v>
      </c>
      <c r="C10" s="2">
        <v>3.34</v>
      </c>
      <c r="D10" s="7">
        <f t="shared" si="0"/>
        <v>5.8293997016610602E-2</v>
      </c>
      <c r="E10" s="7">
        <f t="shared" si="3"/>
        <v>9.7933365972035738E-2</v>
      </c>
      <c r="F10" s="2">
        <v>3.69</v>
      </c>
      <c r="G10" s="7">
        <f t="shared" si="2"/>
        <v>6.4402649398590764E-2</v>
      </c>
      <c r="H10" s="7">
        <f t="shared" si="4"/>
        <v>9.7896625562990211E-2</v>
      </c>
    </row>
    <row r="11" spans="1:8" x14ac:dyDescent="0.25">
      <c r="A11" s="15" t="s">
        <v>0</v>
      </c>
      <c r="B11" s="3">
        <v>0</v>
      </c>
      <c r="C11" s="2">
        <v>0.18</v>
      </c>
      <c r="D11" s="7">
        <f t="shared" si="0"/>
        <v>3.1415926535897929E-3</v>
      </c>
      <c r="E11" s="7">
        <f t="shared" si="3"/>
        <v>0</v>
      </c>
      <c r="F11" s="2">
        <v>0.62</v>
      </c>
      <c r="G11" s="7">
        <f t="shared" si="2"/>
        <v>1.0821041362364843E-2</v>
      </c>
      <c r="H11" s="7">
        <f t="shared" si="4"/>
        <v>0</v>
      </c>
    </row>
    <row r="12" spans="1:8" x14ac:dyDescent="0.25">
      <c r="A12" s="18">
        <v>200</v>
      </c>
      <c r="B12" s="3">
        <v>50</v>
      </c>
      <c r="C12" s="2">
        <v>3.16</v>
      </c>
      <c r="D12" s="7">
        <f t="shared" si="0"/>
        <v>5.5152404363020817E-2</v>
      </c>
      <c r="E12" s="7">
        <f>(A$12*9.81*COS(D12)*B12)/(1000*1000)</f>
        <v>9.795083812861731E-2</v>
      </c>
      <c r="F12" s="2">
        <v>3.69</v>
      </c>
      <c r="G12" s="7">
        <f t="shared" si="2"/>
        <v>6.4402649398590764E-2</v>
      </c>
      <c r="H12" s="7">
        <f>(A$12*9.81*COS(G12)*B12)/(1000*1000)</f>
        <v>9.7896625562990211E-2</v>
      </c>
    </row>
    <row r="13" spans="1:8" x14ac:dyDescent="0.25">
      <c r="A13" s="18"/>
      <c r="B13" s="3">
        <v>75</v>
      </c>
      <c r="C13" s="2">
        <v>3.78</v>
      </c>
      <c r="D13" s="7">
        <f t="shared" si="0"/>
        <v>6.597344572538566E-2</v>
      </c>
      <c r="E13" s="7">
        <f t="shared" ref="E13:E15" si="5">(A$12*9.81*COS(D13)*B13)/(1000*1000)</f>
        <v>0.14682988127546251</v>
      </c>
      <c r="F13" s="2">
        <v>4.3099999999999996</v>
      </c>
      <c r="G13" s="7">
        <f t="shared" si="2"/>
        <v>7.52236907609556E-2</v>
      </c>
      <c r="H13" s="7">
        <f t="shared" ref="H13:H14" si="6">(A$12*9.81*COS(G13)*B13)/(1000*1000)</f>
        <v>0.14673386452066961</v>
      </c>
    </row>
    <row r="14" spans="1:8" x14ac:dyDescent="0.25">
      <c r="A14" s="18"/>
      <c r="B14" s="3">
        <v>100</v>
      </c>
      <c r="C14" s="2">
        <v>4.92</v>
      </c>
      <c r="D14" s="7">
        <f t="shared" si="0"/>
        <v>8.5870199198121014E-2</v>
      </c>
      <c r="E14" s="7">
        <f t="shared" si="5"/>
        <v>0.19547708527838739</v>
      </c>
      <c r="F14" s="2">
        <v>4.97</v>
      </c>
      <c r="G14" s="7">
        <f t="shared" si="2"/>
        <v>8.674286382411818E-2</v>
      </c>
      <c r="H14" s="7">
        <f t="shared" si="6"/>
        <v>0.1954623264892674</v>
      </c>
    </row>
    <row r="15" spans="1:8" x14ac:dyDescent="0.25">
      <c r="A15" s="15" t="s">
        <v>0</v>
      </c>
      <c r="B15" s="3">
        <v>0</v>
      </c>
      <c r="C15" s="2">
        <v>0.7</v>
      </c>
      <c r="D15" s="7">
        <f t="shared" si="0"/>
        <v>1.2217304763960306E-2</v>
      </c>
      <c r="E15" s="7">
        <f t="shared" si="5"/>
        <v>0</v>
      </c>
      <c r="F15" s="2">
        <v>0.22</v>
      </c>
      <c r="G15" s="7">
        <f t="shared" si="2"/>
        <v>3.8397243543875251E-3</v>
      </c>
      <c r="H15" s="7">
        <f>(A$12*9.81*COS(G15)*B15)/(1000*1000)</f>
        <v>0</v>
      </c>
    </row>
    <row r="16" spans="1:8" x14ac:dyDescent="0.25">
      <c r="A16" s="18">
        <v>500</v>
      </c>
      <c r="B16" s="3">
        <v>50</v>
      </c>
      <c r="C16" s="2">
        <v>4.97</v>
      </c>
      <c r="D16" s="7">
        <f t="shared" si="0"/>
        <v>8.674286382411818E-2</v>
      </c>
      <c r="E16" s="7">
        <f>(A$16*9.81*COS(D16)*B16)/(1000*1000)</f>
        <v>0.24432790811158425</v>
      </c>
      <c r="F16" s="2">
        <v>5.32</v>
      </c>
      <c r="G16" s="7">
        <f t="shared" si="2"/>
        <v>9.2851516206098342E-2</v>
      </c>
      <c r="H16" s="7">
        <f>(A$16*9.81*COS(G16)*B16)/(1000*1000)</f>
        <v>0.24419355965414355</v>
      </c>
    </row>
    <row r="17" spans="1:14" x14ac:dyDescent="0.25">
      <c r="A17" s="18"/>
      <c r="B17" s="3">
        <v>75</v>
      </c>
      <c r="C17" s="2">
        <v>6.24</v>
      </c>
      <c r="D17" s="7">
        <f t="shared" si="0"/>
        <v>0.10890854532444617</v>
      </c>
      <c r="E17" s="7">
        <f t="shared" ref="E17:E18" si="7">(A$16*9.81*COS(D17)*B17)/(1000*1000)</f>
        <v>0.3656954597929577</v>
      </c>
      <c r="F17" s="2">
        <v>6.82</v>
      </c>
      <c r="G17" s="7">
        <f t="shared" si="2"/>
        <v>0.11903145498601328</v>
      </c>
      <c r="H17" s="7">
        <f t="shared" ref="H17:H19" si="8">(A$16*9.81*COS(G17)*B17)/(1000*1000)</f>
        <v>0.36527195947904639</v>
      </c>
    </row>
    <row r="18" spans="1:14" x14ac:dyDescent="0.25">
      <c r="A18" s="18"/>
      <c r="B18" s="3">
        <v>100</v>
      </c>
      <c r="C18" s="2">
        <v>7.34</v>
      </c>
      <c r="D18" s="7">
        <f t="shared" si="0"/>
        <v>0.12810716709638378</v>
      </c>
      <c r="E18" s="7">
        <f t="shared" si="7"/>
        <v>0.48648059433968621</v>
      </c>
      <c r="F18" s="2">
        <v>8.39</v>
      </c>
      <c r="G18" s="7">
        <f t="shared" si="2"/>
        <v>0.14643312424232427</v>
      </c>
      <c r="H18" s="7">
        <f t="shared" si="8"/>
        <v>0.48525057786199838</v>
      </c>
    </row>
    <row r="19" spans="1:14" x14ac:dyDescent="0.25">
      <c r="A19" s="15" t="s">
        <v>0</v>
      </c>
      <c r="B19" s="3">
        <v>0</v>
      </c>
      <c r="C19" s="2">
        <v>0.48</v>
      </c>
      <c r="D19" s="7">
        <f t="shared" si="0"/>
        <v>8.377580409572781E-3</v>
      </c>
      <c r="E19" s="7">
        <f>(A$16*9.81*COS(D19)*B19)/(1000*1000)</f>
        <v>0</v>
      </c>
      <c r="F19" s="2">
        <v>-2.99</v>
      </c>
      <c r="G19" s="7">
        <f t="shared" si="2"/>
        <v>-5.2185344634630454E-2</v>
      </c>
      <c r="H19" s="7">
        <f t="shared" si="8"/>
        <v>0</v>
      </c>
    </row>
    <row r="20" spans="1:14" x14ac:dyDescent="0.25">
      <c r="A20" s="18">
        <v>1000</v>
      </c>
      <c r="B20" s="3">
        <v>50</v>
      </c>
      <c r="C20" s="2">
        <v>7.3</v>
      </c>
      <c r="D20" s="7">
        <f t="shared" ref="D20:D23" si="9">RADIANS(C20)</f>
        <v>0.12740903539558607</v>
      </c>
      <c r="E20" s="7">
        <f>(A$20*9.81*COS(D20)*B20)/(1000*1000)</f>
        <v>0.48652422409040957</v>
      </c>
      <c r="F20" s="2">
        <v>8.09</v>
      </c>
      <c r="G20" s="7">
        <f t="shared" ref="G20:G23" si="10">RADIANS(F20)</f>
        <v>0.14119713648634125</v>
      </c>
      <c r="H20" s="7">
        <f>(A$20*9.81*COS(G20)*B20)/(1000*1000)</f>
        <v>0.48561865904269624</v>
      </c>
    </row>
    <row r="21" spans="1:14" x14ac:dyDescent="0.25">
      <c r="A21" s="18"/>
      <c r="B21" s="3">
        <v>75</v>
      </c>
      <c r="C21" s="2">
        <v>9.93</v>
      </c>
      <c r="D21" s="7">
        <f t="shared" si="9"/>
        <v>0.17331119472303691</v>
      </c>
      <c r="E21" s="7">
        <f t="shared" ref="E21:E23" si="11">(A$20*9.81*COS(D21)*B21)/(1000*1000)</f>
        <v>0.72472785377998183</v>
      </c>
      <c r="F21" s="2">
        <v>10.77</v>
      </c>
      <c r="G21" s="7">
        <f t="shared" si="10"/>
        <v>0.18797196043978928</v>
      </c>
      <c r="H21" s="7">
        <f t="shared" ref="H21:H23" si="12">(A$20*9.81*COS(G21)*B21)/(1000*1000)</f>
        <v>0.72278993201696839</v>
      </c>
      <c r="L21" s="14" t="s">
        <v>57</v>
      </c>
      <c r="M21">
        <v>4.9318999999999997</v>
      </c>
      <c r="N21" t="s">
        <v>60</v>
      </c>
    </row>
    <row r="22" spans="1:14" x14ac:dyDescent="0.25">
      <c r="A22" s="18"/>
      <c r="B22" s="3">
        <v>100</v>
      </c>
      <c r="C22" s="2">
        <v>11.82</v>
      </c>
      <c r="D22" s="7">
        <f t="shared" si="9"/>
        <v>0.20629791758572977</v>
      </c>
      <c r="E22" s="7">
        <f t="shared" si="11"/>
        <v>0.96019882355464536</v>
      </c>
      <c r="F22" s="2">
        <v>13.45</v>
      </c>
      <c r="G22" s="7">
        <f t="shared" si="10"/>
        <v>0.23474678439323732</v>
      </c>
      <c r="H22" s="7">
        <f t="shared" si="12"/>
        <v>0.95409437750895576</v>
      </c>
      <c r="L22" s="14" t="s">
        <v>58</v>
      </c>
      <c r="M22">
        <v>5.5605000000000002</v>
      </c>
      <c r="N22" t="s">
        <v>60</v>
      </c>
    </row>
    <row r="23" spans="1:14" x14ac:dyDescent="0.25">
      <c r="A23" s="15" t="s">
        <v>0</v>
      </c>
      <c r="B23" s="3">
        <v>0</v>
      </c>
      <c r="C23" s="2">
        <v>0.92</v>
      </c>
      <c r="D23" s="7">
        <f t="shared" si="9"/>
        <v>1.6057029118347832E-2</v>
      </c>
      <c r="E23" s="7">
        <f t="shared" si="11"/>
        <v>0</v>
      </c>
      <c r="F23" s="2">
        <v>-4.3</v>
      </c>
      <c r="G23" s="7">
        <f t="shared" si="10"/>
        <v>-7.5049157835756164E-2</v>
      </c>
      <c r="H23" s="7">
        <f t="shared" si="12"/>
        <v>0</v>
      </c>
      <c r="L23" s="12" t="s">
        <v>59</v>
      </c>
      <c r="M23" s="13">
        <f>AVERAGE(M21:M22)</f>
        <v>5.2462</v>
      </c>
      <c r="N23" s="13" t="s">
        <v>60</v>
      </c>
    </row>
    <row r="25" spans="1:14" x14ac:dyDescent="0.25">
      <c r="A25" s="11" t="s">
        <v>13</v>
      </c>
      <c r="B25" s="2"/>
      <c r="C25" s="2"/>
      <c r="D25" s="8">
        <f t="shared" si="0"/>
        <v>0</v>
      </c>
      <c r="E25" s="2"/>
      <c r="F25" s="2"/>
      <c r="G25" s="8">
        <f t="shared" si="2"/>
        <v>0</v>
      </c>
    </row>
    <row r="27" spans="1:14" x14ac:dyDescent="0.25">
      <c r="C27" t="s">
        <v>66</v>
      </c>
    </row>
    <row r="29" spans="1:14" x14ac:dyDescent="0.25">
      <c r="C29" s="16" t="s">
        <v>65</v>
      </c>
    </row>
    <row r="32" spans="1:14" x14ac:dyDescent="0.25">
      <c r="A32" s="19" t="s">
        <v>68</v>
      </c>
      <c r="B32" s="19"/>
      <c r="C32" s="19"/>
      <c r="D32" s="19"/>
      <c r="E32" s="19"/>
      <c r="F32" s="19"/>
      <c r="G32" s="19"/>
      <c r="H32" s="19"/>
    </row>
    <row r="33" spans="1:8" x14ac:dyDescent="0.25">
      <c r="A33" s="9"/>
      <c r="B33" s="9"/>
      <c r="C33" s="20" t="s">
        <v>5</v>
      </c>
      <c r="D33" s="20"/>
      <c r="E33" s="20"/>
      <c r="F33" s="20" t="s">
        <v>6</v>
      </c>
      <c r="G33" s="20"/>
      <c r="H33" s="20"/>
    </row>
    <row r="34" spans="1:8" x14ac:dyDescent="0.25">
      <c r="A34" s="10" t="s">
        <v>52</v>
      </c>
      <c r="B34" s="10" t="s">
        <v>53</v>
      </c>
      <c r="C34" s="10" t="s">
        <v>54</v>
      </c>
      <c r="D34" s="10" t="s">
        <v>55</v>
      </c>
      <c r="E34" s="10" t="s">
        <v>56</v>
      </c>
      <c r="F34" s="10" t="s">
        <v>54</v>
      </c>
      <c r="G34" s="10" t="s">
        <v>55</v>
      </c>
      <c r="H34" s="10" t="s">
        <v>56</v>
      </c>
    </row>
    <row r="35" spans="1:8" x14ac:dyDescent="0.25">
      <c r="A35" s="18">
        <v>50</v>
      </c>
      <c r="B35" s="3">
        <v>50</v>
      </c>
      <c r="C35" s="2">
        <f>C4-2.3</f>
        <v>3.0000000000000249E-2</v>
      </c>
      <c r="D35" s="7">
        <f>RADIANS(C35)</f>
        <v>5.2359877559830326E-4</v>
      </c>
      <c r="E35" s="7">
        <f>(A$4*9.81*COS(D35)*B35)/(1000*1000)</f>
        <v>2.4524996638166079E-2</v>
      </c>
      <c r="F35" s="2">
        <f>F4-2.3</f>
        <v>0.16000000000000014</v>
      </c>
      <c r="G35" s="7">
        <f>RADIANS(F35)</f>
        <v>2.7925268031909296E-3</v>
      </c>
      <c r="H35" s="7">
        <f>(A$4*9.81*COS(G35)*B35)/(1000*1000)</f>
        <v>2.4524904374561722E-2</v>
      </c>
    </row>
    <row r="36" spans="1:8" x14ac:dyDescent="0.25">
      <c r="A36" s="18"/>
      <c r="B36" s="3">
        <v>75</v>
      </c>
      <c r="C36" s="2">
        <f t="shared" ref="C36:C54" si="13">C5-2.3</f>
        <v>0.16000000000000014</v>
      </c>
      <c r="D36" s="7">
        <f t="shared" ref="D36:D54" si="14">RADIANS(C36)</f>
        <v>2.7925268031909296E-3</v>
      </c>
      <c r="E36" s="7">
        <f t="shared" ref="E36:E37" si="15">(A$4*9.81*COS(D36)*B36)/(1000*1000)</f>
        <v>3.6787356561842587E-2</v>
      </c>
      <c r="F36" s="2">
        <f t="shared" ref="F36:F54" si="16">F5-2.3</f>
        <v>0.73</v>
      </c>
      <c r="G36" s="7">
        <f t="shared" ref="G36:G54" si="17">RADIANS(F36)</f>
        <v>1.2740903539558606E-2</v>
      </c>
      <c r="H36" s="7">
        <f>(A$4*9.81*COS(G36)*B36)/(1000*1000)</f>
        <v>3.6784514171494399E-2</v>
      </c>
    </row>
    <row r="37" spans="1:8" x14ac:dyDescent="0.25">
      <c r="A37" s="18"/>
      <c r="B37" s="3">
        <v>100</v>
      </c>
      <c r="C37" s="2">
        <f t="shared" si="13"/>
        <v>0.3400000000000003</v>
      </c>
      <c r="D37" s="7">
        <f t="shared" si="14"/>
        <v>5.9341194567807259E-3</v>
      </c>
      <c r="E37" s="7">
        <f t="shared" si="15"/>
        <v>4.9049136384733606E-2</v>
      </c>
      <c r="F37" s="2">
        <f t="shared" si="16"/>
        <v>0.64000000000000012</v>
      </c>
      <c r="G37" s="7">
        <f t="shared" si="17"/>
        <v>1.1170107212763711E-2</v>
      </c>
      <c r="H37" s="7">
        <f>(A$4*9.81*COS(G37)*B37)/(1000*1000)</f>
        <v>4.9046940015803286E-2</v>
      </c>
    </row>
    <row r="38" spans="1:8" x14ac:dyDescent="0.25">
      <c r="A38" s="15" t="s">
        <v>0</v>
      </c>
      <c r="B38" s="3">
        <v>0</v>
      </c>
      <c r="C38" s="2">
        <f t="shared" si="13"/>
        <v>-0.49999999999999978</v>
      </c>
      <c r="D38" s="7">
        <f t="shared" si="14"/>
        <v>-8.7266462599716443E-3</v>
      </c>
      <c r="E38" s="7">
        <f>(A$4*9.81*COS(D38)*B38)/(1000*1000)</f>
        <v>0</v>
      </c>
      <c r="F38" s="2">
        <f t="shared" si="16"/>
        <v>-1.8199999999999998</v>
      </c>
      <c r="G38" s="7">
        <f t="shared" si="17"/>
        <v>-3.1764992386296792E-2</v>
      </c>
      <c r="H38" s="7">
        <f>(A$4*9.81*COS(G38)*B38)/(1000*1000)</f>
        <v>0</v>
      </c>
    </row>
    <row r="39" spans="1:8" x14ac:dyDescent="0.25">
      <c r="A39" s="18">
        <v>100</v>
      </c>
      <c r="B39" s="3">
        <v>50</v>
      </c>
      <c r="C39" s="2">
        <f t="shared" si="13"/>
        <v>0.69000000000000039</v>
      </c>
      <c r="D39" s="7">
        <f t="shared" si="14"/>
        <v>1.2042771838760881E-2</v>
      </c>
      <c r="E39" s="7">
        <f>(A$8*9.81*COS(D39)*B39)/(1000*1000)</f>
        <v>4.9046443222615373E-2</v>
      </c>
      <c r="F39" s="2">
        <f t="shared" si="16"/>
        <v>0.60000000000000009</v>
      </c>
      <c r="G39" s="7">
        <f t="shared" si="17"/>
        <v>1.0471975511965978E-2</v>
      </c>
      <c r="H39" s="7">
        <f>(A$8*9.81*COS(G39)*B39)/(1000*1000)</f>
        <v>4.9047310557378369E-2</v>
      </c>
    </row>
    <row r="40" spans="1:8" x14ac:dyDescent="0.25">
      <c r="A40" s="18"/>
      <c r="B40" s="3">
        <v>75</v>
      </c>
      <c r="C40" s="2">
        <f t="shared" si="13"/>
        <v>0.69000000000000039</v>
      </c>
      <c r="D40" s="7">
        <f t="shared" si="14"/>
        <v>1.2042771838760881E-2</v>
      </c>
      <c r="E40" s="7">
        <f t="shared" ref="E40:E42" si="18">(A$8*9.81*COS(D40)*B40)/(1000*1000)</f>
        <v>7.3569664833923062E-2</v>
      </c>
      <c r="F40" s="2">
        <f t="shared" si="16"/>
        <v>1.08</v>
      </c>
      <c r="G40" s="7">
        <f t="shared" si="17"/>
        <v>1.8849555921538759E-2</v>
      </c>
      <c r="H40" s="7">
        <f t="shared" ref="H40:H42" si="19">(A$8*9.81*COS(G40)*B40)/(1000*1000)</f>
        <v>7.3561929576418023E-2</v>
      </c>
    </row>
    <row r="41" spans="1:8" x14ac:dyDescent="0.25">
      <c r="A41" s="18"/>
      <c r="B41" s="3">
        <v>100</v>
      </c>
      <c r="C41" s="2">
        <f t="shared" si="13"/>
        <v>1.04</v>
      </c>
      <c r="D41" s="7">
        <f t="shared" si="14"/>
        <v>1.8151424220741029E-2</v>
      </c>
      <c r="E41" s="7">
        <f t="shared" si="18"/>
        <v>9.8083839734135647E-2</v>
      </c>
      <c r="F41" s="2">
        <f t="shared" si="16"/>
        <v>1.3900000000000001</v>
      </c>
      <c r="G41" s="7">
        <f t="shared" si="17"/>
        <v>2.4260076602721184E-2</v>
      </c>
      <c r="H41" s="7">
        <f t="shared" si="19"/>
        <v>9.8071132973764616E-2</v>
      </c>
    </row>
    <row r="42" spans="1:8" x14ac:dyDescent="0.25">
      <c r="A42" s="15" t="s">
        <v>0</v>
      </c>
      <c r="B42" s="3">
        <v>0</v>
      </c>
      <c r="C42" s="2">
        <f t="shared" si="13"/>
        <v>-2.1199999999999997</v>
      </c>
      <c r="D42" s="7">
        <f t="shared" si="14"/>
        <v>-3.7000980142279781E-2</v>
      </c>
      <c r="E42" s="7">
        <f t="shared" si="18"/>
        <v>0</v>
      </c>
      <c r="F42" s="2">
        <f t="shared" si="16"/>
        <v>-1.6799999999999997</v>
      </c>
      <c r="G42" s="7">
        <f t="shared" si="17"/>
        <v>-2.932153143350473E-2</v>
      </c>
      <c r="H42" s="7">
        <f t="shared" si="19"/>
        <v>0</v>
      </c>
    </row>
    <row r="43" spans="1:8" x14ac:dyDescent="0.25">
      <c r="A43" s="18">
        <v>200</v>
      </c>
      <c r="B43" s="3">
        <v>50</v>
      </c>
      <c r="C43" s="2">
        <f t="shared" si="13"/>
        <v>0.86000000000000032</v>
      </c>
      <c r="D43" s="7">
        <f t="shared" si="14"/>
        <v>1.500983156715124E-2</v>
      </c>
      <c r="E43" s="7">
        <f>(A$12*9.81*COS(D43)*B43)/(1000*1000)</f>
        <v>9.8088949485578961E-2</v>
      </c>
      <c r="F43" s="2">
        <f t="shared" si="16"/>
        <v>1.3900000000000001</v>
      </c>
      <c r="G43" s="7">
        <f t="shared" si="17"/>
        <v>2.4260076602721184E-2</v>
      </c>
      <c r="H43" s="7">
        <f>(A$12*9.81*COS(G43)*B43)/(1000*1000)</f>
        <v>9.8071132973764616E-2</v>
      </c>
    </row>
    <row r="44" spans="1:8" x14ac:dyDescent="0.25">
      <c r="A44" s="18"/>
      <c r="B44" s="3">
        <v>75</v>
      </c>
      <c r="C44" s="2">
        <f t="shared" si="13"/>
        <v>1.48</v>
      </c>
      <c r="D44" s="7">
        <f t="shared" si="14"/>
        <v>2.5830872929516076E-2</v>
      </c>
      <c r="E44" s="7">
        <f t="shared" ref="E44:E46" si="20">(A$12*9.81*COS(D44)*B44)/(1000*1000)</f>
        <v>0.14710091098830136</v>
      </c>
      <c r="F44" s="2">
        <f t="shared" si="16"/>
        <v>2.0099999999999998</v>
      </c>
      <c r="G44" s="7">
        <f t="shared" si="17"/>
        <v>3.508111796508602E-2</v>
      </c>
      <c r="H44" s="7">
        <f t="shared" ref="H44:H45" si="21">(A$12*9.81*COS(G44)*B44)/(1000*1000)</f>
        <v>0.14705946164898706</v>
      </c>
    </row>
    <row r="45" spans="1:8" x14ac:dyDescent="0.25">
      <c r="A45" s="18"/>
      <c r="B45" s="3">
        <v>100</v>
      </c>
      <c r="C45" s="2">
        <f t="shared" si="13"/>
        <v>2.62</v>
      </c>
      <c r="D45" s="7">
        <f t="shared" si="14"/>
        <v>4.5727626402251434E-2</v>
      </c>
      <c r="E45" s="7">
        <f t="shared" si="20"/>
        <v>0.19599490708985937</v>
      </c>
      <c r="F45" s="2">
        <f t="shared" si="16"/>
        <v>2.67</v>
      </c>
      <c r="G45" s="7">
        <f t="shared" si="17"/>
        <v>4.66002910282486E-2</v>
      </c>
      <c r="H45" s="7">
        <f t="shared" si="21"/>
        <v>0.19598700585194165</v>
      </c>
    </row>
    <row r="46" spans="1:8" x14ac:dyDescent="0.25">
      <c r="A46" s="15" t="s">
        <v>0</v>
      </c>
      <c r="B46" s="3">
        <v>0</v>
      </c>
      <c r="C46" s="2">
        <f t="shared" si="13"/>
        <v>-1.5999999999999999</v>
      </c>
      <c r="D46" s="7">
        <f t="shared" si="14"/>
        <v>-2.792526803190927E-2</v>
      </c>
      <c r="E46" s="7">
        <f t="shared" si="20"/>
        <v>0</v>
      </c>
      <c r="F46" s="2">
        <f t="shared" si="16"/>
        <v>-2.0799999999999996</v>
      </c>
      <c r="G46" s="7">
        <f t="shared" si="17"/>
        <v>-3.6302848441482051E-2</v>
      </c>
      <c r="H46" s="7">
        <f>(A$12*9.81*COS(G46)*B46)/(1000*1000)</f>
        <v>0</v>
      </c>
    </row>
    <row r="47" spans="1:8" x14ac:dyDescent="0.25">
      <c r="A47" s="18">
        <v>500</v>
      </c>
      <c r="B47" s="3">
        <v>50</v>
      </c>
      <c r="C47" s="2">
        <f t="shared" si="13"/>
        <v>2.67</v>
      </c>
      <c r="D47" s="7">
        <f t="shared" si="14"/>
        <v>4.66002910282486E-2</v>
      </c>
      <c r="E47" s="7">
        <f>(A$16*9.81*COS(D47)*B47)/(1000*1000)</f>
        <v>0.24498375731492705</v>
      </c>
      <c r="F47" s="2">
        <f t="shared" si="16"/>
        <v>3.0200000000000005</v>
      </c>
      <c r="G47" s="7">
        <f t="shared" si="17"/>
        <v>5.2708943410228762E-2</v>
      </c>
      <c r="H47" s="7">
        <f>(A$16*9.81*COS(G47)*B47)/(1000*1000)</f>
        <v>0.24490939808017623</v>
      </c>
    </row>
    <row r="48" spans="1:8" x14ac:dyDescent="0.25">
      <c r="A48" s="18"/>
      <c r="B48" s="3">
        <v>75</v>
      </c>
      <c r="C48" s="2">
        <f t="shared" si="13"/>
        <v>3.9400000000000004</v>
      </c>
      <c r="D48" s="7">
        <f t="shared" si="14"/>
        <v>6.8765972528576594E-2</v>
      </c>
      <c r="E48" s="7">
        <f t="shared" ref="E48:E49" si="22">(A$16*9.81*COS(D48)*B48)/(1000*1000)</f>
        <v>0.36700554659617668</v>
      </c>
      <c r="F48" s="2">
        <f t="shared" si="16"/>
        <v>4.5200000000000005</v>
      </c>
      <c r="G48" s="7">
        <f t="shared" si="17"/>
        <v>7.88888821901437E-2</v>
      </c>
      <c r="H48" s="7">
        <f t="shared" ref="H48:H50" si="23">(A$16*9.81*COS(G48)*B48)/(1000*1000)</f>
        <v>0.36673086666768828</v>
      </c>
    </row>
    <row r="49" spans="1:14" x14ac:dyDescent="0.25">
      <c r="A49" s="18"/>
      <c r="B49" s="3">
        <v>100</v>
      </c>
      <c r="C49" s="2">
        <f t="shared" si="13"/>
        <v>5.04</v>
      </c>
      <c r="D49" s="7">
        <f t="shared" si="14"/>
        <v>8.7964594300514204E-2</v>
      </c>
      <c r="E49" s="7">
        <f t="shared" si="22"/>
        <v>0.48860353528472611</v>
      </c>
      <c r="F49" s="2">
        <f t="shared" si="16"/>
        <v>6.0900000000000007</v>
      </c>
      <c r="G49" s="7">
        <f t="shared" si="17"/>
        <v>0.10629055144645468</v>
      </c>
      <c r="H49" s="7">
        <f t="shared" si="23"/>
        <v>0.48773185126595264</v>
      </c>
    </row>
    <row r="50" spans="1:14" x14ac:dyDescent="0.25">
      <c r="A50" s="15" t="s">
        <v>0</v>
      </c>
      <c r="B50" s="3">
        <v>0</v>
      </c>
      <c r="C50" s="2">
        <f t="shared" si="13"/>
        <v>-1.8199999999999998</v>
      </c>
      <c r="D50" s="7">
        <f t="shared" si="14"/>
        <v>-3.1764992386296792E-2</v>
      </c>
      <c r="E50" s="7">
        <f>(A$16*9.81*COS(D50)*B50)/(1000*1000)</f>
        <v>0</v>
      </c>
      <c r="F50" s="2">
        <f t="shared" si="16"/>
        <v>-5.29</v>
      </c>
      <c r="G50" s="7">
        <f t="shared" si="17"/>
        <v>-9.2327917430500034E-2</v>
      </c>
      <c r="H50" s="7">
        <f t="shared" si="23"/>
        <v>0</v>
      </c>
    </row>
    <row r="51" spans="1:14" x14ac:dyDescent="0.25">
      <c r="A51" s="18">
        <v>1000</v>
      </c>
      <c r="B51" s="3">
        <v>50</v>
      </c>
      <c r="C51" s="2">
        <f t="shared" si="13"/>
        <v>5</v>
      </c>
      <c r="D51" s="7">
        <f t="shared" si="14"/>
        <v>8.7266462599716474E-2</v>
      </c>
      <c r="E51" s="7">
        <f>(A$20*9.81*COS(D51)*B51)/(1000*1000)</f>
        <v>0.48863349941400119</v>
      </c>
      <c r="F51" s="2">
        <f t="shared" si="16"/>
        <v>5.79</v>
      </c>
      <c r="G51" s="7">
        <f t="shared" si="17"/>
        <v>0.10105456369047168</v>
      </c>
      <c r="H51" s="7">
        <f>(A$20*9.81*COS(G51)*B51)/(1000*1000)</f>
        <v>0.487997631515872</v>
      </c>
    </row>
    <row r="52" spans="1:14" x14ac:dyDescent="0.25">
      <c r="A52" s="18"/>
      <c r="B52" s="3">
        <v>75</v>
      </c>
      <c r="C52" s="2">
        <f t="shared" si="13"/>
        <v>7.63</v>
      </c>
      <c r="D52" s="7">
        <f t="shared" si="14"/>
        <v>0.13316862192716733</v>
      </c>
      <c r="E52" s="7">
        <f t="shared" ref="E52:E54" si="24">(A$20*9.81*COS(D52)*B52)/(1000*1000)</f>
        <v>0.7292357836126333</v>
      </c>
      <c r="F52" s="2">
        <f t="shared" si="16"/>
        <v>8.4699999999999989</v>
      </c>
      <c r="G52" s="7">
        <f t="shared" si="17"/>
        <v>0.1478293876439197</v>
      </c>
      <c r="H52" s="7">
        <f t="shared" ref="H52:H54" si="25">(A$20*9.81*COS(G52)*B52)/(1000*1000)</f>
        <v>0.7277252634909529</v>
      </c>
      <c r="L52" s="14" t="s">
        <v>57</v>
      </c>
      <c r="M52">
        <v>4.9318999999999997</v>
      </c>
      <c r="N52" t="s">
        <v>60</v>
      </c>
    </row>
    <row r="53" spans="1:14" x14ac:dyDescent="0.25">
      <c r="A53" s="18"/>
      <c r="B53" s="3">
        <v>100</v>
      </c>
      <c r="C53" s="2">
        <f t="shared" si="13"/>
        <v>9.52</v>
      </c>
      <c r="D53" s="7">
        <f t="shared" si="14"/>
        <v>0.16615534478986016</v>
      </c>
      <c r="E53" s="7">
        <f t="shared" si="24"/>
        <v>0.96748959831716752</v>
      </c>
      <c r="F53" s="2">
        <f t="shared" si="16"/>
        <v>11.149999999999999</v>
      </c>
      <c r="G53" s="7">
        <f t="shared" si="17"/>
        <v>0.19460421159736771</v>
      </c>
      <c r="H53" s="7">
        <f t="shared" si="25"/>
        <v>0.96248292187328166</v>
      </c>
      <c r="L53" s="14" t="s">
        <v>58</v>
      </c>
      <c r="M53">
        <v>5.5605000000000002</v>
      </c>
      <c r="N53" t="s">
        <v>60</v>
      </c>
    </row>
    <row r="54" spans="1:14" x14ac:dyDescent="0.25">
      <c r="A54" s="15" t="s">
        <v>0</v>
      </c>
      <c r="B54" s="3">
        <v>0</v>
      </c>
      <c r="C54" s="2">
        <f t="shared" si="13"/>
        <v>-1.38</v>
      </c>
      <c r="D54" s="7">
        <f t="shared" si="14"/>
        <v>-2.4085543677521744E-2</v>
      </c>
      <c r="E54" s="7">
        <f t="shared" si="24"/>
        <v>0</v>
      </c>
      <c r="F54" s="2">
        <f t="shared" si="16"/>
        <v>-6.6</v>
      </c>
      <c r="G54" s="7">
        <f t="shared" si="17"/>
        <v>-0.11519173063162574</v>
      </c>
      <c r="H54" s="7">
        <f t="shared" si="25"/>
        <v>0</v>
      </c>
      <c r="L54" s="12" t="s">
        <v>59</v>
      </c>
      <c r="M54" s="13">
        <f>AVERAGE(M52:M53)</f>
        <v>5.2462</v>
      </c>
      <c r="N54" s="13" t="s">
        <v>60</v>
      </c>
    </row>
    <row r="56" spans="1:14" x14ac:dyDescent="0.25">
      <c r="A56" s="11" t="s">
        <v>13</v>
      </c>
      <c r="B56" s="2"/>
      <c r="C56" s="2">
        <v>43</v>
      </c>
      <c r="D56" s="8">
        <f t="shared" ref="D56" si="26">RADIANS(C56)</f>
        <v>0.75049157835756175</v>
      </c>
      <c r="E56" s="2"/>
      <c r="F56" s="2">
        <v>43</v>
      </c>
      <c r="G56" s="8">
        <f t="shared" ref="G56" si="27">RADIANS(F56)</f>
        <v>0.75049157835756175</v>
      </c>
    </row>
  </sheetData>
  <mergeCells count="16">
    <mergeCell ref="A39:A41"/>
    <mergeCell ref="A43:A45"/>
    <mergeCell ref="A47:A49"/>
    <mergeCell ref="A51:A53"/>
    <mergeCell ref="A16:A18"/>
    <mergeCell ref="A20:A22"/>
    <mergeCell ref="A32:H32"/>
    <mergeCell ref="C33:E33"/>
    <mergeCell ref="F33:H33"/>
    <mergeCell ref="A35:A37"/>
    <mergeCell ref="A12:A14"/>
    <mergeCell ref="A1:H1"/>
    <mergeCell ref="C2:E2"/>
    <mergeCell ref="F2:H2"/>
    <mergeCell ref="A4:A6"/>
    <mergeCell ref="A8:A1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CC684-7664-4E92-8F50-059672B70BA9}">
  <dimension ref="A1:P25"/>
  <sheetViews>
    <sheetView workbookViewId="0">
      <selection activeCell="I28" sqref="I28"/>
    </sheetView>
  </sheetViews>
  <sheetFormatPr defaultRowHeight="15" x14ac:dyDescent="0.25"/>
  <cols>
    <col min="1" max="1" width="13.140625" customWidth="1"/>
    <col min="2" max="8" width="17.85546875" customWidth="1"/>
  </cols>
  <sheetData>
    <row r="1" spans="1:8" x14ac:dyDescent="0.25">
      <c r="A1" s="19" t="s">
        <v>69</v>
      </c>
      <c r="B1" s="19"/>
      <c r="C1" s="19"/>
      <c r="D1" s="19"/>
      <c r="E1" s="19"/>
      <c r="F1" s="19"/>
      <c r="G1" s="19"/>
      <c r="H1" s="19"/>
    </row>
    <row r="2" spans="1:8" x14ac:dyDescent="0.25">
      <c r="A2" s="9"/>
      <c r="B2" s="9"/>
      <c r="C2" s="20" t="s">
        <v>5</v>
      </c>
      <c r="D2" s="20"/>
      <c r="E2" s="20"/>
      <c r="F2" s="20" t="s">
        <v>6</v>
      </c>
      <c r="G2" s="20"/>
      <c r="H2" s="20"/>
    </row>
    <row r="3" spans="1:8" x14ac:dyDescent="0.25">
      <c r="A3" s="10" t="s">
        <v>52</v>
      </c>
      <c r="B3" s="10" t="s">
        <v>53</v>
      </c>
      <c r="C3" s="10" t="s">
        <v>54</v>
      </c>
      <c r="D3" s="10" t="s">
        <v>55</v>
      </c>
      <c r="E3" s="10" t="s">
        <v>56</v>
      </c>
      <c r="F3" s="10" t="s">
        <v>54</v>
      </c>
      <c r="G3" s="10" t="s">
        <v>55</v>
      </c>
      <c r="H3" s="10" t="s">
        <v>56</v>
      </c>
    </row>
    <row r="4" spans="1:8" x14ac:dyDescent="0.25">
      <c r="A4" s="18">
        <v>50</v>
      </c>
      <c r="B4" s="3">
        <v>50</v>
      </c>
      <c r="C4" s="2">
        <v>0.09</v>
      </c>
      <c r="D4" s="7">
        <f>RADIANS(C4)</f>
        <v>1.5707963267948964E-3</v>
      </c>
      <c r="E4" s="7">
        <f>(A$4*9.81*COS(D4)*B4)/(1000*1000)</f>
        <v>2.4524969743500227E-2</v>
      </c>
      <c r="F4" s="2">
        <v>0.04</v>
      </c>
      <c r="G4" s="7">
        <f>RADIANS(F4)</f>
        <v>6.9813170079773186E-4</v>
      </c>
      <c r="H4" s="7">
        <f>(A$4*9.81*COS(G4)*B4)/(1000*1000)</f>
        <v>2.4524994023406466E-2</v>
      </c>
    </row>
    <row r="5" spans="1:8" x14ac:dyDescent="0.25">
      <c r="A5" s="18"/>
      <c r="B5" s="3">
        <v>75</v>
      </c>
      <c r="C5" s="2">
        <v>0.18</v>
      </c>
      <c r="D5" s="7">
        <f t="shared" ref="D5:D25" si="0">RADIANS(C5)</f>
        <v>3.1415926535897929E-3</v>
      </c>
      <c r="E5" s="7">
        <f t="shared" ref="E5:E6" si="1">(A$4*9.81*COS(D5)*B5)/(1000*1000)</f>
        <v>3.6787318461113362E-2</v>
      </c>
      <c r="F5" s="2">
        <v>0.09</v>
      </c>
      <c r="G5" s="7">
        <f t="shared" ref="G5:G25" si="2">RADIANS(F5)</f>
        <v>1.5707963267948964E-3</v>
      </c>
      <c r="H5" s="7">
        <f>(A$4*9.81*COS(G5)*B5)/(1000*1000)</f>
        <v>3.6787454615250341E-2</v>
      </c>
    </row>
    <row r="6" spans="1:8" x14ac:dyDescent="0.25">
      <c r="A6" s="18"/>
      <c r="B6" s="3">
        <v>100</v>
      </c>
      <c r="C6" s="2">
        <v>0.26</v>
      </c>
      <c r="D6" s="7">
        <f t="shared" si="0"/>
        <v>4.5378560551852572E-3</v>
      </c>
      <c r="E6" s="7">
        <f t="shared" si="1"/>
        <v>4.9049494978692529E-2</v>
      </c>
      <c r="F6" s="2">
        <v>0.13</v>
      </c>
      <c r="G6" s="7">
        <f t="shared" si="2"/>
        <v>2.2689280275926286E-3</v>
      </c>
      <c r="H6" s="7">
        <f>(A$4*9.81*COS(G6)*B6)/(1000*1000)</f>
        <v>4.9049873744510648E-2</v>
      </c>
    </row>
    <row r="7" spans="1:8" x14ac:dyDescent="0.25">
      <c r="A7" s="15" t="s">
        <v>0</v>
      </c>
      <c r="B7" s="3">
        <v>0</v>
      </c>
      <c r="C7" s="2">
        <v>0.13</v>
      </c>
      <c r="D7" s="7">
        <f t="shared" si="0"/>
        <v>2.2689280275926286E-3</v>
      </c>
      <c r="E7" s="7">
        <f>(A$4*9.81*COS(D7)*B7)/(1000*1000)</f>
        <v>0</v>
      </c>
      <c r="F7" s="2">
        <v>-0.04</v>
      </c>
      <c r="G7" s="7">
        <f t="shared" si="2"/>
        <v>-6.9813170079773186E-4</v>
      </c>
      <c r="H7" s="7">
        <f>(A$4*9.81*COS(G7)*B7)/(1000*1000)</f>
        <v>0</v>
      </c>
    </row>
    <row r="8" spans="1:8" x14ac:dyDescent="0.25">
      <c r="A8" s="18">
        <v>100</v>
      </c>
      <c r="B8" s="3">
        <v>50</v>
      </c>
      <c r="C8" s="2">
        <v>0.26</v>
      </c>
      <c r="D8" s="7">
        <f t="shared" si="0"/>
        <v>4.5378560551852572E-3</v>
      </c>
      <c r="E8" s="7">
        <f>(A$8*9.81*COS(D8)*B8)/(1000*1000)</f>
        <v>4.9049494978692529E-2</v>
      </c>
      <c r="F8" s="2">
        <v>0.09</v>
      </c>
      <c r="G8" s="7">
        <f t="shared" si="2"/>
        <v>1.5707963267948964E-3</v>
      </c>
      <c r="H8" s="7">
        <f>(A$8*9.81*COS(G8)*B8)/(1000*1000)</f>
        <v>4.9049939487000455E-2</v>
      </c>
    </row>
    <row r="9" spans="1:8" x14ac:dyDescent="0.25">
      <c r="A9" s="18"/>
      <c r="B9" s="3">
        <v>75</v>
      </c>
      <c r="C9" s="2">
        <v>0.4</v>
      </c>
      <c r="D9" s="7">
        <f t="shared" si="0"/>
        <v>6.9813170079773184E-3</v>
      </c>
      <c r="E9" s="7">
        <f t="shared" ref="E9:E11" si="3">(A$8*9.81*COS(D9)*B9)/(1000*1000)</f>
        <v>7.3573207029149421E-2</v>
      </c>
      <c r="F9" s="2">
        <v>0.22</v>
      </c>
      <c r="G9" s="7">
        <f t="shared" si="2"/>
        <v>3.8397243543875251E-3</v>
      </c>
      <c r="H9" s="7">
        <f t="shared" ref="H9:H11" si="4">(A$8*9.81*COS(G9)*B9)/(1000*1000)</f>
        <v>7.3574457624781181E-2</v>
      </c>
    </row>
    <row r="10" spans="1:8" x14ac:dyDescent="0.25">
      <c r="A10" s="18"/>
      <c r="B10" s="3">
        <v>100</v>
      </c>
      <c r="C10" s="2">
        <v>0.48</v>
      </c>
      <c r="D10" s="7">
        <f t="shared" si="0"/>
        <v>8.377580409572781E-3</v>
      </c>
      <c r="E10" s="7">
        <f t="shared" si="3"/>
        <v>9.8096557502118945E-2</v>
      </c>
      <c r="F10" s="2">
        <v>0.31</v>
      </c>
      <c r="G10" s="7">
        <f t="shared" si="2"/>
        <v>5.4105206811824215E-3</v>
      </c>
      <c r="H10" s="7">
        <f t="shared" si="4"/>
        <v>9.8098564126848059E-2</v>
      </c>
    </row>
    <row r="11" spans="1:8" x14ac:dyDescent="0.25">
      <c r="A11" s="15" t="s">
        <v>0</v>
      </c>
      <c r="B11" s="3">
        <v>0</v>
      </c>
      <c r="C11" s="2">
        <v>0.18</v>
      </c>
      <c r="D11" s="7">
        <f t="shared" si="0"/>
        <v>3.1415926535897929E-3</v>
      </c>
      <c r="E11" s="7">
        <f t="shared" si="3"/>
        <v>0</v>
      </c>
      <c r="F11" s="2">
        <v>-0.09</v>
      </c>
      <c r="G11" s="7">
        <f t="shared" si="2"/>
        <v>-1.5707963267948964E-3</v>
      </c>
      <c r="H11" s="7">
        <f t="shared" si="4"/>
        <v>0</v>
      </c>
    </row>
    <row r="12" spans="1:8" x14ac:dyDescent="0.25">
      <c r="A12" s="18">
        <v>200</v>
      </c>
      <c r="B12" s="3">
        <v>50</v>
      </c>
      <c r="C12" s="2">
        <v>0.44</v>
      </c>
      <c r="D12" s="7">
        <f t="shared" si="0"/>
        <v>7.6794487087750501E-3</v>
      </c>
      <c r="E12" s="7">
        <f>(A$12*9.81*COS(D12)*B12)/(1000*1000)</f>
        <v>9.8097107342828296E-2</v>
      </c>
      <c r="F12" s="2">
        <v>0.04</v>
      </c>
      <c r="G12" s="7">
        <f t="shared" si="2"/>
        <v>6.9813170079773186E-4</v>
      </c>
      <c r="H12" s="7">
        <f>(A$12*9.81*COS(G12)*B12)/(1000*1000)</f>
        <v>9.8099976093625862E-2</v>
      </c>
    </row>
    <row r="13" spans="1:8" x14ac:dyDescent="0.25">
      <c r="A13" s="18"/>
      <c r="B13" s="3">
        <v>75</v>
      </c>
      <c r="C13" s="2">
        <v>0.62</v>
      </c>
      <c r="D13" s="7">
        <f t="shared" si="0"/>
        <v>1.0821041362364843E-2</v>
      </c>
      <c r="E13" s="7">
        <f t="shared" ref="E13:E15" si="5">(A$12*9.81*COS(D13)*B13)/(1000*1000)</f>
        <v>0.14714138482413822</v>
      </c>
      <c r="F13" s="2">
        <v>0.4</v>
      </c>
      <c r="G13" s="7">
        <f t="shared" si="2"/>
        <v>6.9813170079773184E-3</v>
      </c>
      <c r="H13" s="7">
        <f t="shared" ref="H13:H14" si="6">(A$12*9.81*COS(G13)*B13)/(1000*1000)</f>
        <v>0.14714641405829884</v>
      </c>
    </row>
    <row r="14" spans="1:8" x14ac:dyDescent="0.25">
      <c r="A14" s="18"/>
      <c r="B14" s="3">
        <v>100</v>
      </c>
      <c r="C14" s="2">
        <v>0.84</v>
      </c>
      <c r="D14" s="7">
        <f t="shared" si="0"/>
        <v>1.4660765716752368E-2</v>
      </c>
      <c r="E14" s="7">
        <f t="shared" si="5"/>
        <v>0.19617891495482645</v>
      </c>
      <c r="F14" s="2">
        <v>0.66</v>
      </c>
      <c r="G14" s="7">
        <f t="shared" si="2"/>
        <v>1.1519173063162575E-2</v>
      </c>
      <c r="H14" s="7">
        <f t="shared" si="6"/>
        <v>0.19618698312269195</v>
      </c>
    </row>
    <row r="15" spans="1:8" x14ac:dyDescent="0.25">
      <c r="A15" s="15" t="s">
        <v>0</v>
      </c>
      <c r="B15" s="3">
        <v>0</v>
      </c>
      <c r="C15" s="2">
        <v>0.22</v>
      </c>
      <c r="D15" s="7">
        <f t="shared" si="0"/>
        <v>3.8397243543875251E-3</v>
      </c>
      <c r="E15" s="7">
        <f t="shared" si="5"/>
        <v>0</v>
      </c>
      <c r="F15" s="2">
        <v>-0.22</v>
      </c>
      <c r="G15" s="7">
        <f t="shared" si="2"/>
        <v>-3.8397243543875251E-3</v>
      </c>
      <c r="H15" s="7">
        <f>(A$12*9.81*COS(G15)*B15)/(1000*1000)</f>
        <v>0</v>
      </c>
    </row>
    <row r="16" spans="1:8" x14ac:dyDescent="0.25">
      <c r="A16" s="18">
        <v>500</v>
      </c>
      <c r="B16" s="3">
        <v>50</v>
      </c>
      <c r="C16" s="2">
        <v>0.88</v>
      </c>
      <c r="D16" s="7">
        <f t="shared" si="0"/>
        <v>1.53588974175501E-2</v>
      </c>
      <c r="E16" s="7">
        <f>(A$16*9.81*COS(D16)*B16)/(1000*1000)</f>
        <v>0.24522107385475933</v>
      </c>
      <c r="F16" s="2">
        <v>0.56999999999999995</v>
      </c>
      <c r="G16" s="7">
        <f t="shared" si="2"/>
        <v>9.948376736367677E-3</v>
      </c>
      <c r="H16" s="7">
        <f>(A$16*9.81*COS(G16)*B16)/(1000*1000)</f>
        <v>0.24523786387935653</v>
      </c>
    </row>
    <row r="17" spans="1:16" x14ac:dyDescent="0.25">
      <c r="A17" s="18"/>
      <c r="B17" s="3">
        <v>75</v>
      </c>
      <c r="C17" s="2">
        <v>1.36</v>
      </c>
      <c r="D17" s="7">
        <f t="shared" si="0"/>
        <v>2.3736477827122883E-2</v>
      </c>
      <c r="E17" s="7">
        <f t="shared" ref="E17:E18" si="7">(A$16*9.81*COS(D17)*B17)/(1000*1000)</f>
        <v>0.36777137072962773</v>
      </c>
      <c r="F17" s="2">
        <v>1.36</v>
      </c>
      <c r="G17" s="7">
        <f t="shared" si="2"/>
        <v>2.3736477827122883E-2</v>
      </c>
      <c r="H17" s="7">
        <f t="shared" ref="H17:H19" si="8">(A$16*9.81*COS(G17)*B17)/(1000*1000)</f>
        <v>0.36777137072962773</v>
      </c>
    </row>
    <row r="18" spans="1:16" x14ac:dyDescent="0.25">
      <c r="A18" s="18"/>
      <c r="B18" s="3">
        <v>100</v>
      </c>
      <c r="C18" s="2">
        <v>1.93</v>
      </c>
      <c r="D18" s="7">
        <f t="shared" si="0"/>
        <v>3.368485456349056E-2</v>
      </c>
      <c r="E18" s="7">
        <f t="shared" si="7"/>
        <v>0.49022174863480644</v>
      </c>
      <c r="F18" s="2">
        <v>1.98</v>
      </c>
      <c r="G18" s="7">
        <f t="shared" si="2"/>
        <v>3.4557519189487726E-2</v>
      </c>
      <c r="H18" s="7">
        <f t="shared" si="8"/>
        <v>0.49020714616811423</v>
      </c>
    </row>
    <row r="19" spans="1:16" x14ac:dyDescent="0.25">
      <c r="A19" s="15" t="s">
        <v>0</v>
      </c>
      <c r="B19" s="3">
        <v>0</v>
      </c>
      <c r="C19" s="2">
        <v>0.44</v>
      </c>
      <c r="D19" s="7">
        <f t="shared" si="0"/>
        <v>7.6794487087750501E-3</v>
      </c>
      <c r="E19" s="7">
        <f>(A$16*9.81*COS(D19)*B19)/(1000*1000)</f>
        <v>0</v>
      </c>
      <c r="F19" s="2">
        <v>-0.44</v>
      </c>
      <c r="G19" s="7">
        <f t="shared" si="2"/>
        <v>-7.6794487087750501E-3</v>
      </c>
      <c r="H19" s="7">
        <f t="shared" si="8"/>
        <v>0</v>
      </c>
    </row>
    <row r="20" spans="1:16" x14ac:dyDescent="0.25">
      <c r="A20" s="18">
        <v>1000</v>
      </c>
      <c r="B20" s="3">
        <v>50</v>
      </c>
      <c r="C20" s="2">
        <v>1.8</v>
      </c>
      <c r="D20" s="7">
        <f t="shared" si="0"/>
        <v>3.1415926535897934E-2</v>
      </c>
      <c r="E20" s="7">
        <f>(A$20*9.81*COS(D20)*B20)/(1000*1000)</f>
        <v>0.49025796785939135</v>
      </c>
      <c r="F20" s="2">
        <v>1.67</v>
      </c>
      <c r="G20" s="7">
        <f t="shared" si="2"/>
        <v>2.9146998508305301E-2</v>
      </c>
      <c r="H20" s="7">
        <f>(A$20*9.81*COS(G20)*B20)/(1000*1000)</f>
        <v>0.49029166322017831</v>
      </c>
    </row>
    <row r="21" spans="1:16" x14ac:dyDescent="0.25">
      <c r="A21" s="18"/>
      <c r="B21" s="3">
        <v>75</v>
      </c>
      <c r="C21" s="2">
        <v>3.3</v>
      </c>
      <c r="D21" s="7">
        <f t="shared" si="0"/>
        <v>5.7595865315812872E-2</v>
      </c>
      <c r="E21" s="7">
        <f t="shared" ref="E21:E23" si="9">(A$20*9.81*COS(D21)*B21)/(1000*1000)</f>
        <v>0.7345299915737713</v>
      </c>
      <c r="F21" s="2">
        <v>2.9</v>
      </c>
      <c r="G21" s="7">
        <f t="shared" si="2"/>
        <v>5.0614548307835558E-2</v>
      </c>
      <c r="H21" s="7">
        <f t="shared" ref="H21:H23" si="10">(A$20*9.81*COS(G21)*B21)/(1000*1000)</f>
        <v>0.734807767048265</v>
      </c>
      <c r="L21" s="14" t="s">
        <v>57</v>
      </c>
      <c r="M21">
        <v>13.185</v>
      </c>
      <c r="N21" t="s">
        <v>60</v>
      </c>
      <c r="P21">
        <f>(M21-M22)/M23</f>
        <v>3.5350416795307212E-2</v>
      </c>
    </row>
    <row r="22" spans="1:16" x14ac:dyDescent="0.25">
      <c r="A22" s="18"/>
      <c r="B22" s="3">
        <v>100</v>
      </c>
      <c r="C22" s="2">
        <v>4.3499999999999996</v>
      </c>
      <c r="D22" s="7">
        <f t="shared" si="0"/>
        <v>7.592182246175333E-2</v>
      </c>
      <c r="E22" s="7">
        <f t="shared" si="9"/>
        <v>0.97817405542242108</v>
      </c>
      <c r="F22" s="2">
        <v>4.4400000000000004</v>
      </c>
      <c r="G22" s="7">
        <f t="shared" si="2"/>
        <v>7.749261878854824E-2</v>
      </c>
      <c r="H22" s="7">
        <f t="shared" si="10"/>
        <v>0.97805596923385196</v>
      </c>
      <c r="L22" s="14" t="s">
        <v>58</v>
      </c>
      <c r="M22">
        <v>12.727</v>
      </c>
      <c r="N22" t="s">
        <v>60</v>
      </c>
    </row>
    <row r="23" spans="1:16" x14ac:dyDescent="0.25">
      <c r="A23" s="15" t="s">
        <v>0</v>
      </c>
      <c r="B23" s="3">
        <v>0</v>
      </c>
      <c r="C23" s="2">
        <v>0.56999999999999995</v>
      </c>
      <c r="D23" s="7">
        <f t="shared" si="0"/>
        <v>9.948376736367677E-3</v>
      </c>
      <c r="E23" s="7">
        <f t="shared" si="9"/>
        <v>0</v>
      </c>
      <c r="F23" s="2">
        <v>-0.62</v>
      </c>
      <c r="G23" s="7">
        <f t="shared" si="2"/>
        <v>-1.0821041362364843E-2</v>
      </c>
      <c r="H23" s="7">
        <f t="shared" si="10"/>
        <v>0</v>
      </c>
      <c r="L23" s="12" t="s">
        <v>59</v>
      </c>
      <c r="M23" s="13">
        <f>AVERAGE(M21:M22)</f>
        <v>12.956</v>
      </c>
      <c r="N23" s="13" t="s">
        <v>60</v>
      </c>
    </row>
    <row r="25" spans="1:16" x14ac:dyDescent="0.25">
      <c r="A25" s="11" t="s">
        <v>13</v>
      </c>
      <c r="B25" s="2"/>
      <c r="C25" s="2">
        <v>36</v>
      </c>
      <c r="D25" s="8">
        <f t="shared" si="0"/>
        <v>0.62831853071795862</v>
      </c>
      <c r="E25" s="2"/>
      <c r="F25" s="2">
        <v>36</v>
      </c>
      <c r="G25" s="8">
        <f t="shared" si="2"/>
        <v>0.62831853071795862</v>
      </c>
    </row>
  </sheetData>
  <mergeCells count="8">
    <mergeCell ref="A16:A18"/>
    <mergeCell ref="A20:A22"/>
    <mergeCell ref="A1:H1"/>
    <mergeCell ref="C2:E2"/>
    <mergeCell ref="F2:H2"/>
    <mergeCell ref="A4:A6"/>
    <mergeCell ref="A8:A10"/>
    <mergeCell ref="A12:A1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52C52-9BEF-4539-A232-585D88C97E4C}">
  <dimension ref="A1:N23"/>
  <sheetViews>
    <sheetView workbookViewId="0">
      <selection activeCell="G27" sqref="G27"/>
    </sheetView>
  </sheetViews>
  <sheetFormatPr defaultRowHeight="15" x14ac:dyDescent="0.25"/>
  <cols>
    <col min="1" max="1" width="13.140625" customWidth="1"/>
    <col min="2" max="8" width="17.85546875" customWidth="1"/>
  </cols>
  <sheetData>
    <row r="1" spans="1:8" x14ac:dyDescent="0.25">
      <c r="A1" s="19" t="s">
        <v>61</v>
      </c>
      <c r="B1" s="19"/>
      <c r="C1" s="19"/>
      <c r="D1" s="19"/>
      <c r="E1" s="19"/>
      <c r="F1" s="19"/>
      <c r="G1" s="19"/>
      <c r="H1" s="19"/>
    </row>
    <row r="2" spans="1:8" x14ac:dyDescent="0.25">
      <c r="A2" s="9"/>
      <c r="B2" s="9"/>
      <c r="C2" s="20" t="s">
        <v>5</v>
      </c>
      <c r="D2" s="20"/>
      <c r="E2" s="20"/>
      <c r="F2" s="20" t="s">
        <v>6</v>
      </c>
      <c r="G2" s="20"/>
      <c r="H2" s="20"/>
    </row>
    <row r="3" spans="1:8" x14ac:dyDescent="0.25">
      <c r="A3" s="10" t="s">
        <v>52</v>
      </c>
      <c r="B3" s="10" t="s">
        <v>53</v>
      </c>
      <c r="C3" s="10" t="s">
        <v>54</v>
      </c>
      <c r="D3" s="10" t="s">
        <v>55</v>
      </c>
      <c r="E3" s="10" t="s">
        <v>56</v>
      </c>
      <c r="F3" s="10" t="s">
        <v>54</v>
      </c>
      <c r="G3" s="10" t="s">
        <v>55</v>
      </c>
      <c r="H3" s="10" t="s">
        <v>56</v>
      </c>
    </row>
    <row r="4" spans="1:8" x14ac:dyDescent="0.25">
      <c r="A4" s="18">
        <v>50</v>
      </c>
      <c r="B4" s="3">
        <v>50</v>
      </c>
      <c r="C4" s="2">
        <v>0.18</v>
      </c>
      <c r="D4" s="7">
        <f>RADIANS(C4)</f>
        <v>3.1415926535897929E-3</v>
      </c>
      <c r="E4" s="7">
        <f>(A$4*9.81*COS(D4)*B4)/(1000*1000)</f>
        <v>2.4524878974075574E-2</v>
      </c>
      <c r="F4" s="2">
        <v>0.04</v>
      </c>
      <c r="G4" s="7">
        <f>RADIANS(F4)</f>
        <v>6.9813170079773186E-4</v>
      </c>
      <c r="H4" s="7">
        <f>(A$4*9.81*COS(G4)*B4)/(1000*1000)</f>
        <v>2.4524994023406466E-2</v>
      </c>
    </row>
    <row r="5" spans="1:8" x14ac:dyDescent="0.25">
      <c r="A5" s="18"/>
      <c r="B5" s="3">
        <v>75</v>
      </c>
      <c r="C5" s="2">
        <v>0.22</v>
      </c>
      <c r="D5" s="7">
        <f t="shared" ref="D5:D21" si="0">RADIANS(C5)</f>
        <v>3.8397243543875251E-3</v>
      </c>
      <c r="E5" s="7">
        <f t="shared" ref="E5:E7" si="1">(A$4*9.81*COS(D5)*B5)/(1000*1000)</f>
        <v>3.6787228812390591E-2</v>
      </c>
      <c r="F5" s="2">
        <v>0.62</v>
      </c>
      <c r="G5" s="7">
        <f t="shared" ref="G5:G21" si="2">RADIANS(F5)</f>
        <v>1.0821041362364843E-2</v>
      </c>
      <c r="H5" s="7">
        <f>(A$4*9.81*COS(G5)*B5)/(1000*1000)</f>
        <v>3.6785346206034554E-2</v>
      </c>
    </row>
    <row r="6" spans="1:8" x14ac:dyDescent="0.25">
      <c r="A6" s="18"/>
      <c r="B6" s="3">
        <v>100</v>
      </c>
      <c r="C6" s="2">
        <v>0.56999999999999995</v>
      </c>
      <c r="D6" s="7">
        <f t="shared" si="0"/>
        <v>9.948376736367677E-3</v>
      </c>
      <c r="E6" s="7">
        <f t="shared" si="1"/>
        <v>4.9047572775871302E-2</v>
      </c>
      <c r="F6" s="2">
        <v>0.84</v>
      </c>
      <c r="G6" s="7">
        <f t="shared" si="2"/>
        <v>1.4660765716752368E-2</v>
      </c>
      <c r="H6" s="7">
        <f>(A$4*9.81*COS(G6)*B6)/(1000*1000)</f>
        <v>4.9044728738706612E-2</v>
      </c>
    </row>
    <row r="7" spans="1:8" x14ac:dyDescent="0.25">
      <c r="A7" s="15" t="s">
        <v>0</v>
      </c>
      <c r="B7" s="3">
        <v>0</v>
      </c>
      <c r="C7" s="2">
        <v>0.53</v>
      </c>
      <c r="D7" s="7">
        <f t="shared" si="0"/>
        <v>9.250245035569947E-3</v>
      </c>
      <c r="E7" s="7">
        <f t="shared" si="1"/>
        <v>0</v>
      </c>
      <c r="F7" s="2">
        <v>-0.75</v>
      </c>
      <c r="G7" s="7">
        <f t="shared" si="2"/>
        <v>-1.3089969389957472E-2</v>
      </c>
      <c r="H7" s="7">
        <f>(A$4*9.81*COS(G7)*B7)/(1000*1000)</f>
        <v>0</v>
      </c>
    </row>
    <row r="8" spans="1:8" x14ac:dyDescent="0.25">
      <c r="A8" s="18">
        <v>100</v>
      </c>
      <c r="B8" s="3">
        <v>50</v>
      </c>
      <c r="C8" s="2">
        <v>0.53</v>
      </c>
      <c r="D8" s="7">
        <f t="shared" si="0"/>
        <v>9.250245035569947E-3</v>
      </c>
      <c r="E8" s="7">
        <f>(A$8*9.81*COS(D8)*B8)/(1000*1000)</f>
        <v>4.9047901483474043E-2</v>
      </c>
      <c r="F8" s="2">
        <v>0.44</v>
      </c>
      <c r="G8" s="7">
        <f t="shared" si="2"/>
        <v>7.6794487087750501E-3</v>
      </c>
      <c r="H8" s="7">
        <f>(A$8*9.81*COS(G8)*B8)/(1000*1000)</f>
        <v>4.9048553671414148E-2</v>
      </c>
    </row>
    <row r="9" spans="1:8" x14ac:dyDescent="0.25">
      <c r="A9" s="18"/>
      <c r="B9" s="3">
        <v>75</v>
      </c>
      <c r="C9" s="2">
        <v>1.63</v>
      </c>
      <c r="D9" s="7">
        <f t="shared" si="0"/>
        <v>2.8448866807507571E-2</v>
      </c>
      <c r="E9" s="7">
        <f t="shared" ref="E9:E11" si="3">(A$8*9.81*COS(D9)*B9)/(1000*1000)</f>
        <v>7.354522848550861E-2</v>
      </c>
      <c r="F9" s="2">
        <v>1.58</v>
      </c>
      <c r="G9" s="7">
        <f t="shared" si="2"/>
        <v>2.7576202181510408E-2</v>
      </c>
      <c r="H9" s="7">
        <f t="shared" ref="H9:H11" si="4">(A$8*9.81*COS(G9)*B9)/(1000*1000)</f>
        <v>7.3547026831425236E-2</v>
      </c>
    </row>
    <row r="10" spans="1:8" x14ac:dyDescent="0.25">
      <c r="A10" s="18"/>
      <c r="B10" s="3">
        <v>100</v>
      </c>
      <c r="C10" s="2">
        <v>2.94</v>
      </c>
      <c r="D10" s="7">
        <f t="shared" si="0"/>
        <v>5.1312680008633288E-2</v>
      </c>
      <c r="E10" s="7">
        <f t="shared" si="3"/>
        <v>9.7970880119778184E-2</v>
      </c>
      <c r="F10" s="2">
        <v>2.77</v>
      </c>
      <c r="G10" s="7">
        <f t="shared" si="2"/>
        <v>4.8345620280242932E-2</v>
      </c>
      <c r="H10" s="7">
        <f t="shared" si="4"/>
        <v>9.7985377812172592E-2</v>
      </c>
    </row>
    <row r="11" spans="1:8" x14ac:dyDescent="0.25">
      <c r="A11" s="15" t="s">
        <v>0</v>
      </c>
      <c r="B11" s="3">
        <v>0</v>
      </c>
      <c r="C11" s="2">
        <v>1.71</v>
      </c>
      <c r="D11" s="7">
        <f t="shared" si="0"/>
        <v>2.9845130209103034E-2</v>
      </c>
      <c r="E11" s="7">
        <f t="shared" si="3"/>
        <v>0</v>
      </c>
      <c r="F11" s="2">
        <v>1.41</v>
      </c>
      <c r="G11" s="7">
        <f t="shared" si="2"/>
        <v>2.4609142453120045E-2</v>
      </c>
      <c r="H11" s="7">
        <f t="shared" si="4"/>
        <v>0</v>
      </c>
    </row>
    <row r="12" spans="1:8" x14ac:dyDescent="0.25">
      <c r="A12" s="18">
        <v>200</v>
      </c>
      <c r="B12" s="3">
        <v>50</v>
      </c>
      <c r="C12" s="2">
        <v>2.5499999999999998</v>
      </c>
      <c r="D12" s="7">
        <f t="shared" si="0"/>
        <v>4.4505895925855403E-2</v>
      </c>
      <c r="E12" s="7">
        <f>(A$12*9.81*COS(D12)*B12)/(1000*1000)</f>
        <v>9.8002859033544873E-2</v>
      </c>
      <c r="F12" s="2">
        <v>2.2400000000000002</v>
      </c>
      <c r="G12" s="7">
        <f t="shared" si="2"/>
        <v>3.9095375244672985E-2</v>
      </c>
      <c r="H12" s="7">
        <f>(A$12*9.81*COS(G12)*B12)/(1000*1000)</f>
        <v>9.8025039156215799E-2</v>
      </c>
    </row>
    <row r="13" spans="1:8" x14ac:dyDescent="0.25">
      <c r="A13" s="18"/>
      <c r="B13" s="3">
        <v>75</v>
      </c>
      <c r="C13" s="2">
        <v>4.97</v>
      </c>
      <c r="D13" s="7">
        <f t="shared" si="0"/>
        <v>8.674286382411818E-2</v>
      </c>
      <c r="E13" s="7">
        <f t="shared" ref="E13:E15" si="5">(A$12*9.81*COS(D13)*B13)/(1000*1000)</f>
        <v>0.14659674486695054</v>
      </c>
      <c r="F13" s="2">
        <v>4.57</v>
      </c>
      <c r="G13" s="7">
        <f t="shared" si="2"/>
        <v>7.9761546816140866E-2</v>
      </c>
      <c r="H13" s="7">
        <f t="shared" ref="H13:H14" si="6">(A$12*9.81*COS(G13)*B13)/(1000*1000)</f>
        <v>0.14668217098994463</v>
      </c>
    </row>
    <row r="14" spans="1:8" x14ac:dyDescent="0.25">
      <c r="A14" s="18"/>
      <c r="B14" s="3">
        <v>100</v>
      </c>
      <c r="C14" s="2">
        <v>8.26</v>
      </c>
      <c r="D14" s="7">
        <f t="shared" si="0"/>
        <v>0.14416419621473162</v>
      </c>
      <c r="E14" s="7">
        <f t="shared" si="5"/>
        <v>0.19416468546717078</v>
      </c>
      <c r="F14" s="2">
        <v>7.52</v>
      </c>
      <c r="G14" s="7">
        <f t="shared" si="2"/>
        <v>0.13124875974997358</v>
      </c>
      <c r="H14" s="7">
        <f t="shared" si="6"/>
        <v>0.19451253064003743</v>
      </c>
    </row>
    <row r="15" spans="1:8" x14ac:dyDescent="0.25">
      <c r="A15" s="15" t="s">
        <v>0</v>
      </c>
      <c r="B15" s="3">
        <v>0</v>
      </c>
      <c r="C15" s="2">
        <v>2.99</v>
      </c>
      <c r="D15" s="7">
        <f t="shared" si="0"/>
        <v>5.2185344634630454E-2</v>
      </c>
      <c r="E15" s="7">
        <f t="shared" si="5"/>
        <v>0</v>
      </c>
      <c r="F15" s="2">
        <v>2.2400000000000002</v>
      </c>
      <c r="G15" s="7">
        <f t="shared" si="2"/>
        <v>3.9095375244672985E-2</v>
      </c>
      <c r="H15" s="7">
        <f>(A$12*9.81*COS(G15)*B15)/(1000*1000)</f>
        <v>0</v>
      </c>
    </row>
    <row r="16" spans="1:8" x14ac:dyDescent="0.25">
      <c r="A16" s="18">
        <v>500</v>
      </c>
      <c r="B16" s="3">
        <v>50</v>
      </c>
      <c r="C16" s="2">
        <v>9.76</v>
      </c>
      <c r="D16" s="7">
        <f t="shared" si="0"/>
        <v>0.17034413499464657</v>
      </c>
      <c r="E16" s="7">
        <f>(A$16*9.81*COS(D16)*B16)/(1000*1000)</f>
        <v>0.24170037093259616</v>
      </c>
      <c r="F16" s="2">
        <v>7.74</v>
      </c>
      <c r="G16" s="7">
        <f t="shared" si="2"/>
        <v>0.13508848410436111</v>
      </c>
      <c r="H16" s="7">
        <f>(A$16*9.81*COS(G16)*B16)/(1000*1000)</f>
        <v>0.24301562981902858</v>
      </c>
    </row>
    <row r="17" spans="1:14" x14ac:dyDescent="0.25">
      <c r="A17" s="18"/>
      <c r="B17" s="3">
        <v>75</v>
      </c>
      <c r="C17" s="2">
        <v>14.9</v>
      </c>
      <c r="D17" s="7">
        <f t="shared" si="0"/>
        <v>0.26005405854715513</v>
      </c>
      <c r="E17" s="7">
        <f t="shared" ref="E17:E19" si="7">(A$16*9.81*COS(D17)*B17)/(1000*1000)</f>
        <v>0.355505600180334</v>
      </c>
      <c r="F17" s="2">
        <v>12.48</v>
      </c>
      <c r="G17" s="7">
        <f t="shared" si="2"/>
        <v>0.21781709064889235</v>
      </c>
      <c r="H17" s="7">
        <f t="shared" ref="H17:H19" si="8">(A$16*9.81*COS(G17)*B17)/(1000*1000)</f>
        <v>0.35918266531122112</v>
      </c>
    </row>
    <row r="18" spans="1:14" x14ac:dyDescent="0.25">
      <c r="A18" s="18"/>
      <c r="B18" s="3">
        <v>100</v>
      </c>
      <c r="C18" s="2">
        <v>20.36</v>
      </c>
      <c r="D18" s="7">
        <f t="shared" si="0"/>
        <v>0.35534903570604548</v>
      </c>
      <c r="E18" s="7">
        <f t="shared" si="7"/>
        <v>0.45985606658176659</v>
      </c>
      <c r="F18" s="2">
        <v>20.48</v>
      </c>
      <c r="G18" s="7">
        <f t="shared" si="2"/>
        <v>0.35744343080843871</v>
      </c>
      <c r="H18" s="7">
        <f t="shared" si="8"/>
        <v>0.4594976422215985</v>
      </c>
    </row>
    <row r="19" spans="1:14" x14ac:dyDescent="0.25">
      <c r="A19" s="15" t="s">
        <v>0</v>
      </c>
      <c r="B19" s="3">
        <v>0</v>
      </c>
      <c r="C19" s="2">
        <v>5.01</v>
      </c>
      <c r="D19" s="7">
        <f t="shared" si="0"/>
        <v>8.744099552491591E-2</v>
      </c>
      <c r="E19" s="7">
        <f t="shared" si="7"/>
        <v>0</v>
      </c>
      <c r="F19" s="2">
        <v>-3.46</v>
      </c>
      <c r="G19" s="7">
        <f t="shared" si="2"/>
        <v>-6.0388392119003799E-2</v>
      </c>
      <c r="H19" s="7">
        <f t="shared" si="8"/>
        <v>0</v>
      </c>
    </row>
    <row r="21" spans="1:14" x14ac:dyDescent="0.25">
      <c r="A21" s="11" t="s">
        <v>13</v>
      </c>
      <c r="B21" s="2"/>
      <c r="C21" s="2"/>
      <c r="D21" s="8">
        <f t="shared" si="0"/>
        <v>0</v>
      </c>
      <c r="E21" s="2"/>
      <c r="F21" s="2"/>
      <c r="G21" s="8">
        <f t="shared" si="2"/>
        <v>0</v>
      </c>
      <c r="L21" s="14" t="s">
        <v>57</v>
      </c>
      <c r="M21">
        <v>1.2737000000000001</v>
      </c>
      <c r="N21" t="s">
        <v>60</v>
      </c>
    </row>
    <row r="22" spans="1:14" x14ac:dyDescent="0.25">
      <c r="L22" s="14" t="s">
        <v>58</v>
      </c>
      <c r="M22">
        <v>1.2049000000000001</v>
      </c>
      <c r="N22" t="s">
        <v>60</v>
      </c>
    </row>
    <row r="23" spans="1:14" x14ac:dyDescent="0.25">
      <c r="L23" s="12" t="s">
        <v>59</v>
      </c>
      <c r="M23" s="13">
        <f>AVERAGE(M21:M22)</f>
        <v>1.2393000000000001</v>
      </c>
      <c r="N23" s="13" t="s">
        <v>60</v>
      </c>
    </row>
  </sheetData>
  <mergeCells count="7">
    <mergeCell ref="A16:A18"/>
    <mergeCell ref="A1:H1"/>
    <mergeCell ref="C2:E2"/>
    <mergeCell ref="F2:H2"/>
    <mergeCell ref="A4:A6"/>
    <mergeCell ref="A8:A10"/>
    <mergeCell ref="A12:A1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F1FC4-6CED-43A6-9F75-8078CCE7F8EB}">
  <dimension ref="A1:M36"/>
  <sheetViews>
    <sheetView zoomScaleNormal="100" workbookViewId="0">
      <selection activeCell="M34" sqref="M34"/>
    </sheetView>
  </sheetViews>
  <sheetFormatPr defaultRowHeight="15" x14ac:dyDescent="0.25"/>
  <cols>
    <col min="1" max="8" width="15.85546875" customWidth="1"/>
  </cols>
  <sheetData>
    <row r="1" spans="1:8" x14ac:dyDescent="0.25">
      <c r="C1" s="21" t="s">
        <v>5</v>
      </c>
      <c r="D1" s="21"/>
      <c r="E1" s="21"/>
      <c r="F1" s="21" t="s">
        <v>6</v>
      </c>
      <c r="G1" s="21"/>
      <c r="H1" s="21"/>
    </row>
    <row r="2" spans="1:8" x14ac:dyDescent="0.25">
      <c r="A2" t="s">
        <v>1</v>
      </c>
      <c r="B2" t="s">
        <v>2</v>
      </c>
      <c r="C2" t="s">
        <v>3</v>
      </c>
      <c r="D2" t="s">
        <v>8</v>
      </c>
      <c r="E2" t="s">
        <v>7</v>
      </c>
      <c r="F2" t="s">
        <v>3</v>
      </c>
      <c r="G2" t="s">
        <v>8</v>
      </c>
      <c r="H2" t="s">
        <v>4</v>
      </c>
    </row>
    <row r="3" spans="1:8" x14ac:dyDescent="0.25">
      <c r="A3" s="22">
        <v>10</v>
      </c>
      <c r="B3">
        <v>50</v>
      </c>
      <c r="C3">
        <v>0.35</v>
      </c>
      <c r="D3">
        <f>RADIANS(C3)</f>
        <v>6.1086523819801532E-3</v>
      </c>
      <c r="E3">
        <f>(A$3*9.81*COS(D3)*B3)/(1000*1000)</f>
        <v>4.904908483692386E-3</v>
      </c>
      <c r="F3">
        <v>0.18</v>
      </c>
      <c r="G3">
        <f>RADIANS(F3)</f>
        <v>3.1415926535897929E-3</v>
      </c>
      <c r="H3">
        <f>(A$3*9.81*COS(G3)*B3)/(1000*1000)</f>
        <v>4.9049757948151146E-3</v>
      </c>
    </row>
    <row r="4" spans="1:8" x14ac:dyDescent="0.25">
      <c r="A4" s="22"/>
      <c r="B4">
        <v>75</v>
      </c>
      <c r="C4">
        <v>0.35</v>
      </c>
      <c r="D4">
        <f t="shared" ref="D4:D20" si="0">RADIANS(C4)</f>
        <v>6.1086523819801532E-3</v>
      </c>
      <c r="E4">
        <f t="shared" ref="E4:E6" si="1">(A$3*9.81*COS(D4)*B4)/(1000*1000)</f>
        <v>7.3573627255385781E-3</v>
      </c>
      <c r="F4">
        <v>0.48</v>
      </c>
      <c r="G4">
        <f t="shared" ref="G4:G20" si="2">RADIANS(F4)</f>
        <v>8.377580409572781E-3</v>
      </c>
      <c r="H4">
        <f>(A$3*9.81*COS(G4)*B4)/(1000*1000)</f>
        <v>7.3572418126589215E-3</v>
      </c>
    </row>
    <row r="5" spans="1:8" x14ac:dyDescent="0.25">
      <c r="A5" s="22"/>
      <c r="B5">
        <v>100</v>
      </c>
      <c r="C5">
        <v>0.53</v>
      </c>
      <c r="D5">
        <f t="shared" si="0"/>
        <v>9.250245035569947E-3</v>
      </c>
      <c r="E5">
        <f t="shared" si="1"/>
        <v>9.8095802966948111E-3</v>
      </c>
      <c r="F5">
        <v>0.53</v>
      </c>
      <c r="G5">
        <f t="shared" si="2"/>
        <v>9.250245035569947E-3</v>
      </c>
      <c r="H5">
        <f>(A$3*9.81*COS(G5)*B5)/(1000*1000)</f>
        <v>9.8095802966948111E-3</v>
      </c>
    </row>
    <row r="6" spans="1:8" x14ac:dyDescent="0.25">
      <c r="A6" s="1" t="s">
        <v>0</v>
      </c>
      <c r="B6">
        <v>0</v>
      </c>
      <c r="C6">
        <v>0.31</v>
      </c>
      <c r="D6">
        <f t="shared" si="0"/>
        <v>5.4105206811824215E-3</v>
      </c>
      <c r="E6">
        <f t="shared" si="1"/>
        <v>0</v>
      </c>
      <c r="F6">
        <v>0.31</v>
      </c>
      <c r="G6">
        <f t="shared" si="2"/>
        <v>5.4105206811824215E-3</v>
      </c>
      <c r="H6">
        <f>(A$3*9.81*COS(G6)*B6)/(1000*1000)</f>
        <v>0</v>
      </c>
    </row>
    <row r="7" spans="1:8" x14ac:dyDescent="0.25">
      <c r="A7" s="22">
        <v>20</v>
      </c>
      <c r="B7">
        <v>50</v>
      </c>
      <c r="C7">
        <v>0.56999999999999995</v>
      </c>
      <c r="D7">
        <f t="shared" si="0"/>
        <v>9.948376736367677E-3</v>
      </c>
      <c r="E7">
        <f>(A$7*9.81*COS(D7)*B7)/(1000*1000)</f>
        <v>9.8095145551742625E-3</v>
      </c>
      <c r="F7">
        <v>0.4</v>
      </c>
      <c r="G7">
        <f t="shared" si="2"/>
        <v>6.9813170079773184E-3</v>
      </c>
      <c r="H7">
        <f>(A$7*9.81*COS(G7)*B7)/(1000*1000)</f>
        <v>9.8097609372199222E-3</v>
      </c>
    </row>
    <row r="8" spans="1:8" x14ac:dyDescent="0.25">
      <c r="A8" s="22"/>
      <c r="B8">
        <v>75</v>
      </c>
      <c r="C8">
        <v>0.56999999999999995</v>
      </c>
      <c r="D8">
        <f t="shared" si="0"/>
        <v>9.948376736367677E-3</v>
      </c>
      <c r="E8">
        <f t="shared" ref="E8:E10" si="3">(A$7*9.81*COS(D8)*B8)/(1000*1000)</f>
        <v>1.4714271832761392E-2</v>
      </c>
      <c r="F8">
        <v>1.05</v>
      </c>
      <c r="G8">
        <f t="shared" si="2"/>
        <v>1.8325957145940461E-2</v>
      </c>
      <c r="H8">
        <f t="shared" ref="H8:H10" si="4">(A$7*9.81*COS(G8)*B8)/(1000*1000)</f>
        <v>1.4712529121163618E-2</v>
      </c>
    </row>
    <row r="9" spans="1:8" x14ac:dyDescent="0.25">
      <c r="A9" s="22"/>
      <c r="B9">
        <v>100</v>
      </c>
      <c r="C9">
        <v>1.23</v>
      </c>
      <c r="D9">
        <f t="shared" si="0"/>
        <v>2.1467549799530253E-2</v>
      </c>
      <c r="E9">
        <f t="shared" si="3"/>
        <v>1.9615479179262481E-2</v>
      </c>
      <c r="F9">
        <v>0.92</v>
      </c>
      <c r="G9">
        <f t="shared" si="2"/>
        <v>1.6057029118347832E-2</v>
      </c>
      <c r="H9">
        <f t="shared" si="4"/>
        <v>1.9617470759857061E-2</v>
      </c>
    </row>
    <row r="10" spans="1:8" x14ac:dyDescent="0.25">
      <c r="A10" s="1" t="s">
        <v>0</v>
      </c>
      <c r="B10">
        <v>0</v>
      </c>
      <c r="C10">
        <v>0.35</v>
      </c>
      <c r="D10">
        <f t="shared" si="0"/>
        <v>6.1086523819801532E-3</v>
      </c>
      <c r="E10">
        <f t="shared" si="3"/>
        <v>0</v>
      </c>
      <c r="F10">
        <v>0</v>
      </c>
      <c r="G10">
        <f t="shared" si="2"/>
        <v>0</v>
      </c>
      <c r="H10">
        <f t="shared" si="4"/>
        <v>0</v>
      </c>
    </row>
    <row r="11" spans="1:8" x14ac:dyDescent="0.25">
      <c r="A11" s="22">
        <v>50</v>
      </c>
      <c r="B11">
        <v>50</v>
      </c>
      <c r="C11">
        <v>1.23</v>
      </c>
      <c r="D11">
        <f t="shared" si="0"/>
        <v>2.1467549799530253E-2</v>
      </c>
      <c r="E11">
        <f>(A$11*9.81*COS(D11)*B11)/(1000*1000)</f>
        <v>2.4519348974078099E-2</v>
      </c>
      <c r="F11">
        <v>1.54</v>
      </c>
      <c r="G11">
        <f t="shared" si="2"/>
        <v>2.6878070480712675E-2</v>
      </c>
      <c r="H11">
        <f>(A$11*9.81*COS(G11)*B11)/(1000*1000)</f>
        <v>2.4516141727185137E-2</v>
      </c>
    </row>
    <row r="12" spans="1:8" x14ac:dyDescent="0.25">
      <c r="A12" s="22"/>
      <c r="B12">
        <v>75</v>
      </c>
      <c r="C12">
        <v>2.0699999999999998</v>
      </c>
      <c r="D12">
        <f t="shared" si="0"/>
        <v>3.6128315516282622E-2</v>
      </c>
      <c r="E12">
        <f t="shared" ref="E12:E14" si="5">(A$11*9.81*COS(D12)*B12)/(1000*1000)</f>
        <v>3.6763494073820666E-2</v>
      </c>
      <c r="F12">
        <v>2.33</v>
      </c>
      <c r="G12">
        <f t="shared" si="2"/>
        <v>4.0666171571467881E-2</v>
      </c>
      <c r="H12">
        <f t="shared" ref="H12:H13" si="6">(A$11*9.81*COS(G12)*B12)/(1000*1000)</f>
        <v>3.675708575744803E-2</v>
      </c>
    </row>
    <row r="13" spans="1:8" x14ac:dyDescent="0.25">
      <c r="A13" s="22"/>
      <c r="B13">
        <v>100</v>
      </c>
      <c r="C13">
        <v>2.68</v>
      </c>
      <c r="D13">
        <f t="shared" si="0"/>
        <v>4.6774823953448036E-2</v>
      </c>
      <c r="E13">
        <f t="shared" si="5"/>
        <v>4.8996351923461967E-2</v>
      </c>
      <c r="F13">
        <v>2.99</v>
      </c>
      <c r="G13">
        <f t="shared" si="2"/>
        <v>5.2185344634630454E-2</v>
      </c>
      <c r="H13">
        <f t="shared" si="6"/>
        <v>4.8983225973405847E-2</v>
      </c>
    </row>
    <row r="14" spans="1:8" x14ac:dyDescent="0.25">
      <c r="A14" s="1" t="s">
        <v>0</v>
      </c>
      <c r="B14">
        <v>0</v>
      </c>
      <c r="C14">
        <v>0.35</v>
      </c>
      <c r="D14">
        <f t="shared" si="0"/>
        <v>6.1086523819801532E-3</v>
      </c>
      <c r="E14">
        <f t="shared" si="5"/>
        <v>0</v>
      </c>
      <c r="F14">
        <v>0.53</v>
      </c>
      <c r="G14">
        <f t="shared" si="2"/>
        <v>9.250245035569947E-3</v>
      </c>
      <c r="H14">
        <f>(A$11*9.81*COS(G14)*B14)/(1000*1000)</f>
        <v>0</v>
      </c>
    </row>
    <row r="15" spans="1:8" x14ac:dyDescent="0.25">
      <c r="A15" s="22">
        <v>100</v>
      </c>
      <c r="B15">
        <v>50</v>
      </c>
      <c r="C15">
        <v>2.29</v>
      </c>
      <c r="D15">
        <f t="shared" si="0"/>
        <v>3.9968039870670144E-2</v>
      </c>
      <c r="E15">
        <f>(A$15*9.81*COS(D15)*B15)/(1000*1000)</f>
        <v>4.9010827895743479E-2</v>
      </c>
      <c r="F15">
        <v>2.81</v>
      </c>
      <c r="G15">
        <f t="shared" si="2"/>
        <v>4.9043751981040662E-2</v>
      </c>
      <c r="H15">
        <f>(A$15*9.81*COS(G15)*B15)/(1000*1000)</f>
        <v>4.8991022095354816E-2</v>
      </c>
    </row>
    <row r="16" spans="1:8" x14ac:dyDescent="0.25">
      <c r="A16" s="22"/>
      <c r="B16">
        <v>75</v>
      </c>
      <c r="C16">
        <v>4.26</v>
      </c>
      <c r="D16">
        <f t="shared" si="0"/>
        <v>7.4351026134958434E-2</v>
      </c>
      <c r="E16">
        <f t="shared" ref="E16:E18" si="7">(A$15*9.81*COS(D16)*B16)/(1000*1000)</f>
        <v>7.337172960478093E-2</v>
      </c>
      <c r="F16">
        <v>4.92</v>
      </c>
      <c r="G16">
        <f t="shared" si="2"/>
        <v>8.5870199198121014E-2</v>
      </c>
      <c r="H16">
        <f t="shared" ref="H16:H18" si="8">(A$15*9.81*COS(G16)*B16)/(1000*1000)</f>
        <v>7.3303906979395261E-2</v>
      </c>
    </row>
    <row r="17" spans="1:13" x14ac:dyDescent="0.25">
      <c r="A17" s="22"/>
      <c r="B17">
        <v>100</v>
      </c>
      <c r="C17">
        <v>5.49</v>
      </c>
      <c r="D17">
        <f t="shared" si="0"/>
        <v>9.5818575934488698E-2</v>
      </c>
      <c r="E17">
        <f t="shared" si="7"/>
        <v>9.7650006612842608E-2</v>
      </c>
      <c r="F17">
        <v>6.85</v>
      </c>
      <c r="G17">
        <f t="shared" si="2"/>
        <v>0.11955505376161157</v>
      </c>
      <c r="H17">
        <f t="shared" si="8"/>
        <v>9.7399742881335558E-2</v>
      </c>
    </row>
    <row r="18" spans="1:13" x14ac:dyDescent="0.25">
      <c r="A18" s="1" t="s">
        <v>0</v>
      </c>
      <c r="B18">
        <v>0</v>
      </c>
      <c r="C18">
        <v>1.01</v>
      </c>
      <c r="D18">
        <f t="shared" si="0"/>
        <v>1.7627825445142728E-2</v>
      </c>
      <c r="E18">
        <f t="shared" si="7"/>
        <v>0</v>
      </c>
      <c r="F18">
        <v>1.01</v>
      </c>
      <c r="G18">
        <f t="shared" si="2"/>
        <v>1.7627825445142728E-2</v>
      </c>
      <c r="H18">
        <f t="shared" si="8"/>
        <v>0</v>
      </c>
    </row>
    <row r="20" spans="1:13" x14ac:dyDescent="0.25">
      <c r="A20" t="s">
        <v>13</v>
      </c>
      <c r="C20">
        <v>27</v>
      </c>
      <c r="D20">
        <f t="shared" si="0"/>
        <v>0.47123889803846897</v>
      </c>
      <c r="F20">
        <v>56</v>
      </c>
      <c r="G20">
        <f t="shared" si="2"/>
        <v>0.97738438111682457</v>
      </c>
      <c r="J20" t="s">
        <v>9</v>
      </c>
      <c r="L20">
        <f>1/0.9059</f>
        <v>1.1038745998454575</v>
      </c>
      <c r="M20" t="s">
        <v>11</v>
      </c>
    </row>
    <row r="21" spans="1:13" x14ac:dyDescent="0.25">
      <c r="J21" t="s">
        <v>10</v>
      </c>
      <c r="L21">
        <f>1/1.1258</f>
        <v>0.88825723929650036</v>
      </c>
      <c r="M21" t="s">
        <v>11</v>
      </c>
    </row>
    <row r="23" spans="1:13" x14ac:dyDescent="0.25">
      <c r="J23" t="s">
        <v>12</v>
      </c>
      <c r="L23">
        <f>AVERAGE(L20,L21)</f>
        <v>0.9960659195709789</v>
      </c>
      <c r="M23" t="s">
        <v>11</v>
      </c>
    </row>
    <row r="27" spans="1:13" x14ac:dyDescent="0.25">
      <c r="A27" t="s">
        <v>33</v>
      </c>
      <c r="B27">
        <v>2.4</v>
      </c>
      <c r="C27" t="s">
        <v>34</v>
      </c>
      <c r="D27" t="s">
        <v>43</v>
      </c>
      <c r="E27">
        <f>B31*((B27*B28*B29^3)/(12*B30))</f>
        <v>1.7534246575342465</v>
      </c>
      <c r="F27" t="s">
        <v>11</v>
      </c>
    </row>
    <row r="28" spans="1:13" x14ac:dyDescent="0.25">
      <c r="A28" t="s">
        <v>35</v>
      </c>
      <c r="B28">
        <v>5</v>
      </c>
      <c r="C28" t="s">
        <v>37</v>
      </c>
    </row>
    <row r="29" spans="1:13" x14ac:dyDescent="0.25">
      <c r="A29" t="s">
        <v>36</v>
      </c>
      <c r="B29">
        <v>4</v>
      </c>
      <c r="C29" t="s">
        <v>37</v>
      </c>
    </row>
    <row r="30" spans="1:13" x14ac:dyDescent="0.25">
      <c r="A30" t="s">
        <v>38</v>
      </c>
      <c r="B30">
        <v>73</v>
      </c>
      <c r="C30" t="s">
        <v>37</v>
      </c>
    </row>
    <row r="31" spans="1:13" x14ac:dyDescent="0.25">
      <c r="A31" t="s">
        <v>42</v>
      </c>
      <c r="B31">
        <v>2</v>
      </c>
    </row>
    <row r="33" spans="1:8" x14ac:dyDescent="0.25">
      <c r="A33" t="s">
        <v>39</v>
      </c>
      <c r="B33">
        <v>19</v>
      </c>
      <c r="C33" t="s">
        <v>37</v>
      </c>
      <c r="D33" t="s">
        <v>45</v>
      </c>
      <c r="E33">
        <v>0</v>
      </c>
      <c r="F33" t="s">
        <v>47</v>
      </c>
      <c r="G33" t="s">
        <v>48</v>
      </c>
      <c r="H33">
        <f>($B$33/2)*((E33*SQRT(1+E33^2))+LN(ABS(E33+SQRT(1+E33^2))))</f>
        <v>0</v>
      </c>
    </row>
    <row r="34" spans="1:8" x14ac:dyDescent="0.25">
      <c r="A34" t="s">
        <v>39</v>
      </c>
      <c r="B34" s="4">
        <f>B33/(2*PI())</f>
        <v>3.0239439187460113</v>
      </c>
      <c r="C34" t="s">
        <v>44</v>
      </c>
      <c r="D34" t="s">
        <v>46</v>
      </c>
      <c r="E34">
        <f>(B36-B35)/B33</f>
        <v>1.5789473684210527</v>
      </c>
      <c r="F34" t="s">
        <v>47</v>
      </c>
      <c r="G34" t="s">
        <v>49</v>
      </c>
      <c r="H34">
        <f>($B$33/2)*(E34*SQRT(1+E34^2)+LN(ABS(E34+SQRT(1+E34^2))))</f>
        <v>39.793491854802916</v>
      </c>
    </row>
    <row r="35" spans="1:8" x14ac:dyDescent="0.25">
      <c r="A35" t="s">
        <v>40</v>
      </c>
      <c r="B35">
        <v>14</v>
      </c>
      <c r="C35" t="s">
        <v>37</v>
      </c>
      <c r="G35" t="s">
        <v>50</v>
      </c>
      <c r="H35">
        <f>H34-H33</f>
        <v>39.793491854802916</v>
      </c>
    </row>
    <row r="36" spans="1:8" x14ac:dyDescent="0.25">
      <c r="A36" t="s">
        <v>41</v>
      </c>
      <c r="B36">
        <v>44</v>
      </c>
      <c r="C36" t="s">
        <v>37</v>
      </c>
    </row>
  </sheetData>
  <mergeCells count="6">
    <mergeCell ref="F1:H1"/>
    <mergeCell ref="A3:A5"/>
    <mergeCell ref="A7:A9"/>
    <mergeCell ref="A11:A13"/>
    <mergeCell ref="A15:A17"/>
    <mergeCell ref="C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Hip Spring Table</vt:lpstr>
      <vt:lpstr>2L6LT4ST</vt:lpstr>
      <vt:lpstr>3L4LT4ST.O1</vt:lpstr>
      <vt:lpstr>3L4LT4ST.M2</vt:lpstr>
      <vt:lpstr>4L3LT6ST</vt:lpstr>
      <vt:lpstr>2L5LT12ST</vt:lpstr>
      <vt:lpstr>2L5LT12ST.100infill</vt:lpstr>
      <vt:lpstr>4L3LT6ST+3L4LT4ST.M2</vt:lpstr>
      <vt:lpstr>Test Spring 3</vt:lpstr>
      <vt:lpstr>Test Spring 3 FG</vt:lpstr>
      <vt:lpstr>Test Spring 3 FG Set 2</vt:lpstr>
      <vt:lpstr>Test Spring 3 Kevlar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Haonan</dc:creator>
  <cp:lastModifiedBy>Haonan Zheng</cp:lastModifiedBy>
  <dcterms:created xsi:type="dcterms:W3CDTF">2023-09-12T19:09:00Z</dcterms:created>
  <dcterms:modified xsi:type="dcterms:W3CDTF">2024-04-22T03:29:33Z</dcterms:modified>
</cp:coreProperties>
</file>