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nan\Documents\GitHub\Quadruped_Robot\Code\Matlab\Analysis\DampedLeg_Krnacik\Haonan\"/>
    </mc:Choice>
  </mc:AlternateContent>
  <xr:revisionPtr revIDLastSave="0" documentId="13_ncr:1_{ADD2D9D7-547C-47A0-90B5-9F1A0803CE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0" i="1"/>
  <c r="L10" i="1"/>
  <c r="AB10" i="1"/>
  <c r="X10" i="1"/>
  <c r="AB9" i="1"/>
  <c r="X9" i="1"/>
  <c r="L9" i="1"/>
  <c r="T9" i="1"/>
  <c r="X7" i="1"/>
  <c r="AB5" i="1"/>
  <c r="X5" i="1"/>
  <c r="C37" i="1"/>
  <c r="C36" i="1"/>
  <c r="AB7" i="1"/>
  <c r="AB3" i="1"/>
  <c r="X3" i="1"/>
  <c r="X11" i="1" l="1"/>
  <c r="X13" i="1" s="1"/>
  <c r="AB11" i="1"/>
  <c r="AB13" i="1" s="1"/>
  <c r="H31" i="1"/>
  <c r="P9" i="1"/>
  <c r="C23" i="1"/>
  <c r="AB6" i="1" s="1"/>
  <c r="P3" i="1"/>
  <c r="P5" i="1" s="1"/>
  <c r="C24" i="1"/>
  <c r="X6" i="1" s="1"/>
  <c r="C25" i="1"/>
  <c r="C26" i="1"/>
  <c r="X15" i="1" l="1"/>
  <c r="AB15" i="1"/>
  <c r="P6" i="1"/>
  <c r="T7" i="1"/>
  <c r="T3" i="1"/>
  <c r="T5" i="1" s="1"/>
  <c r="T6" i="1" s="1"/>
  <c r="P7" i="1"/>
  <c r="L7" i="1"/>
  <c r="L3" i="1"/>
  <c r="L5" i="1" s="1"/>
  <c r="L6" i="1" s="1"/>
  <c r="H9" i="1"/>
  <c r="H7" i="1"/>
  <c r="H3" i="1"/>
  <c r="H10" i="1" s="1"/>
  <c r="H5" i="1" l="1"/>
  <c r="H6" i="1" s="1"/>
  <c r="H11" i="1"/>
  <c r="H13" i="1" s="1"/>
  <c r="P10" i="1"/>
  <c r="P11" i="1" s="1"/>
  <c r="T11" i="1"/>
  <c r="L11" i="1"/>
  <c r="H15" i="1" l="1"/>
  <c r="P13" i="1"/>
  <c r="P15" i="1" s="1"/>
  <c r="T15" i="1"/>
  <c r="L13" i="1"/>
  <c r="L15" i="1" s="1"/>
</calcChain>
</file>

<file path=xl/sharedStrings.xml><?xml version="1.0" encoding="utf-8"?>
<sst xmlns="http://schemas.openxmlformats.org/spreadsheetml/2006/main" count="237" uniqueCount="124">
  <si>
    <t>me</t>
  </si>
  <si>
    <t>kg</t>
  </si>
  <si>
    <t>mass of encoder</t>
  </si>
  <si>
    <t>m1</t>
  </si>
  <si>
    <t>mass of upper leg</t>
  </si>
  <si>
    <t>mass of lower leg</t>
  </si>
  <si>
    <t>mass of foot</t>
  </si>
  <si>
    <t>m2</t>
  </si>
  <si>
    <t>m3</t>
  </si>
  <si>
    <t>resting angles</t>
  </si>
  <si>
    <t>hip</t>
  </si>
  <si>
    <t>knee</t>
  </si>
  <si>
    <t>ankle</t>
  </si>
  <si>
    <t>deg</t>
  </si>
  <si>
    <t>length of upper leg</t>
  </si>
  <si>
    <t>L1</t>
  </si>
  <si>
    <t>m</t>
  </si>
  <si>
    <t>L2</t>
  </si>
  <si>
    <t>L3</t>
  </si>
  <si>
    <t>length of lower leg</t>
  </si>
  <si>
    <t>length of foot</t>
  </si>
  <si>
    <t>actuator density</t>
  </si>
  <si>
    <t>kg/m</t>
  </si>
  <si>
    <t>length of knee flexor</t>
  </si>
  <si>
    <t>length of knee extensor</t>
  </si>
  <si>
    <t>length of ankle flexor</t>
  </si>
  <si>
    <t>length of ankle extensor</t>
  </si>
  <si>
    <t>Lkf</t>
  </si>
  <si>
    <t>Laf</t>
  </si>
  <si>
    <t>Lke</t>
  </si>
  <si>
    <t>Lae</t>
  </si>
  <si>
    <t>ankle extensor</t>
  </si>
  <si>
    <t>rad</t>
  </si>
  <si>
    <t>max extension past resting spring angle</t>
  </si>
  <si>
    <t>max torque from lower components</t>
  </si>
  <si>
    <t>acceleration due to gravity</t>
  </si>
  <si>
    <t>g</t>
  </si>
  <si>
    <t>m/s²</t>
  </si>
  <si>
    <t>torque from ankle spring</t>
  </si>
  <si>
    <t>spring constant ankle</t>
  </si>
  <si>
    <t>spring constant knee</t>
  </si>
  <si>
    <t>spring constant hip</t>
  </si>
  <si>
    <t>Nm/rad</t>
  </si>
  <si>
    <t>k3</t>
  </si>
  <si>
    <t>k2</t>
  </si>
  <si>
    <t>k1</t>
  </si>
  <si>
    <t>rotation radius knee flexor</t>
  </si>
  <si>
    <t>rotation radius knee extensor</t>
  </si>
  <si>
    <t>rotation radius ankle flexor</t>
  </si>
  <si>
    <t>rotation radius ankle extensor</t>
  </si>
  <si>
    <t>rkf</t>
  </si>
  <si>
    <t>rke</t>
  </si>
  <si>
    <t>raf</t>
  </si>
  <si>
    <t>rae</t>
  </si>
  <si>
    <t>Nm</t>
  </si>
  <si>
    <t>total ankle extensor torque</t>
  </si>
  <si>
    <t>ankle extensor force required</t>
  </si>
  <si>
    <t>N</t>
  </si>
  <si>
    <t>maximum strain</t>
  </si>
  <si>
    <t>constants</t>
  </si>
  <si>
    <t>a0</t>
  </si>
  <si>
    <t>kPa</t>
  </si>
  <si>
    <t>a1</t>
  </si>
  <si>
    <t>a2</t>
  </si>
  <si>
    <t>a3</t>
  </si>
  <si>
    <t>a4</t>
  </si>
  <si>
    <t>a5</t>
  </si>
  <si>
    <t>1/N</t>
  </si>
  <si>
    <t>a6</t>
  </si>
  <si>
    <t>actuator pressure required</t>
  </si>
  <si>
    <t>strain to achieve position</t>
  </si>
  <si>
    <t>Pa</t>
  </si>
  <si>
    <t>Pa/N</t>
  </si>
  <si>
    <t>ankle flexor</t>
  </si>
  <si>
    <t>knee extensor</t>
  </si>
  <si>
    <t>torque from knee spring</t>
  </si>
  <si>
    <t>total ankle flexor torque</t>
  </si>
  <si>
    <t>total knee extensor torque</t>
  </si>
  <si>
    <t>knee extensor force required</t>
  </si>
  <si>
    <t>knee flexor</t>
  </si>
  <si>
    <t>total knee flexor torque</t>
  </si>
  <si>
    <t>knee flexor force required</t>
  </si>
  <si>
    <t>measured resting knee angle closer to 115°</t>
  </si>
  <si>
    <t>April 29 2023</t>
  </si>
  <si>
    <t>maximum extended knee angle about 145°</t>
  </si>
  <si>
    <t>May 2 2023</t>
  </si>
  <si>
    <t>ankle spring can be moved by muscles however attachment points limit muscle effectiveness</t>
  </si>
  <si>
    <t>length of knee flexor*</t>
  </si>
  <si>
    <t>length of knee extensor*</t>
  </si>
  <si>
    <t>length of ankle flexor*</t>
  </si>
  <si>
    <t>length of ankle extensor*</t>
  </si>
  <si>
    <t>May 9 2023</t>
  </si>
  <si>
    <t>effective actuator lengths are the hollow portion only - must subtract length of end caps inside the actuator (0.5in per end cap)</t>
  </si>
  <si>
    <t>effective actuator lengths denoted with *</t>
  </si>
  <si>
    <t>Lkf*</t>
  </si>
  <si>
    <t>Lke*</t>
  </si>
  <si>
    <t>Laf*</t>
  </si>
  <si>
    <t>Lae*</t>
  </si>
  <si>
    <t>max allowable strain</t>
  </si>
  <si>
    <t>Notes</t>
  </si>
  <si>
    <t>max available pressure</t>
  </si>
  <si>
    <t>Pmax</t>
  </si>
  <si>
    <t>maximum extended knee angle about 150° with pressure on</t>
  </si>
  <si>
    <t>muscle end caps are leaking</t>
  </si>
  <si>
    <t xml:space="preserve">   </t>
  </si>
  <si>
    <t>Torque from weight:</t>
  </si>
  <si>
    <t>10lb weight hung 67mm from knee center of rotation yielded 167° static rotation (52° from resting)</t>
  </si>
  <si>
    <t>May 12 2023</t>
  </si>
  <si>
    <t>slack in tendon does not allow for full extension of knee joint</t>
  </si>
  <si>
    <t>May 16 2023</t>
  </si>
  <si>
    <t>maximum muscle force</t>
  </si>
  <si>
    <t>N/kPa</t>
  </si>
  <si>
    <t>1/kPam</t>
  </si>
  <si>
    <t>rotation to achieve position</t>
  </si>
  <si>
    <t>mm</t>
  </si>
  <si>
    <t>hip extensor</t>
  </si>
  <si>
    <t>hip flexor</t>
  </si>
  <si>
    <t>rotation radius hip flexor</t>
  </si>
  <si>
    <t>rotation radius hip extensor</t>
  </si>
  <si>
    <t>torque from hip spring</t>
  </si>
  <si>
    <t>total hip extensor torque</t>
  </si>
  <si>
    <t>total hip flexor torque</t>
  </si>
  <si>
    <t>hip extensor force required</t>
  </si>
  <si>
    <t>hip flexor force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</si>
</sst>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workbookViewId="0">
      <pane xSplit="4" ySplit="14" topLeftCell="Q18" activePane="bottomRight" state="frozen"/>
      <selection pane="topRight" activeCell="E1" sqref="E1"/>
      <selection pane="bottomLeft" activeCell="A15" sqref="A15"/>
      <selection pane="bottomRight" activeCell="C35" sqref="C35"/>
    </sheetView>
  </sheetViews>
  <sheetFormatPr defaultRowHeight="15" x14ac:dyDescent="0.25"/>
  <cols>
    <col min="1" max="1" width="35" customWidth="1"/>
    <col min="7" max="7" width="35.85546875" customWidth="1"/>
    <col min="8" max="8" width="13.140625" customWidth="1"/>
    <col min="11" max="11" width="35.85546875" customWidth="1"/>
    <col min="12" max="12" width="13.140625" customWidth="1"/>
    <col min="15" max="15" width="35.85546875" customWidth="1"/>
    <col min="16" max="16" width="13.140625" customWidth="1"/>
    <col min="19" max="19" width="35.85546875" customWidth="1"/>
    <col min="20" max="20" width="13.140625" customWidth="1"/>
    <col min="23" max="23" width="35.85546875" customWidth="1"/>
    <col min="24" max="24" width="13.140625" customWidth="1"/>
    <col min="27" max="27" width="35.85546875" customWidth="1"/>
    <col min="28" max="28" width="13.140625" customWidth="1"/>
  </cols>
  <sheetData>
    <row r="1" spans="1:29" x14ac:dyDescent="0.25">
      <c r="G1" s="14" t="s">
        <v>31</v>
      </c>
      <c r="H1" s="15"/>
      <c r="I1" s="16"/>
      <c r="K1" s="14" t="s">
        <v>73</v>
      </c>
      <c r="L1" s="15"/>
      <c r="M1" s="16"/>
      <c r="O1" s="14" t="s">
        <v>74</v>
      </c>
      <c r="P1" s="15"/>
      <c r="Q1" s="16"/>
      <c r="S1" s="14" t="s">
        <v>79</v>
      </c>
      <c r="T1" s="15"/>
      <c r="U1" s="16"/>
      <c r="W1" s="14" t="s">
        <v>115</v>
      </c>
      <c r="X1" s="15"/>
      <c r="Y1" s="16"/>
      <c r="AA1" s="14" t="s">
        <v>116</v>
      </c>
      <c r="AB1" s="15"/>
      <c r="AC1" s="16"/>
    </row>
    <row r="2" spans="1:29" x14ac:dyDescent="0.25">
      <c r="A2" t="s">
        <v>2</v>
      </c>
      <c r="B2" t="s">
        <v>0</v>
      </c>
      <c r="C2">
        <v>2.0500000000000001E-2</v>
      </c>
      <c r="D2" t="s">
        <v>1</v>
      </c>
      <c r="G2" s="17" t="s">
        <v>33</v>
      </c>
      <c r="H2">
        <v>51</v>
      </c>
      <c r="I2" s="4" t="s">
        <v>13</v>
      </c>
      <c r="K2" s="17" t="s">
        <v>33</v>
      </c>
      <c r="L2">
        <v>43</v>
      </c>
      <c r="M2" s="4" t="s">
        <v>13</v>
      </c>
      <c r="O2" s="17" t="s">
        <v>33</v>
      </c>
      <c r="P2">
        <v>70</v>
      </c>
      <c r="Q2" s="4" t="s">
        <v>13</v>
      </c>
      <c r="S2" s="17" t="s">
        <v>33</v>
      </c>
      <c r="T2">
        <v>10</v>
      </c>
      <c r="U2" s="4" t="s">
        <v>13</v>
      </c>
      <c r="W2" s="17" t="s">
        <v>33</v>
      </c>
      <c r="X2">
        <v>50</v>
      </c>
      <c r="Y2" s="4" t="s">
        <v>13</v>
      </c>
      <c r="AA2" s="17" t="s">
        <v>33</v>
      </c>
      <c r="AB2">
        <v>50</v>
      </c>
      <c r="AC2" s="4" t="s">
        <v>13</v>
      </c>
    </row>
    <row r="3" spans="1:29" x14ac:dyDescent="0.25">
      <c r="A3" t="s">
        <v>4</v>
      </c>
      <c r="B3" t="s">
        <v>3</v>
      </c>
      <c r="C3">
        <v>0.17929999999999999</v>
      </c>
      <c r="D3" t="s">
        <v>1</v>
      </c>
      <c r="G3" s="17"/>
      <c r="H3" s="1">
        <f>H2*2*PI()/360</f>
        <v>0.89011791851710798</v>
      </c>
      <c r="I3" s="4" t="s">
        <v>32</v>
      </c>
      <c r="K3" s="17"/>
      <c r="L3" s="1">
        <f>L2*2*PI()/360</f>
        <v>0.75049157835756164</v>
      </c>
      <c r="M3" s="4" t="s">
        <v>32</v>
      </c>
      <c r="O3" s="17"/>
      <c r="P3" s="1">
        <f>P2*2*PI()/360</f>
        <v>1.2217304763960306</v>
      </c>
      <c r="Q3" s="4" t="s">
        <v>32</v>
      </c>
      <c r="S3" s="17"/>
      <c r="T3" s="1">
        <f>T2*2*PI()/360</f>
        <v>0.17453292519943295</v>
      </c>
      <c r="U3" s="4" t="s">
        <v>32</v>
      </c>
      <c r="W3" s="17"/>
      <c r="X3" s="1">
        <f>X2*2*PI()/360</f>
        <v>0.87266462599716477</v>
      </c>
      <c r="Y3" s="4" t="s">
        <v>32</v>
      </c>
      <c r="AA3" s="17"/>
      <c r="AB3" s="1">
        <f>AB2*2*PI()/360</f>
        <v>0.87266462599716477</v>
      </c>
      <c r="AC3" s="4" t="s">
        <v>32</v>
      </c>
    </row>
    <row r="4" spans="1:29" x14ac:dyDescent="0.25">
      <c r="A4" t="s">
        <v>5</v>
      </c>
      <c r="B4" t="s">
        <v>7</v>
      </c>
      <c r="C4">
        <v>0.12230000000000001</v>
      </c>
      <c r="D4" t="s">
        <v>1</v>
      </c>
      <c r="G4" s="13"/>
      <c r="H4" s="1"/>
      <c r="I4" s="4"/>
      <c r="K4" s="13"/>
      <c r="L4" s="1"/>
      <c r="M4" s="4"/>
      <c r="O4" s="13"/>
      <c r="P4" s="1"/>
      <c r="Q4" s="4"/>
      <c r="S4" s="13"/>
      <c r="T4" s="1"/>
      <c r="U4" s="4"/>
      <c r="W4" s="13"/>
      <c r="X4" s="1"/>
      <c r="Y4" s="4"/>
      <c r="AA4" s="13"/>
      <c r="AB4" s="1"/>
      <c r="AC4" s="4"/>
    </row>
    <row r="5" spans="1:29" x14ac:dyDescent="0.25">
      <c r="A5" t="s">
        <v>6</v>
      </c>
      <c r="B5" t="s">
        <v>8</v>
      </c>
      <c r="C5">
        <v>4.3900000000000002E-2</v>
      </c>
      <c r="D5" t="s">
        <v>1</v>
      </c>
      <c r="G5" s="5" t="s">
        <v>113</v>
      </c>
      <c r="H5" s="1">
        <f>(H3*C41)*1000</f>
        <v>14.313096129755097</v>
      </c>
      <c r="I5" s="4" t="s">
        <v>114</v>
      </c>
      <c r="K5" s="5" t="s">
        <v>113</v>
      </c>
      <c r="L5" s="1">
        <f>(L3*C40)*1000</f>
        <v>15.490146177300073</v>
      </c>
      <c r="M5" s="4" t="s">
        <v>114</v>
      </c>
      <c r="O5" s="5" t="s">
        <v>113</v>
      </c>
      <c r="P5" s="1">
        <f>($C39*P3)*1000</f>
        <v>31.215213671918583</v>
      </c>
      <c r="Q5" s="4" t="s">
        <v>114</v>
      </c>
      <c r="S5" s="5" t="s">
        <v>113</v>
      </c>
      <c r="T5" s="1">
        <f>($C38*T3)*1000</f>
        <v>3.8135444156076104</v>
      </c>
      <c r="U5" s="4" t="s">
        <v>114</v>
      </c>
      <c r="W5" s="5" t="s">
        <v>113</v>
      </c>
      <c r="X5" s="1">
        <f>($C37*X3)*1000</f>
        <v>6.9267754688524956</v>
      </c>
      <c r="Y5" s="4" t="s">
        <v>114</v>
      </c>
      <c r="AA5" s="5" t="s">
        <v>113</v>
      </c>
      <c r="AB5" s="1">
        <f>($C36*AB3)*1000</f>
        <v>6.9267754688524956</v>
      </c>
      <c r="AC5" s="4" t="s">
        <v>114</v>
      </c>
    </row>
    <row r="6" spans="1:29" x14ac:dyDescent="0.25">
      <c r="G6" s="5" t="s">
        <v>70</v>
      </c>
      <c r="H6" s="1">
        <f>H5/1000/$C26</f>
        <v>0.15291769369396471</v>
      </c>
      <c r="I6" s="4"/>
      <c r="K6" s="5" t="s">
        <v>70</v>
      </c>
      <c r="L6" s="1">
        <f>L5/1000/$C25</f>
        <v>0.12532480725970932</v>
      </c>
      <c r="M6" s="4"/>
      <c r="O6" s="5" t="s">
        <v>70</v>
      </c>
      <c r="P6" s="1">
        <f>P5/1000/$C24</f>
        <v>0.19933086635963335</v>
      </c>
      <c r="Q6" s="4"/>
      <c r="S6" s="5" t="s">
        <v>70</v>
      </c>
      <c r="T6" s="1">
        <f>T5/1000/$C23</f>
        <v>2.4045046756668412E-2</v>
      </c>
      <c r="U6" s="4"/>
      <c r="W6" s="5" t="s">
        <v>70</v>
      </c>
      <c r="X6" s="1">
        <f>X5/1000/$C24</f>
        <v>4.423228268743612E-2</v>
      </c>
      <c r="Y6" s="4"/>
      <c r="AA6" s="5" t="s">
        <v>70</v>
      </c>
      <c r="AB6" s="1">
        <f>AB5/1000/$C23</f>
        <v>4.3674498542575636E-2</v>
      </c>
      <c r="AC6" s="4"/>
    </row>
    <row r="7" spans="1:29" x14ac:dyDescent="0.25">
      <c r="A7" t="s">
        <v>35</v>
      </c>
      <c r="B7" t="s">
        <v>36</v>
      </c>
      <c r="C7">
        <v>9.81</v>
      </c>
      <c r="D7" t="s">
        <v>37</v>
      </c>
      <c r="G7" s="5" t="s">
        <v>98</v>
      </c>
      <c r="H7" s="1">
        <f>$C$28</f>
        <v>0.16669999999999999</v>
      </c>
      <c r="I7" s="4"/>
      <c r="K7" s="5" t="s">
        <v>98</v>
      </c>
      <c r="L7" s="1">
        <f>$C$28</f>
        <v>0.16669999999999999</v>
      </c>
      <c r="M7" s="4"/>
      <c r="N7" s="1"/>
      <c r="O7" s="5" t="s">
        <v>98</v>
      </c>
      <c r="P7" s="1">
        <f>$C$28</f>
        <v>0.16669999999999999</v>
      </c>
      <c r="Q7" s="4"/>
      <c r="S7" s="5" t="s">
        <v>98</v>
      </c>
      <c r="T7" s="1">
        <f>$C$28</f>
        <v>0.16669999999999999</v>
      </c>
      <c r="U7" s="4"/>
      <c r="W7" s="5" t="s">
        <v>98</v>
      </c>
      <c r="X7" s="1">
        <f>$C$28</f>
        <v>0.16669999999999999</v>
      </c>
      <c r="Y7" s="4"/>
      <c r="AA7" s="5" t="s">
        <v>98</v>
      </c>
      <c r="AB7" s="1">
        <f>$C$28</f>
        <v>0.16669999999999999</v>
      </c>
      <c r="AC7" s="4"/>
    </row>
    <row r="8" spans="1:29" x14ac:dyDescent="0.25">
      <c r="G8" s="6"/>
      <c r="I8" s="4"/>
      <c r="K8" s="6"/>
      <c r="M8" s="4"/>
      <c r="O8" s="6"/>
      <c r="Q8" s="4"/>
      <c r="S8" s="6"/>
      <c r="U8" s="4"/>
      <c r="W8" s="6"/>
      <c r="Y8" s="4"/>
      <c r="AA8" s="6"/>
      <c r="AC8" s="4"/>
    </row>
    <row r="9" spans="1:29" x14ac:dyDescent="0.25">
      <c r="A9" t="s">
        <v>9</v>
      </c>
      <c r="G9" s="6" t="s">
        <v>34</v>
      </c>
      <c r="H9">
        <f>($C16/2)*$C5*$C$7</f>
        <v>3.4452720000000006E-2</v>
      </c>
      <c r="I9" s="4" t="s">
        <v>54</v>
      </c>
      <c r="K9" s="6" t="s">
        <v>34</v>
      </c>
      <c r="L9">
        <f>($C16/2)*$C5*$C$7</f>
        <v>3.4452720000000006E-2</v>
      </c>
      <c r="M9" s="4" t="s">
        <v>54</v>
      </c>
      <c r="O9" s="6" t="s">
        <v>34</v>
      </c>
      <c r="P9">
        <f>(C5*C7)*(C15+(C16/2))+(C2*C15)+(C4+(C30*(C18+C19)))*(C15/2)</f>
        <v>0.21963739499999999</v>
      </c>
      <c r="Q9" s="4" t="s">
        <v>54</v>
      </c>
      <c r="S9" s="6" t="s">
        <v>34</v>
      </c>
      <c r="T9">
        <f>(C5*C7)*(C15+(C16/2))+(C2*C15)+(C4+(C30*(C18+C19)))*(C15/2)</f>
        <v>0.21963739499999999</v>
      </c>
      <c r="U9" s="4" t="s">
        <v>54</v>
      </c>
      <c r="W9" s="6" t="s">
        <v>34</v>
      </c>
      <c r="X9">
        <f>(C5*C7)*(C15+(C16/2))+(C2*C15)+(C4+(C30*(C18+C19)))*(C15/2)</f>
        <v>0.21963739499999999</v>
      </c>
      <c r="Y9" s="4" t="s">
        <v>54</v>
      </c>
      <c r="AA9" s="6" t="s">
        <v>34</v>
      </c>
      <c r="AB9">
        <f>(C5*C7)*(C15+(C16/2))+(C2*C15)+(C4+(C30*(C18+C19)))*(C15/2)</f>
        <v>0.21963739499999999</v>
      </c>
      <c r="AC9" s="4" t="s">
        <v>54</v>
      </c>
    </row>
    <row r="10" spans="1:29" x14ac:dyDescent="0.25">
      <c r="A10" t="s">
        <v>10</v>
      </c>
      <c r="C10">
        <v>105</v>
      </c>
      <c r="D10" t="s">
        <v>13</v>
      </c>
      <c r="G10" s="6" t="s">
        <v>38</v>
      </c>
      <c r="H10">
        <f>$C32*H3</f>
        <v>0.42074983890385176</v>
      </c>
      <c r="I10" s="4" t="s">
        <v>54</v>
      </c>
      <c r="K10" s="6" t="s">
        <v>38</v>
      </c>
      <c r="L10">
        <f>$C32*L3</f>
        <v>0.3547498641738358</v>
      </c>
      <c r="M10" s="4" t="s">
        <v>54</v>
      </c>
      <c r="O10" s="6" t="s">
        <v>75</v>
      </c>
      <c r="P10">
        <f>$C33*P3</f>
        <v>2.7180363252487343</v>
      </c>
      <c r="Q10" s="4" t="s">
        <v>54</v>
      </c>
      <c r="S10" s="6" t="s">
        <v>75</v>
      </c>
      <c r="T10">
        <f>$C32*T3</f>
        <v>8.2499968412519956E-2</v>
      </c>
      <c r="U10" s="4" t="s">
        <v>54</v>
      </c>
      <c r="W10" s="6" t="s">
        <v>119</v>
      </c>
      <c r="X10">
        <f>$C34*X3</f>
        <v>34.906585039886593</v>
      </c>
      <c r="Y10" s="4" t="s">
        <v>54</v>
      </c>
      <c r="AA10" s="6" t="s">
        <v>119</v>
      </c>
      <c r="AB10">
        <f>$C34*AB3</f>
        <v>34.906585039886593</v>
      </c>
      <c r="AC10" s="4" t="s">
        <v>54</v>
      </c>
    </row>
    <row r="11" spans="1:29" x14ac:dyDescent="0.25">
      <c r="A11" t="s">
        <v>11</v>
      </c>
      <c r="C11">
        <v>108</v>
      </c>
      <c r="D11" t="s">
        <v>13</v>
      </c>
      <c r="G11" s="6" t="s">
        <v>55</v>
      </c>
      <c r="H11">
        <f>SUM(H9:H10)</f>
        <v>0.45520255890385175</v>
      </c>
      <c r="I11" s="4" t="s">
        <v>54</v>
      </c>
      <c r="K11" s="6" t="s">
        <v>76</v>
      </c>
      <c r="L11">
        <f>SUM(L9:L10)</f>
        <v>0.3892025841738358</v>
      </c>
      <c r="M11" s="4" t="s">
        <v>54</v>
      </c>
      <c r="O11" s="6" t="s">
        <v>77</v>
      </c>
      <c r="P11">
        <f>SUM(P9:P10)</f>
        <v>2.9376737202487342</v>
      </c>
      <c r="Q11" s="4" t="s">
        <v>54</v>
      </c>
      <c r="S11" s="6" t="s">
        <v>80</v>
      </c>
      <c r="T11">
        <f>SUM(T9:T10)</f>
        <v>0.30213736341251995</v>
      </c>
      <c r="U11" s="4" t="s">
        <v>54</v>
      </c>
      <c r="W11" s="6" t="s">
        <v>120</v>
      </c>
      <c r="X11">
        <f>SUM(X9:X10)</f>
        <v>35.126222434886593</v>
      </c>
      <c r="Y11" s="4" t="s">
        <v>54</v>
      </c>
      <c r="AA11" s="6" t="s">
        <v>121</v>
      </c>
      <c r="AB11">
        <f>SUM(AB9:AB10)</f>
        <v>35.126222434886593</v>
      </c>
      <c r="AC11" s="4" t="s">
        <v>54</v>
      </c>
    </row>
    <row r="12" spans="1:29" x14ac:dyDescent="0.25">
      <c r="A12" t="s">
        <v>12</v>
      </c>
      <c r="C12">
        <v>139</v>
      </c>
      <c r="D12" t="s">
        <v>13</v>
      </c>
      <c r="G12" s="6"/>
      <c r="I12" s="4"/>
      <c r="K12" s="6"/>
      <c r="M12" s="4"/>
      <c r="O12" s="6"/>
      <c r="Q12" s="4"/>
      <c r="S12" s="6"/>
      <c r="U12" s="4"/>
      <c r="W12" s="6"/>
      <c r="Y12" s="4"/>
      <c r="AA12" s="6"/>
      <c r="AC12" s="4"/>
    </row>
    <row r="13" spans="1:29" x14ac:dyDescent="0.25">
      <c r="G13" s="6" t="s">
        <v>56</v>
      </c>
      <c r="H13">
        <f>H11/$C41</f>
        <v>28.308616847254463</v>
      </c>
      <c r="I13" s="4" t="s">
        <v>57</v>
      </c>
      <c r="K13" s="6" t="s">
        <v>56</v>
      </c>
      <c r="L13">
        <f>L11/$C40</f>
        <v>18.856714349507548</v>
      </c>
      <c r="M13" s="4" t="s">
        <v>57</v>
      </c>
      <c r="O13" s="6" t="s">
        <v>78</v>
      </c>
      <c r="P13">
        <f>P11/$C39</f>
        <v>114.97744501951993</v>
      </c>
      <c r="Q13" s="4" t="s">
        <v>57</v>
      </c>
      <c r="S13" s="6" t="s">
        <v>81</v>
      </c>
      <c r="T13">
        <f>T11/$C38</f>
        <v>13.827796952518074</v>
      </c>
      <c r="U13" s="4" t="s">
        <v>57</v>
      </c>
      <c r="W13" s="6" t="s">
        <v>122</v>
      </c>
      <c r="X13">
        <f>X11/$C36</f>
        <v>4425.3508579384679</v>
      </c>
      <c r="Y13" s="4" t="s">
        <v>57</v>
      </c>
      <c r="AA13" s="6" t="s">
        <v>123</v>
      </c>
      <c r="AB13">
        <f>AB11/$C37</f>
        <v>4425.3508579384679</v>
      </c>
      <c r="AC13" s="4" t="s">
        <v>57</v>
      </c>
    </row>
    <row r="14" spans="1:29" x14ac:dyDescent="0.25">
      <c r="A14" t="s">
        <v>14</v>
      </c>
      <c r="B14" t="s">
        <v>15</v>
      </c>
      <c r="C14">
        <v>0.22</v>
      </c>
      <c r="D14" t="s">
        <v>16</v>
      </c>
      <c r="G14" s="6"/>
      <c r="I14" s="4"/>
      <c r="K14" s="6"/>
      <c r="M14" s="4"/>
      <c r="O14" s="6"/>
      <c r="Q14" s="4"/>
      <c r="S14" s="6"/>
      <c r="U14" s="4"/>
      <c r="W14" s="6"/>
      <c r="Y14" s="4"/>
      <c r="AA14" s="6"/>
      <c r="AC14" s="4"/>
    </row>
    <row r="15" spans="1:29" x14ac:dyDescent="0.25">
      <c r="A15" t="s">
        <v>19</v>
      </c>
      <c r="B15" t="s">
        <v>17</v>
      </c>
      <c r="C15">
        <v>0.22500000000000001</v>
      </c>
      <c r="D15" t="s">
        <v>16</v>
      </c>
      <c r="G15" s="7" t="s">
        <v>69</v>
      </c>
      <c r="H15" s="8">
        <f>($C$44+$C$45*(TAN($C$46*((H6/($C$48*H13+$C$28))+$C$47)))+$C$49*H13+$C$50)/1000</f>
        <v>628.4325124094986</v>
      </c>
      <c r="I15" s="9" t="s">
        <v>61</v>
      </c>
      <c r="K15" s="7" t="s">
        <v>69</v>
      </c>
      <c r="L15" s="8">
        <f>($C$44+$C$45*(TAN($C$46*((L6/($C$48*L13+$C$28))+$C$47)))+$C$49*L13+$C$50)/1000</f>
        <v>438.61890270957446</v>
      </c>
      <c r="M15" s="9" t="s">
        <v>61</v>
      </c>
      <c r="N15" s="3"/>
      <c r="O15" s="7" t="s">
        <v>69</v>
      </c>
      <c r="P15" s="8">
        <f>($C$44+$C$45*(TAN($C$46*((P6/($C$48*P13+$C$28))+$C$47)))+$C$49*P13+$C$50)/1000</f>
        <v>150.75748358378104</v>
      </c>
      <c r="Q15" s="9" t="s">
        <v>61</v>
      </c>
      <c r="S15" s="7" t="s">
        <v>69</v>
      </c>
      <c r="T15" s="8">
        <f>($C$44+$C$45*(TAN($C$46*((T6/($C$48*T13+$C$28))+$C$47)))+$C$49*T13+$C$50)/1000</f>
        <v>145.8392885878641</v>
      </c>
      <c r="U15" s="9" t="s">
        <v>61</v>
      </c>
      <c r="W15" s="7" t="s">
        <v>69</v>
      </c>
      <c r="X15" s="8">
        <f>($C$44+$C$45*(TAN($C$46*((X6/($C$48*X13+$C$28))+$C$47)))+$C$49*X13+$C$50)/1000</f>
        <v>5411.8980974581154</v>
      </c>
      <c r="Y15" s="9" t="s">
        <v>61</v>
      </c>
      <c r="AA15" s="7" t="s">
        <v>69</v>
      </c>
      <c r="AB15" s="8">
        <f>($C$44+$C$45*(TAN($C$46*((AB6/($C$48*AB13+$C$28))+$C$47)))+$C$49*AB13+$C$50)/1000</f>
        <v>5412.4759018545119</v>
      </c>
      <c r="AC15" s="9" t="s">
        <v>61</v>
      </c>
    </row>
    <row r="16" spans="1:29" x14ac:dyDescent="0.25">
      <c r="A16" t="s">
        <v>20</v>
      </c>
      <c r="B16" t="s">
        <v>18</v>
      </c>
      <c r="C16">
        <v>0.16</v>
      </c>
      <c r="D16" t="s">
        <v>16</v>
      </c>
      <c r="S16" s="6" t="s">
        <v>104</v>
      </c>
      <c r="AA16" s="6" t="s">
        <v>104</v>
      </c>
    </row>
    <row r="17" spans="1:9" x14ac:dyDescent="0.25">
      <c r="G17" s="10" t="s">
        <v>99</v>
      </c>
    </row>
    <row r="18" spans="1:9" x14ac:dyDescent="0.25">
      <c r="A18" t="s">
        <v>23</v>
      </c>
      <c r="B18" t="s">
        <v>27</v>
      </c>
      <c r="C18">
        <v>0.184</v>
      </c>
      <c r="D18" t="s">
        <v>16</v>
      </c>
      <c r="G18" s="12" t="s">
        <v>83</v>
      </c>
    </row>
    <row r="19" spans="1:9" x14ac:dyDescent="0.25">
      <c r="A19" t="s">
        <v>24</v>
      </c>
      <c r="B19" t="s">
        <v>29</v>
      </c>
      <c r="C19">
        <v>0.182</v>
      </c>
      <c r="D19" t="s">
        <v>16</v>
      </c>
      <c r="G19" t="s">
        <v>82</v>
      </c>
    </row>
    <row r="20" spans="1:9" x14ac:dyDescent="0.25">
      <c r="A20" t="s">
        <v>25</v>
      </c>
      <c r="B20" t="s">
        <v>28</v>
      </c>
      <c r="C20">
        <v>0.14899999999999999</v>
      </c>
      <c r="D20" t="s">
        <v>16</v>
      </c>
      <c r="G20" t="s">
        <v>84</v>
      </c>
    </row>
    <row r="21" spans="1:9" x14ac:dyDescent="0.25">
      <c r="A21" t="s">
        <v>26</v>
      </c>
      <c r="B21" t="s">
        <v>30</v>
      </c>
      <c r="C21">
        <v>0.11899999999999999</v>
      </c>
      <c r="D21" t="s">
        <v>16</v>
      </c>
    </row>
    <row r="22" spans="1:9" x14ac:dyDescent="0.25">
      <c r="G22" s="12" t="s">
        <v>85</v>
      </c>
    </row>
    <row r="23" spans="1:9" x14ac:dyDescent="0.25">
      <c r="A23" t="s">
        <v>87</v>
      </c>
      <c r="B23" t="s">
        <v>94</v>
      </c>
      <c r="C23">
        <f>C18-0.0254</f>
        <v>0.15859999999999999</v>
      </c>
      <c r="D23" t="s">
        <v>16</v>
      </c>
      <c r="G23" t="s">
        <v>86</v>
      </c>
    </row>
    <row r="24" spans="1:9" x14ac:dyDescent="0.25">
      <c r="A24" t="s">
        <v>88</v>
      </c>
      <c r="B24" t="s">
        <v>95</v>
      </c>
      <c r="C24">
        <f t="shared" ref="C24:C26" si="0">C19-0.0254</f>
        <v>0.15659999999999999</v>
      </c>
      <c r="D24" t="s">
        <v>16</v>
      </c>
    </row>
    <row r="25" spans="1:9" x14ac:dyDescent="0.25">
      <c r="A25" t="s">
        <v>89</v>
      </c>
      <c r="B25" t="s">
        <v>96</v>
      </c>
      <c r="C25">
        <f t="shared" si="0"/>
        <v>0.12359999999999999</v>
      </c>
      <c r="D25" t="s">
        <v>16</v>
      </c>
      <c r="G25" s="12" t="s">
        <v>91</v>
      </c>
    </row>
    <row r="26" spans="1:9" x14ac:dyDescent="0.25">
      <c r="A26" t="s">
        <v>90</v>
      </c>
      <c r="B26" t="s">
        <v>97</v>
      </c>
      <c r="C26">
        <f t="shared" si="0"/>
        <v>9.3599999999999989E-2</v>
      </c>
      <c r="D26" t="s">
        <v>16</v>
      </c>
      <c r="G26" t="s">
        <v>92</v>
      </c>
    </row>
    <row r="27" spans="1:9" x14ac:dyDescent="0.25">
      <c r="G27" t="s">
        <v>93</v>
      </c>
    </row>
    <row r="28" spans="1:9" x14ac:dyDescent="0.25">
      <c r="A28" t="s">
        <v>58</v>
      </c>
      <c r="C28">
        <v>0.16669999999999999</v>
      </c>
      <c r="G28" t="s">
        <v>102</v>
      </c>
    </row>
    <row r="29" spans="1:9" x14ac:dyDescent="0.25">
      <c r="G29" t="s">
        <v>103</v>
      </c>
    </row>
    <row r="30" spans="1:9" x14ac:dyDescent="0.25">
      <c r="A30" t="s">
        <v>21</v>
      </c>
      <c r="C30">
        <v>1.698</v>
      </c>
      <c r="D30" t="s">
        <v>22</v>
      </c>
      <c r="G30" t="s">
        <v>106</v>
      </c>
    </row>
    <row r="31" spans="1:9" x14ac:dyDescent="0.25">
      <c r="G31" s="11" t="s">
        <v>105</v>
      </c>
      <c r="H31">
        <f>(CONVERT(10,"lbm","g")/1000)*C7*0.067</f>
        <v>2.9813265702990006</v>
      </c>
      <c r="I31" t="s">
        <v>54</v>
      </c>
    </row>
    <row r="32" spans="1:9" x14ac:dyDescent="0.25">
      <c r="A32" t="s">
        <v>39</v>
      </c>
      <c r="B32" t="s">
        <v>43</v>
      </c>
      <c r="C32">
        <v>0.47269</v>
      </c>
      <c r="D32" t="s">
        <v>42</v>
      </c>
    </row>
    <row r="33" spans="1:8" x14ac:dyDescent="0.25">
      <c r="A33" t="s">
        <v>40</v>
      </c>
      <c r="B33" t="s">
        <v>44</v>
      </c>
      <c r="C33">
        <v>2.2247430000000001</v>
      </c>
      <c r="D33" t="s">
        <v>42</v>
      </c>
      <c r="G33" s="12" t="s">
        <v>107</v>
      </c>
    </row>
    <row r="34" spans="1:8" x14ac:dyDescent="0.25">
      <c r="A34" t="s">
        <v>41</v>
      </c>
      <c r="B34" t="s">
        <v>45</v>
      </c>
      <c r="C34">
        <v>40</v>
      </c>
      <c r="D34" t="s">
        <v>42</v>
      </c>
      <c r="G34" t="s">
        <v>108</v>
      </c>
    </row>
    <row r="36" spans="1:8" x14ac:dyDescent="0.25">
      <c r="A36" t="s">
        <v>117</v>
      </c>
      <c r="B36" t="s">
        <v>50</v>
      </c>
      <c r="C36">
        <f>7.9375/1000</f>
        <v>7.9375000000000001E-3</v>
      </c>
      <c r="D36" t="s">
        <v>16</v>
      </c>
      <c r="G36" s="12" t="s">
        <v>109</v>
      </c>
    </row>
    <row r="37" spans="1:8" x14ac:dyDescent="0.25">
      <c r="A37" t="s">
        <v>118</v>
      </c>
      <c r="B37" t="s">
        <v>51</v>
      </c>
      <c r="C37">
        <f>7.9375/1000</f>
        <v>7.9375000000000001E-3</v>
      </c>
      <c r="D37" t="s">
        <v>16</v>
      </c>
      <c r="H37" s="2"/>
    </row>
    <row r="38" spans="1:8" x14ac:dyDescent="0.25">
      <c r="A38" t="s">
        <v>46</v>
      </c>
      <c r="B38" t="s">
        <v>50</v>
      </c>
      <c r="C38">
        <v>2.1850000000000001E-2</v>
      </c>
      <c r="D38" t="s">
        <v>16</v>
      </c>
    </row>
    <row r="39" spans="1:8" x14ac:dyDescent="0.25">
      <c r="A39" t="s">
        <v>47</v>
      </c>
      <c r="B39" t="s">
        <v>51</v>
      </c>
      <c r="C39">
        <v>2.555E-2</v>
      </c>
      <c r="D39" t="s">
        <v>16</v>
      </c>
    </row>
    <row r="40" spans="1:8" x14ac:dyDescent="0.25">
      <c r="A40" t="s">
        <v>48</v>
      </c>
      <c r="B40" t="s">
        <v>52</v>
      </c>
      <c r="C40">
        <v>2.0639999999999999E-2</v>
      </c>
      <c r="D40" t="s">
        <v>16</v>
      </c>
    </row>
    <row r="41" spans="1:8" x14ac:dyDescent="0.25">
      <c r="A41" t="s">
        <v>49</v>
      </c>
      <c r="B41" t="s">
        <v>53</v>
      </c>
      <c r="C41">
        <v>1.6080000000000001E-2</v>
      </c>
      <c r="D41" t="s">
        <v>16</v>
      </c>
    </row>
    <row r="43" spans="1:8" x14ac:dyDescent="0.25">
      <c r="A43" t="s">
        <v>59</v>
      </c>
    </row>
    <row r="44" spans="1:8" x14ac:dyDescent="0.25">
      <c r="A44" t="s">
        <v>60</v>
      </c>
      <c r="C44" s="2">
        <v>254300</v>
      </c>
      <c r="D44" t="s">
        <v>71</v>
      </c>
    </row>
    <row r="45" spans="1:8" x14ac:dyDescent="0.25">
      <c r="A45" t="s">
        <v>62</v>
      </c>
      <c r="C45" s="2">
        <v>192000</v>
      </c>
      <c r="D45" t="s">
        <v>71</v>
      </c>
    </row>
    <row r="46" spans="1:8" x14ac:dyDescent="0.25">
      <c r="A46" t="s">
        <v>63</v>
      </c>
      <c r="C46">
        <v>2.0265</v>
      </c>
    </row>
    <row r="47" spans="1:8" x14ac:dyDescent="0.25">
      <c r="A47" t="s">
        <v>64</v>
      </c>
      <c r="C47">
        <v>-0.46100000000000002</v>
      </c>
    </row>
    <row r="48" spans="1:8" x14ac:dyDescent="0.25">
      <c r="A48" t="s">
        <v>65</v>
      </c>
      <c r="C48" s="2">
        <v>-3.3100000000000002E-4</v>
      </c>
      <c r="D48" t="s">
        <v>67</v>
      </c>
    </row>
    <row r="49" spans="1:4" x14ac:dyDescent="0.25">
      <c r="A49" t="s">
        <v>66</v>
      </c>
      <c r="C49" s="2">
        <v>1230</v>
      </c>
      <c r="D49" t="s">
        <v>72</v>
      </c>
    </row>
    <row r="50" spans="1:4" x14ac:dyDescent="0.25">
      <c r="A50" t="s">
        <v>68</v>
      </c>
      <c r="C50" s="2">
        <v>15600</v>
      </c>
      <c r="D50" t="s">
        <v>71</v>
      </c>
    </row>
    <row r="52" spans="1:4" x14ac:dyDescent="0.25">
      <c r="A52" t="s">
        <v>100</v>
      </c>
      <c r="B52" s="2" t="s">
        <v>101</v>
      </c>
      <c r="C52">
        <v>620</v>
      </c>
      <c r="D52" t="s">
        <v>61</v>
      </c>
    </row>
    <row r="54" spans="1:4" x14ac:dyDescent="0.25">
      <c r="A54" t="s">
        <v>110</v>
      </c>
    </row>
    <row r="55" spans="1:4" x14ac:dyDescent="0.25">
      <c r="A55" t="s">
        <v>62</v>
      </c>
      <c r="C55">
        <v>0.48480000000000001</v>
      </c>
      <c r="D55" t="s">
        <v>111</v>
      </c>
    </row>
    <row r="56" spans="1:4" x14ac:dyDescent="0.25">
      <c r="A56" t="s">
        <v>63</v>
      </c>
      <c r="C56">
        <v>3.3059999999999999E-2</v>
      </c>
      <c r="D56" t="s">
        <v>112</v>
      </c>
    </row>
    <row r="57" spans="1:4" x14ac:dyDescent="0.25">
      <c r="A57" t="s">
        <v>79</v>
      </c>
    </row>
    <row r="58" spans="1:4" x14ac:dyDescent="0.25">
      <c r="A58" t="s">
        <v>74</v>
      </c>
    </row>
    <row r="59" spans="1:4" x14ac:dyDescent="0.25">
      <c r="A59" t="s">
        <v>73</v>
      </c>
    </row>
    <row r="60" spans="1:4" x14ac:dyDescent="0.25">
      <c r="A60" t="s">
        <v>31</v>
      </c>
    </row>
  </sheetData>
  <mergeCells count="12">
    <mergeCell ref="W1:Y1"/>
    <mergeCell ref="AA1:AC1"/>
    <mergeCell ref="W2:W3"/>
    <mergeCell ref="AA2:AA3"/>
    <mergeCell ref="S1:U1"/>
    <mergeCell ref="S2:S3"/>
    <mergeCell ref="G2:G3"/>
    <mergeCell ref="G1:I1"/>
    <mergeCell ref="K1:M1"/>
    <mergeCell ref="K2:K3"/>
    <mergeCell ref="O1:Q1"/>
    <mergeCell ref="O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</cp:lastModifiedBy>
  <dcterms:created xsi:type="dcterms:W3CDTF">2023-04-19T04:58:52Z</dcterms:created>
  <dcterms:modified xsi:type="dcterms:W3CDTF">2023-07-12T20:46:25Z</dcterms:modified>
</cp:coreProperties>
</file>