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8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6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10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_2\Muscle_Sensory\DataCollection\AllData_raw_csv\"/>
    </mc:Choice>
  </mc:AlternateContent>
  <xr:revisionPtr revIDLastSave="0" documentId="13_ncr:1_{E7E50338-5E1F-49F2-9F38-93E55149E2C7}" xr6:coauthVersionLast="47" xr6:coauthVersionMax="47" xr10:uidLastSave="{00000000-0000-0000-0000-000000000000}"/>
  <bookViews>
    <workbookView xWindow="-28920" yWindow="-120" windowWidth="29040" windowHeight="15840" firstSheet="5" activeTab="10" xr2:uid="{77D8A100-45DA-4248-AA11-EEE2BEBFD1BC}"/>
  </bookViews>
  <sheets>
    <sheet name="Model1" sheetId="1" r:id="rId1"/>
    <sheet name="Model2" sheetId="2" r:id="rId2"/>
    <sheet name="Model 3" sheetId="3" r:id="rId3"/>
    <sheet name="Model 4 - 10mm13cm" sheetId="4" r:id="rId4"/>
    <sheet name="Model 4 - 20mm40cm" sheetId="5" r:id="rId5"/>
    <sheet name="Model 5" sheetId="6" r:id="rId6"/>
    <sheet name="Model 6" sheetId="8" r:id="rId7"/>
    <sheet name="Model7- Pressure" sheetId="9" r:id="rId8"/>
    <sheet name="Model7 - strain" sheetId="10" r:id="rId9"/>
    <sheet name="Model7 - Length" sheetId="11" r:id="rId10"/>
    <sheet name="Model 7 - Stat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6" i="12" l="1"/>
  <c r="J66" i="12"/>
  <c r="F66" i="12"/>
  <c r="L66" i="12" s="1"/>
  <c r="E66" i="12"/>
  <c r="K65" i="12"/>
  <c r="J65" i="12"/>
  <c r="F65" i="12"/>
  <c r="L65" i="12" s="1"/>
  <c r="E65" i="12"/>
  <c r="K64" i="12"/>
  <c r="J64" i="12"/>
  <c r="F64" i="12"/>
  <c r="L64" i="12" s="1"/>
  <c r="E64" i="12"/>
  <c r="K63" i="12"/>
  <c r="J63" i="12"/>
  <c r="E63" i="12"/>
  <c r="F63" i="12" s="1"/>
  <c r="L63" i="12" s="1"/>
  <c r="K62" i="12"/>
  <c r="J62" i="12"/>
  <c r="F62" i="12"/>
  <c r="L62" i="12" s="1"/>
  <c r="E62" i="12"/>
  <c r="K61" i="12"/>
  <c r="J61" i="12"/>
  <c r="F61" i="12"/>
  <c r="L61" i="12" s="1"/>
  <c r="E61" i="12"/>
  <c r="K60" i="12"/>
  <c r="J60" i="12"/>
  <c r="F60" i="12"/>
  <c r="L60" i="12" s="1"/>
  <c r="E60" i="12"/>
  <c r="K59" i="12"/>
  <c r="J59" i="12"/>
  <c r="E59" i="12"/>
  <c r="F59" i="12" s="1"/>
  <c r="L59" i="12" s="1"/>
  <c r="K58" i="12"/>
  <c r="J58" i="12"/>
  <c r="F58" i="12"/>
  <c r="L58" i="12" s="1"/>
  <c r="E58" i="12"/>
  <c r="K57" i="12"/>
  <c r="J57" i="12"/>
  <c r="F57" i="12"/>
  <c r="L57" i="12" s="1"/>
  <c r="E57" i="12"/>
  <c r="K56" i="12"/>
  <c r="J56" i="12"/>
  <c r="E56" i="12"/>
  <c r="F56" i="12" s="1"/>
  <c r="L56" i="12" s="1"/>
  <c r="K55" i="12"/>
  <c r="J55" i="12"/>
  <c r="E55" i="12"/>
  <c r="F55" i="12" s="1"/>
  <c r="L55" i="12" s="1"/>
  <c r="K54" i="12"/>
  <c r="J54" i="12"/>
  <c r="F54" i="12"/>
  <c r="L54" i="12" s="1"/>
  <c r="E54" i="12"/>
  <c r="K53" i="12"/>
  <c r="J53" i="12"/>
  <c r="F53" i="12"/>
  <c r="L53" i="12" s="1"/>
  <c r="E53" i="12"/>
  <c r="K52" i="12"/>
  <c r="J52" i="12"/>
  <c r="E52" i="12"/>
  <c r="F52" i="12" s="1"/>
  <c r="L52" i="12" s="1"/>
  <c r="K51" i="12"/>
  <c r="J51" i="12"/>
  <c r="E51" i="12"/>
  <c r="F51" i="12" s="1"/>
  <c r="L51" i="12" s="1"/>
  <c r="K50" i="12"/>
  <c r="J50" i="12"/>
  <c r="F50" i="12"/>
  <c r="L50" i="12" s="1"/>
  <c r="E50" i="12"/>
  <c r="K49" i="12"/>
  <c r="J49" i="12"/>
  <c r="F49" i="12"/>
  <c r="L49" i="12" s="1"/>
  <c r="E49" i="12"/>
  <c r="K48" i="12"/>
  <c r="J48" i="12"/>
  <c r="E48" i="12"/>
  <c r="F48" i="12" s="1"/>
  <c r="L48" i="12" s="1"/>
  <c r="K47" i="12"/>
  <c r="J47" i="12"/>
  <c r="E47" i="12"/>
  <c r="F47" i="12" s="1"/>
  <c r="L47" i="12" s="1"/>
  <c r="K46" i="12"/>
  <c r="J46" i="12"/>
  <c r="F46" i="12"/>
  <c r="L46" i="12" s="1"/>
  <c r="E46" i="12"/>
  <c r="K45" i="12"/>
  <c r="J45" i="12"/>
  <c r="F45" i="12"/>
  <c r="L45" i="12" s="1"/>
  <c r="E45" i="12"/>
  <c r="K44" i="12"/>
  <c r="J44" i="12"/>
  <c r="E44" i="12"/>
  <c r="F44" i="12" s="1"/>
  <c r="L44" i="12" s="1"/>
  <c r="K43" i="12"/>
  <c r="J43" i="12"/>
  <c r="E43" i="12"/>
  <c r="F43" i="12" s="1"/>
  <c r="L43" i="12" s="1"/>
  <c r="K42" i="12"/>
  <c r="J42" i="12"/>
  <c r="F42" i="12"/>
  <c r="L42" i="12" s="1"/>
  <c r="E42" i="12"/>
  <c r="K41" i="12"/>
  <c r="J41" i="12"/>
  <c r="F41" i="12"/>
  <c r="L41" i="12" s="1"/>
  <c r="E41" i="12"/>
  <c r="K40" i="12"/>
  <c r="J40" i="12"/>
  <c r="E40" i="12"/>
  <c r="F40" i="12" s="1"/>
  <c r="L40" i="12" s="1"/>
  <c r="K39" i="12"/>
  <c r="J39" i="12"/>
  <c r="E39" i="12"/>
  <c r="F39" i="12" s="1"/>
  <c r="L39" i="12" s="1"/>
  <c r="K38" i="12"/>
  <c r="J38" i="12"/>
  <c r="F38" i="12"/>
  <c r="L38" i="12" s="1"/>
  <c r="E38" i="12"/>
  <c r="K37" i="12"/>
  <c r="J37" i="12"/>
  <c r="F37" i="12"/>
  <c r="L37" i="12" s="1"/>
  <c r="E37" i="12"/>
  <c r="K36" i="12"/>
  <c r="J36" i="12"/>
  <c r="E36" i="12"/>
  <c r="F36" i="12" s="1"/>
  <c r="L36" i="12" s="1"/>
  <c r="K35" i="12"/>
  <c r="J35" i="12"/>
  <c r="E35" i="12"/>
  <c r="F35" i="12" s="1"/>
  <c r="L35" i="12" s="1"/>
  <c r="K34" i="12"/>
  <c r="J34" i="12"/>
  <c r="F34" i="12"/>
  <c r="L34" i="12" s="1"/>
  <c r="E34" i="12"/>
  <c r="K33" i="12"/>
  <c r="J33" i="12"/>
  <c r="F33" i="12"/>
  <c r="L33" i="12" s="1"/>
  <c r="E33" i="12"/>
  <c r="K32" i="12"/>
  <c r="J32" i="12"/>
  <c r="E32" i="12"/>
  <c r="F32" i="12" s="1"/>
  <c r="L32" i="12" s="1"/>
  <c r="K31" i="12"/>
  <c r="J31" i="12"/>
  <c r="E31" i="12"/>
  <c r="F31" i="12" s="1"/>
  <c r="L31" i="12" s="1"/>
  <c r="K30" i="12"/>
  <c r="J30" i="12"/>
  <c r="F30" i="12"/>
  <c r="L30" i="12" s="1"/>
  <c r="E30" i="12"/>
  <c r="K29" i="12"/>
  <c r="J29" i="12"/>
  <c r="F29" i="12"/>
  <c r="L29" i="12" s="1"/>
  <c r="E29" i="12"/>
  <c r="K28" i="12"/>
  <c r="J28" i="12"/>
  <c r="E28" i="12"/>
  <c r="F28" i="12" s="1"/>
  <c r="L28" i="12" s="1"/>
  <c r="K27" i="12"/>
  <c r="J27" i="12"/>
  <c r="E27" i="12"/>
  <c r="F27" i="12" s="1"/>
  <c r="L27" i="12" s="1"/>
  <c r="K26" i="12"/>
  <c r="J26" i="12"/>
  <c r="F26" i="12"/>
  <c r="L26" i="12" s="1"/>
  <c r="E26" i="12"/>
  <c r="K25" i="12"/>
  <c r="J25" i="12"/>
  <c r="F25" i="12"/>
  <c r="L25" i="12" s="1"/>
  <c r="E25" i="12"/>
  <c r="K24" i="12"/>
  <c r="J24" i="12"/>
  <c r="E24" i="12"/>
  <c r="F24" i="12" s="1"/>
  <c r="L24" i="12" s="1"/>
  <c r="K23" i="12"/>
  <c r="J23" i="12"/>
  <c r="E23" i="12"/>
  <c r="F23" i="12" s="1"/>
  <c r="L23" i="12" s="1"/>
  <c r="K22" i="12"/>
  <c r="J22" i="12"/>
  <c r="F22" i="12"/>
  <c r="L22" i="12" s="1"/>
  <c r="E22" i="12"/>
  <c r="K21" i="12"/>
  <c r="J21" i="12"/>
  <c r="F21" i="12"/>
  <c r="L21" i="12" s="1"/>
  <c r="E21" i="12"/>
  <c r="K20" i="12"/>
  <c r="J20" i="12"/>
  <c r="E20" i="12"/>
  <c r="F20" i="12" s="1"/>
  <c r="L20" i="12" s="1"/>
  <c r="K19" i="12"/>
  <c r="J19" i="12"/>
  <c r="E19" i="12"/>
  <c r="F19" i="12" s="1"/>
  <c r="L19" i="12" s="1"/>
  <c r="K18" i="12"/>
  <c r="J18" i="12"/>
  <c r="F18" i="12"/>
  <c r="L18" i="12" s="1"/>
  <c r="E18" i="12"/>
  <c r="K17" i="12"/>
  <c r="J17" i="12"/>
  <c r="F17" i="12"/>
  <c r="L17" i="12" s="1"/>
  <c r="E17" i="12"/>
  <c r="K16" i="12"/>
  <c r="J16" i="12"/>
  <c r="E16" i="12"/>
  <c r="F16" i="12" s="1"/>
  <c r="L16" i="12" s="1"/>
  <c r="K15" i="12"/>
  <c r="J15" i="12"/>
  <c r="E15" i="12"/>
  <c r="F15" i="12" s="1"/>
  <c r="L15" i="12" s="1"/>
  <c r="K14" i="12"/>
  <c r="J14" i="12"/>
  <c r="F14" i="12"/>
  <c r="L14" i="12" s="1"/>
  <c r="E14" i="12"/>
  <c r="K13" i="12"/>
  <c r="J13" i="12"/>
  <c r="F13" i="12"/>
  <c r="L13" i="12" s="1"/>
  <c r="E13" i="12"/>
  <c r="K12" i="12"/>
  <c r="J12" i="12"/>
  <c r="F12" i="12"/>
  <c r="L12" i="12" s="1"/>
  <c r="E12" i="12"/>
  <c r="K11" i="12"/>
  <c r="J11" i="12"/>
  <c r="E11" i="12"/>
  <c r="F11" i="12" s="1"/>
  <c r="L11" i="12" s="1"/>
  <c r="K10" i="12"/>
  <c r="J10" i="12"/>
  <c r="F10" i="12"/>
  <c r="L10" i="12" s="1"/>
  <c r="E10" i="12"/>
  <c r="K9" i="12"/>
  <c r="J9" i="12"/>
  <c r="F9" i="12"/>
  <c r="L9" i="12" s="1"/>
  <c r="E9" i="12"/>
  <c r="K8" i="12"/>
  <c r="J8" i="12"/>
  <c r="F8" i="12"/>
  <c r="L8" i="12" s="1"/>
  <c r="E8" i="12"/>
  <c r="K7" i="12"/>
  <c r="J7" i="12"/>
  <c r="E7" i="12"/>
  <c r="F7" i="12" s="1"/>
  <c r="L7" i="12" s="1"/>
  <c r="K6" i="12"/>
  <c r="J6" i="12"/>
  <c r="F6" i="12"/>
  <c r="L6" i="12" s="1"/>
  <c r="E6" i="12"/>
  <c r="K5" i="12"/>
  <c r="J5" i="12"/>
  <c r="F5" i="12"/>
  <c r="L5" i="12" s="1"/>
  <c r="E5" i="12"/>
  <c r="K4" i="12"/>
  <c r="J4" i="12"/>
  <c r="F4" i="12"/>
  <c r="L4" i="12" s="1"/>
  <c r="E4" i="12"/>
  <c r="K3" i="12"/>
  <c r="J3" i="12"/>
  <c r="E3" i="12"/>
  <c r="F3" i="12" s="1"/>
  <c r="L3" i="12" s="1"/>
  <c r="K66" i="11"/>
  <c r="J66" i="11"/>
  <c r="E66" i="11"/>
  <c r="F66" i="11" s="1"/>
  <c r="L66" i="11" s="1"/>
  <c r="K65" i="11"/>
  <c r="J65" i="11"/>
  <c r="E65" i="11"/>
  <c r="F65" i="11" s="1"/>
  <c r="L65" i="11" s="1"/>
  <c r="K64" i="11"/>
  <c r="J64" i="11"/>
  <c r="F64" i="11"/>
  <c r="L64" i="11" s="1"/>
  <c r="E64" i="11"/>
  <c r="K63" i="11"/>
  <c r="J63" i="11"/>
  <c r="F63" i="11"/>
  <c r="L63" i="11" s="1"/>
  <c r="E63" i="11"/>
  <c r="K62" i="11"/>
  <c r="J62" i="11"/>
  <c r="E62" i="11"/>
  <c r="F62" i="11" s="1"/>
  <c r="L62" i="11" s="1"/>
  <c r="K61" i="11"/>
  <c r="J61" i="11"/>
  <c r="E61" i="11"/>
  <c r="F61" i="11" s="1"/>
  <c r="L61" i="11" s="1"/>
  <c r="K60" i="11"/>
  <c r="J60" i="11"/>
  <c r="F60" i="11"/>
  <c r="L60" i="11" s="1"/>
  <c r="E60" i="11"/>
  <c r="K59" i="11"/>
  <c r="J59" i="11"/>
  <c r="F59" i="11"/>
  <c r="L59" i="11" s="1"/>
  <c r="E59" i="11"/>
  <c r="K58" i="11"/>
  <c r="J58" i="11"/>
  <c r="E58" i="11"/>
  <c r="F58" i="11" s="1"/>
  <c r="L58" i="11" s="1"/>
  <c r="K57" i="11"/>
  <c r="J57" i="11"/>
  <c r="E57" i="11"/>
  <c r="F57" i="11" s="1"/>
  <c r="L57" i="11" s="1"/>
  <c r="K56" i="11"/>
  <c r="J56" i="11"/>
  <c r="F56" i="11"/>
  <c r="L56" i="11" s="1"/>
  <c r="E56" i="11"/>
  <c r="K55" i="11"/>
  <c r="J55" i="11"/>
  <c r="F55" i="11"/>
  <c r="L55" i="11" s="1"/>
  <c r="E55" i="11"/>
  <c r="K54" i="11"/>
  <c r="J54" i="11"/>
  <c r="E54" i="11"/>
  <c r="F54" i="11" s="1"/>
  <c r="L54" i="11" s="1"/>
  <c r="K53" i="11"/>
  <c r="J53" i="11"/>
  <c r="E53" i="11"/>
  <c r="F53" i="11" s="1"/>
  <c r="L53" i="11" s="1"/>
  <c r="K52" i="11"/>
  <c r="J52" i="11"/>
  <c r="F52" i="11"/>
  <c r="L52" i="11" s="1"/>
  <c r="E52" i="11"/>
  <c r="K51" i="11"/>
  <c r="J51" i="11"/>
  <c r="F51" i="11"/>
  <c r="L51" i="11" s="1"/>
  <c r="E51" i="11"/>
  <c r="K50" i="11"/>
  <c r="J50" i="11"/>
  <c r="E50" i="11"/>
  <c r="F50" i="11" s="1"/>
  <c r="L50" i="11" s="1"/>
  <c r="K49" i="11"/>
  <c r="J49" i="11"/>
  <c r="E49" i="11"/>
  <c r="F49" i="11" s="1"/>
  <c r="L49" i="11" s="1"/>
  <c r="K48" i="11"/>
  <c r="J48" i="11"/>
  <c r="F48" i="11"/>
  <c r="L48" i="11" s="1"/>
  <c r="E48" i="11"/>
  <c r="K47" i="11"/>
  <c r="J47" i="11"/>
  <c r="F47" i="11"/>
  <c r="L47" i="11" s="1"/>
  <c r="E47" i="11"/>
  <c r="K46" i="11"/>
  <c r="J46" i="11"/>
  <c r="E46" i="11"/>
  <c r="F46" i="11" s="1"/>
  <c r="L46" i="11" s="1"/>
  <c r="K45" i="11"/>
  <c r="J45" i="11"/>
  <c r="E45" i="11"/>
  <c r="F45" i="11" s="1"/>
  <c r="L45" i="11" s="1"/>
  <c r="K44" i="11"/>
  <c r="J44" i="11"/>
  <c r="F44" i="11"/>
  <c r="L44" i="11" s="1"/>
  <c r="E44" i="11"/>
  <c r="K43" i="11"/>
  <c r="J43" i="11"/>
  <c r="F43" i="11"/>
  <c r="L43" i="11" s="1"/>
  <c r="E43" i="11"/>
  <c r="K42" i="11"/>
  <c r="J42" i="11"/>
  <c r="E42" i="11"/>
  <c r="F42" i="11" s="1"/>
  <c r="L42" i="11" s="1"/>
  <c r="K41" i="11"/>
  <c r="J41" i="11"/>
  <c r="E41" i="11"/>
  <c r="F41" i="11" s="1"/>
  <c r="L41" i="11" s="1"/>
  <c r="K40" i="11"/>
  <c r="J40" i="11"/>
  <c r="F40" i="11"/>
  <c r="L40" i="11" s="1"/>
  <c r="E40" i="11"/>
  <c r="K39" i="11"/>
  <c r="J39" i="11"/>
  <c r="F39" i="11"/>
  <c r="L39" i="11" s="1"/>
  <c r="E39" i="11"/>
  <c r="K38" i="11"/>
  <c r="J38" i="11"/>
  <c r="E38" i="11"/>
  <c r="F38" i="11" s="1"/>
  <c r="L38" i="11" s="1"/>
  <c r="K37" i="11"/>
  <c r="J37" i="11"/>
  <c r="E37" i="11"/>
  <c r="F37" i="11" s="1"/>
  <c r="L37" i="11" s="1"/>
  <c r="K36" i="11"/>
  <c r="J36" i="11"/>
  <c r="F36" i="11"/>
  <c r="L36" i="11" s="1"/>
  <c r="E36" i="11"/>
  <c r="K35" i="11"/>
  <c r="J35" i="11"/>
  <c r="F35" i="11"/>
  <c r="L35" i="11" s="1"/>
  <c r="E35" i="11"/>
  <c r="K34" i="11"/>
  <c r="J34" i="11"/>
  <c r="E34" i="11"/>
  <c r="F34" i="11" s="1"/>
  <c r="L34" i="11" s="1"/>
  <c r="K33" i="11"/>
  <c r="J33" i="11"/>
  <c r="E33" i="11"/>
  <c r="F33" i="11" s="1"/>
  <c r="L33" i="11" s="1"/>
  <c r="K32" i="11"/>
  <c r="J32" i="11"/>
  <c r="F32" i="11"/>
  <c r="L32" i="11" s="1"/>
  <c r="E32" i="11"/>
  <c r="K31" i="11"/>
  <c r="J31" i="11"/>
  <c r="F31" i="11"/>
  <c r="L31" i="11" s="1"/>
  <c r="E31" i="11"/>
  <c r="K30" i="11"/>
  <c r="J30" i="11"/>
  <c r="E30" i="11"/>
  <c r="F30" i="11" s="1"/>
  <c r="L30" i="11" s="1"/>
  <c r="K29" i="11"/>
  <c r="J29" i="11"/>
  <c r="E29" i="11"/>
  <c r="F29" i="11" s="1"/>
  <c r="L29" i="11" s="1"/>
  <c r="K28" i="11"/>
  <c r="J28" i="11"/>
  <c r="F28" i="11"/>
  <c r="L28" i="11" s="1"/>
  <c r="E28" i="11"/>
  <c r="K27" i="11"/>
  <c r="J27" i="11"/>
  <c r="F27" i="11"/>
  <c r="L27" i="11" s="1"/>
  <c r="E27" i="11"/>
  <c r="K26" i="11"/>
  <c r="J26" i="11"/>
  <c r="E26" i="11"/>
  <c r="F26" i="11" s="1"/>
  <c r="L26" i="11" s="1"/>
  <c r="K25" i="11"/>
  <c r="J25" i="11"/>
  <c r="E25" i="11"/>
  <c r="F25" i="11" s="1"/>
  <c r="L25" i="11" s="1"/>
  <c r="K24" i="11"/>
  <c r="J24" i="11"/>
  <c r="F24" i="11"/>
  <c r="L24" i="11" s="1"/>
  <c r="E24" i="11"/>
  <c r="K23" i="11"/>
  <c r="J23" i="11"/>
  <c r="F23" i="11"/>
  <c r="L23" i="11" s="1"/>
  <c r="E23" i="11"/>
  <c r="K22" i="11"/>
  <c r="J22" i="11"/>
  <c r="E22" i="11"/>
  <c r="F22" i="11" s="1"/>
  <c r="L22" i="11" s="1"/>
  <c r="K21" i="11"/>
  <c r="J21" i="11"/>
  <c r="E21" i="11"/>
  <c r="F21" i="11" s="1"/>
  <c r="L21" i="11" s="1"/>
  <c r="K20" i="11"/>
  <c r="J20" i="11"/>
  <c r="F20" i="11"/>
  <c r="L20" i="11" s="1"/>
  <c r="E20" i="11"/>
  <c r="K19" i="11"/>
  <c r="J19" i="11"/>
  <c r="F19" i="11"/>
  <c r="L19" i="11" s="1"/>
  <c r="E19" i="11"/>
  <c r="K18" i="11"/>
  <c r="J18" i="11"/>
  <c r="E18" i="11"/>
  <c r="F18" i="11" s="1"/>
  <c r="L18" i="11" s="1"/>
  <c r="K17" i="11"/>
  <c r="J17" i="11"/>
  <c r="E17" i="11"/>
  <c r="F17" i="11" s="1"/>
  <c r="L17" i="11" s="1"/>
  <c r="K16" i="11"/>
  <c r="J16" i="11"/>
  <c r="F16" i="11"/>
  <c r="L16" i="11" s="1"/>
  <c r="E16" i="11"/>
  <c r="K15" i="11"/>
  <c r="J15" i="11"/>
  <c r="F15" i="11"/>
  <c r="L15" i="11" s="1"/>
  <c r="E15" i="11"/>
  <c r="K14" i="11"/>
  <c r="J14" i="11"/>
  <c r="E14" i="11"/>
  <c r="F14" i="11" s="1"/>
  <c r="L14" i="11" s="1"/>
  <c r="K13" i="11"/>
  <c r="J13" i="11"/>
  <c r="E13" i="11"/>
  <c r="F13" i="11" s="1"/>
  <c r="L13" i="11" s="1"/>
  <c r="K12" i="11"/>
  <c r="J12" i="11"/>
  <c r="F12" i="11"/>
  <c r="L12" i="11" s="1"/>
  <c r="E12" i="11"/>
  <c r="K11" i="11"/>
  <c r="J11" i="11"/>
  <c r="F11" i="11"/>
  <c r="L11" i="11" s="1"/>
  <c r="E11" i="11"/>
  <c r="K10" i="11"/>
  <c r="J10" i="11"/>
  <c r="E10" i="11"/>
  <c r="F10" i="11" s="1"/>
  <c r="L10" i="11" s="1"/>
  <c r="K9" i="11"/>
  <c r="J9" i="11"/>
  <c r="E9" i="11"/>
  <c r="F9" i="11" s="1"/>
  <c r="L9" i="11" s="1"/>
  <c r="K8" i="11"/>
  <c r="J8" i="11"/>
  <c r="F8" i="11"/>
  <c r="L8" i="11" s="1"/>
  <c r="E8" i="11"/>
  <c r="K7" i="11"/>
  <c r="J7" i="11"/>
  <c r="F7" i="11"/>
  <c r="L7" i="11" s="1"/>
  <c r="E7" i="11"/>
  <c r="K6" i="11"/>
  <c r="J6" i="11"/>
  <c r="E6" i="11"/>
  <c r="F6" i="11" s="1"/>
  <c r="L6" i="11" s="1"/>
  <c r="K5" i="11"/>
  <c r="J5" i="11"/>
  <c r="E5" i="11"/>
  <c r="F5" i="11" s="1"/>
  <c r="L5" i="11" s="1"/>
  <c r="K4" i="11"/>
  <c r="J4" i="11"/>
  <c r="F4" i="11"/>
  <c r="L4" i="11" s="1"/>
  <c r="E4" i="11"/>
  <c r="K3" i="11"/>
  <c r="J3" i="11"/>
  <c r="F3" i="11"/>
  <c r="L3" i="11" s="1"/>
  <c r="E3" i="11"/>
  <c r="K66" i="10"/>
  <c r="J66" i="10"/>
  <c r="E66" i="10"/>
  <c r="F66" i="10" s="1"/>
  <c r="L66" i="10" s="1"/>
  <c r="K65" i="10"/>
  <c r="J65" i="10"/>
  <c r="E65" i="10"/>
  <c r="F65" i="10" s="1"/>
  <c r="L65" i="10" s="1"/>
  <c r="K64" i="10"/>
  <c r="J64" i="10"/>
  <c r="E64" i="10"/>
  <c r="F64" i="10" s="1"/>
  <c r="L64" i="10" s="1"/>
  <c r="K63" i="10"/>
  <c r="J63" i="10"/>
  <c r="E63" i="10"/>
  <c r="F63" i="10" s="1"/>
  <c r="L63" i="10" s="1"/>
  <c r="K62" i="10"/>
  <c r="J62" i="10"/>
  <c r="E62" i="10"/>
  <c r="F62" i="10" s="1"/>
  <c r="L62" i="10" s="1"/>
  <c r="K61" i="10"/>
  <c r="J61" i="10"/>
  <c r="E61" i="10"/>
  <c r="F61" i="10" s="1"/>
  <c r="L61" i="10" s="1"/>
  <c r="K60" i="10"/>
  <c r="J60" i="10"/>
  <c r="E60" i="10"/>
  <c r="F60" i="10" s="1"/>
  <c r="L60" i="10" s="1"/>
  <c r="K59" i="10"/>
  <c r="J59" i="10"/>
  <c r="E59" i="10"/>
  <c r="F59" i="10" s="1"/>
  <c r="L59" i="10" s="1"/>
  <c r="K58" i="10"/>
  <c r="J58" i="10"/>
  <c r="E58" i="10"/>
  <c r="F58" i="10" s="1"/>
  <c r="L58" i="10" s="1"/>
  <c r="K57" i="10"/>
  <c r="J57" i="10"/>
  <c r="F57" i="10"/>
  <c r="L57" i="10" s="1"/>
  <c r="E57" i="10"/>
  <c r="K56" i="10"/>
  <c r="J56" i="10"/>
  <c r="F56" i="10"/>
  <c r="L56" i="10" s="1"/>
  <c r="E56" i="10"/>
  <c r="K55" i="10"/>
  <c r="J55" i="10"/>
  <c r="E55" i="10"/>
  <c r="F55" i="10" s="1"/>
  <c r="L55" i="10" s="1"/>
  <c r="K54" i="10"/>
  <c r="J54" i="10"/>
  <c r="E54" i="10"/>
  <c r="F54" i="10" s="1"/>
  <c r="L54" i="10" s="1"/>
  <c r="K53" i="10"/>
  <c r="J53" i="10"/>
  <c r="E53" i="10"/>
  <c r="F53" i="10" s="1"/>
  <c r="L53" i="10" s="1"/>
  <c r="K52" i="10"/>
  <c r="J52" i="10"/>
  <c r="E52" i="10"/>
  <c r="F52" i="10" s="1"/>
  <c r="L52" i="10" s="1"/>
  <c r="K51" i="10"/>
  <c r="J51" i="10"/>
  <c r="E51" i="10"/>
  <c r="F51" i="10" s="1"/>
  <c r="L51" i="10" s="1"/>
  <c r="K50" i="10"/>
  <c r="J50" i="10"/>
  <c r="E50" i="10"/>
  <c r="F50" i="10" s="1"/>
  <c r="L50" i="10" s="1"/>
  <c r="K49" i="10"/>
  <c r="J49" i="10"/>
  <c r="F49" i="10"/>
  <c r="L49" i="10" s="1"/>
  <c r="E49" i="10"/>
  <c r="K48" i="10"/>
  <c r="J48" i="10"/>
  <c r="F48" i="10"/>
  <c r="L48" i="10" s="1"/>
  <c r="E48" i="10"/>
  <c r="K47" i="10"/>
  <c r="J47" i="10"/>
  <c r="E47" i="10"/>
  <c r="F47" i="10" s="1"/>
  <c r="L47" i="10" s="1"/>
  <c r="K46" i="10"/>
  <c r="J46" i="10"/>
  <c r="E46" i="10"/>
  <c r="F46" i="10" s="1"/>
  <c r="L46" i="10" s="1"/>
  <c r="K45" i="10"/>
  <c r="J45" i="10"/>
  <c r="E45" i="10"/>
  <c r="F45" i="10" s="1"/>
  <c r="L45" i="10" s="1"/>
  <c r="K44" i="10"/>
  <c r="J44" i="10"/>
  <c r="E44" i="10"/>
  <c r="F44" i="10" s="1"/>
  <c r="L44" i="10" s="1"/>
  <c r="K43" i="10"/>
  <c r="J43" i="10"/>
  <c r="E43" i="10"/>
  <c r="F43" i="10" s="1"/>
  <c r="L43" i="10" s="1"/>
  <c r="K42" i="10"/>
  <c r="J42" i="10"/>
  <c r="E42" i="10"/>
  <c r="F42" i="10" s="1"/>
  <c r="L42" i="10" s="1"/>
  <c r="K41" i="10"/>
  <c r="J41" i="10"/>
  <c r="E41" i="10"/>
  <c r="F41" i="10" s="1"/>
  <c r="L41" i="10" s="1"/>
  <c r="K40" i="10"/>
  <c r="J40" i="10"/>
  <c r="E40" i="10"/>
  <c r="F40" i="10" s="1"/>
  <c r="L40" i="10" s="1"/>
  <c r="K39" i="10"/>
  <c r="J39" i="10"/>
  <c r="E39" i="10"/>
  <c r="F39" i="10" s="1"/>
  <c r="L39" i="10" s="1"/>
  <c r="K38" i="10"/>
  <c r="J38" i="10"/>
  <c r="E38" i="10"/>
  <c r="F38" i="10" s="1"/>
  <c r="L38" i="10" s="1"/>
  <c r="K37" i="10"/>
  <c r="J37" i="10"/>
  <c r="E37" i="10"/>
  <c r="F37" i="10" s="1"/>
  <c r="L37" i="10" s="1"/>
  <c r="K36" i="10"/>
  <c r="J36" i="10"/>
  <c r="E36" i="10"/>
  <c r="F36" i="10" s="1"/>
  <c r="L36" i="10" s="1"/>
  <c r="K35" i="10"/>
  <c r="J35" i="10"/>
  <c r="E35" i="10"/>
  <c r="F35" i="10" s="1"/>
  <c r="L35" i="10" s="1"/>
  <c r="K34" i="10"/>
  <c r="J34" i="10"/>
  <c r="E34" i="10"/>
  <c r="F34" i="10" s="1"/>
  <c r="L34" i="10" s="1"/>
  <c r="K33" i="10"/>
  <c r="J33" i="10"/>
  <c r="E33" i="10"/>
  <c r="F33" i="10" s="1"/>
  <c r="L33" i="10" s="1"/>
  <c r="K32" i="10"/>
  <c r="J32" i="10"/>
  <c r="E32" i="10"/>
  <c r="F32" i="10" s="1"/>
  <c r="L32" i="10" s="1"/>
  <c r="K31" i="10"/>
  <c r="J31" i="10"/>
  <c r="E31" i="10"/>
  <c r="F31" i="10" s="1"/>
  <c r="L31" i="10" s="1"/>
  <c r="K30" i="10"/>
  <c r="J30" i="10"/>
  <c r="E30" i="10"/>
  <c r="F30" i="10" s="1"/>
  <c r="L30" i="10" s="1"/>
  <c r="K29" i="10"/>
  <c r="J29" i="10"/>
  <c r="E29" i="10"/>
  <c r="F29" i="10" s="1"/>
  <c r="L29" i="10" s="1"/>
  <c r="K28" i="10"/>
  <c r="J28" i="10"/>
  <c r="E28" i="10"/>
  <c r="F28" i="10" s="1"/>
  <c r="L28" i="10" s="1"/>
  <c r="K27" i="10"/>
  <c r="J27" i="10"/>
  <c r="E27" i="10"/>
  <c r="F27" i="10" s="1"/>
  <c r="L27" i="10" s="1"/>
  <c r="K26" i="10"/>
  <c r="J26" i="10"/>
  <c r="E26" i="10"/>
  <c r="F26" i="10" s="1"/>
  <c r="L26" i="10" s="1"/>
  <c r="K25" i="10"/>
  <c r="J25" i="10"/>
  <c r="E25" i="10"/>
  <c r="F25" i="10" s="1"/>
  <c r="L25" i="10" s="1"/>
  <c r="K24" i="10"/>
  <c r="J24" i="10"/>
  <c r="E24" i="10"/>
  <c r="F24" i="10" s="1"/>
  <c r="L24" i="10" s="1"/>
  <c r="K23" i="10"/>
  <c r="J23" i="10"/>
  <c r="E23" i="10"/>
  <c r="F23" i="10" s="1"/>
  <c r="L23" i="10" s="1"/>
  <c r="K22" i="10"/>
  <c r="J22" i="10"/>
  <c r="E22" i="10"/>
  <c r="F22" i="10" s="1"/>
  <c r="L22" i="10" s="1"/>
  <c r="K21" i="10"/>
  <c r="J21" i="10"/>
  <c r="E21" i="10"/>
  <c r="F21" i="10" s="1"/>
  <c r="L21" i="10" s="1"/>
  <c r="K20" i="10"/>
  <c r="J20" i="10"/>
  <c r="F20" i="10"/>
  <c r="L20" i="10" s="1"/>
  <c r="E20" i="10"/>
  <c r="K19" i="10"/>
  <c r="J19" i="10"/>
  <c r="E19" i="10"/>
  <c r="F19" i="10" s="1"/>
  <c r="L19" i="10" s="1"/>
  <c r="K18" i="10"/>
  <c r="J18" i="10"/>
  <c r="E18" i="10"/>
  <c r="F18" i="10" s="1"/>
  <c r="L18" i="10" s="1"/>
  <c r="K17" i="10"/>
  <c r="J17" i="10"/>
  <c r="E17" i="10"/>
  <c r="F17" i="10" s="1"/>
  <c r="L17" i="10" s="1"/>
  <c r="K16" i="10"/>
  <c r="J16" i="10"/>
  <c r="E16" i="10"/>
  <c r="F16" i="10" s="1"/>
  <c r="L16" i="10" s="1"/>
  <c r="K15" i="10"/>
  <c r="J15" i="10"/>
  <c r="E15" i="10"/>
  <c r="F15" i="10" s="1"/>
  <c r="L15" i="10" s="1"/>
  <c r="K14" i="10"/>
  <c r="J14" i="10"/>
  <c r="E14" i="10"/>
  <c r="F14" i="10" s="1"/>
  <c r="L14" i="10" s="1"/>
  <c r="K13" i="10"/>
  <c r="J13" i="10"/>
  <c r="E13" i="10"/>
  <c r="F13" i="10" s="1"/>
  <c r="L13" i="10" s="1"/>
  <c r="K12" i="10"/>
  <c r="J12" i="10"/>
  <c r="E12" i="10"/>
  <c r="F12" i="10" s="1"/>
  <c r="L12" i="10" s="1"/>
  <c r="K11" i="10"/>
  <c r="J11" i="10"/>
  <c r="E11" i="10"/>
  <c r="F11" i="10" s="1"/>
  <c r="L11" i="10" s="1"/>
  <c r="K10" i="10"/>
  <c r="J10" i="10"/>
  <c r="E10" i="10"/>
  <c r="F10" i="10" s="1"/>
  <c r="L10" i="10" s="1"/>
  <c r="K9" i="10"/>
  <c r="J9" i="10"/>
  <c r="E9" i="10"/>
  <c r="F9" i="10" s="1"/>
  <c r="L9" i="10" s="1"/>
  <c r="K8" i="10"/>
  <c r="J8" i="10"/>
  <c r="E8" i="10"/>
  <c r="F8" i="10" s="1"/>
  <c r="L8" i="10" s="1"/>
  <c r="K7" i="10"/>
  <c r="J7" i="10"/>
  <c r="E7" i="10"/>
  <c r="F7" i="10" s="1"/>
  <c r="L7" i="10" s="1"/>
  <c r="K6" i="10"/>
  <c r="J6" i="10"/>
  <c r="E6" i="10"/>
  <c r="F6" i="10" s="1"/>
  <c r="L6" i="10" s="1"/>
  <c r="K5" i="10"/>
  <c r="J5" i="10"/>
  <c r="F5" i="10"/>
  <c r="L5" i="10" s="1"/>
  <c r="E5" i="10"/>
  <c r="K4" i="10"/>
  <c r="J4" i="10"/>
  <c r="F4" i="10"/>
  <c r="L4" i="10" s="1"/>
  <c r="E4" i="10"/>
  <c r="K3" i="10"/>
  <c r="J3" i="10"/>
  <c r="E3" i="10"/>
  <c r="F3" i="10" s="1"/>
  <c r="L3" i="10" s="1"/>
  <c r="L4" i="9" l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3" i="9"/>
  <c r="E34" i="9" l="1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 s="1"/>
  <c r="E47" i="9"/>
  <c r="F47" i="9"/>
  <c r="E48" i="9"/>
  <c r="F48" i="9" s="1"/>
  <c r="E49" i="9"/>
  <c r="F49" i="9" s="1"/>
  <c r="E50" i="9"/>
  <c r="F50" i="9"/>
  <c r="E51" i="9"/>
  <c r="F51" i="9" s="1"/>
  <c r="E52" i="9"/>
  <c r="F52" i="9"/>
  <c r="E53" i="9"/>
  <c r="F53" i="9" s="1"/>
  <c r="E54" i="9"/>
  <c r="F54" i="9" s="1"/>
  <c r="E55" i="9"/>
  <c r="F55" i="9" s="1"/>
  <c r="E56" i="9"/>
  <c r="F56" i="9" s="1"/>
  <c r="E57" i="9"/>
  <c r="F57" i="9"/>
  <c r="E58" i="9"/>
  <c r="F58" i="9" s="1"/>
  <c r="E59" i="9"/>
  <c r="F59" i="9"/>
  <c r="E60" i="9"/>
  <c r="F60" i="9" s="1"/>
  <c r="E61" i="9"/>
  <c r="F61" i="9"/>
  <c r="E62" i="9"/>
  <c r="F62" i="9" s="1"/>
  <c r="E63" i="9"/>
  <c r="F63" i="9" s="1"/>
  <c r="E64" i="9"/>
  <c r="F64" i="9" s="1"/>
  <c r="E65" i="9"/>
  <c r="F65" i="9"/>
  <c r="E66" i="9"/>
  <c r="F66" i="9" s="1"/>
  <c r="E33" i="9"/>
  <c r="F33" i="9"/>
  <c r="E10" i="9" l="1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9" i="9"/>
  <c r="F9" i="9" s="1"/>
  <c r="E8" i="9"/>
  <c r="F8" i="9" s="1"/>
  <c r="E7" i="9"/>
  <c r="F7" i="9" s="1"/>
  <c r="E6" i="9"/>
  <c r="F6" i="9" s="1"/>
  <c r="F5" i="9"/>
  <c r="E5" i="9"/>
  <c r="E4" i="9"/>
  <c r="F4" i="9" s="1"/>
  <c r="F3" i="9"/>
  <c r="E3" i="9"/>
  <c r="K31" i="8"/>
  <c r="M31" i="8" s="1"/>
  <c r="L31" i="8"/>
  <c r="N31" i="8" s="1"/>
  <c r="K32" i="8"/>
  <c r="M32" i="8" s="1"/>
  <c r="L32" i="8"/>
  <c r="N32" i="8" s="1"/>
  <c r="K33" i="8"/>
  <c r="M33" i="8" s="1"/>
  <c r="L33" i="8"/>
  <c r="N33" i="8" s="1"/>
  <c r="K34" i="8"/>
  <c r="M34" i="8" s="1"/>
  <c r="L34" i="8"/>
  <c r="N34" i="8" s="1"/>
  <c r="K35" i="8"/>
  <c r="M35" i="8" s="1"/>
  <c r="L35" i="8"/>
  <c r="N35" i="8" s="1"/>
  <c r="K36" i="8"/>
  <c r="M36" i="8" s="1"/>
  <c r="L36" i="8"/>
  <c r="N36" i="8" s="1"/>
  <c r="M11" i="8"/>
  <c r="L11" i="8"/>
  <c r="K11" i="8"/>
  <c r="N11" i="8"/>
  <c r="K12" i="8"/>
  <c r="M12" i="8" s="1"/>
  <c r="L12" i="8"/>
  <c r="N12" i="8"/>
  <c r="K13" i="8"/>
  <c r="M13" i="8" s="1"/>
  <c r="L13" i="8"/>
  <c r="N13" i="8"/>
  <c r="K14" i="8"/>
  <c r="M14" i="8" s="1"/>
  <c r="L14" i="8"/>
  <c r="N14" i="8"/>
  <c r="K15" i="8"/>
  <c r="M15" i="8" s="1"/>
  <c r="L15" i="8"/>
  <c r="N15" i="8"/>
  <c r="K16" i="8"/>
  <c r="M16" i="8" s="1"/>
  <c r="L16" i="8"/>
  <c r="N16" i="8"/>
  <c r="E33" i="8"/>
  <c r="F33" i="8" s="1"/>
  <c r="E34" i="8"/>
  <c r="F34" i="8"/>
  <c r="E35" i="8"/>
  <c r="F35" i="8" s="1"/>
  <c r="E36" i="8"/>
  <c r="F36" i="8"/>
  <c r="E32" i="8"/>
  <c r="F32" i="8"/>
  <c r="E31" i="8"/>
  <c r="F31" i="8"/>
  <c r="F13" i="8"/>
  <c r="F14" i="8"/>
  <c r="F15" i="8"/>
  <c r="F16" i="8"/>
  <c r="F12" i="8"/>
  <c r="F11" i="8"/>
  <c r="E13" i="8"/>
  <c r="E14" i="8"/>
  <c r="E15" i="8"/>
  <c r="E16" i="8"/>
  <c r="E12" i="8"/>
  <c r="E11" i="8"/>
  <c r="K4" i="8"/>
  <c r="M4" i="8" s="1"/>
  <c r="L4" i="8"/>
  <c r="N4" i="8" s="1"/>
  <c r="K5" i="8"/>
  <c r="M5" i="8" s="1"/>
  <c r="L5" i="8"/>
  <c r="N5" i="8" s="1"/>
  <c r="K6" i="8"/>
  <c r="M6" i="8" s="1"/>
  <c r="L6" i="8"/>
  <c r="N6" i="8" s="1"/>
  <c r="K7" i="8"/>
  <c r="M7" i="8" s="1"/>
  <c r="L7" i="8"/>
  <c r="N7" i="8" s="1"/>
  <c r="K8" i="8"/>
  <c r="M8" i="8" s="1"/>
  <c r="L8" i="8"/>
  <c r="N8" i="8" s="1"/>
  <c r="K9" i="8"/>
  <c r="M9" i="8" s="1"/>
  <c r="L9" i="8"/>
  <c r="N9" i="8" s="1"/>
  <c r="K10" i="8"/>
  <c r="M10" i="8" s="1"/>
  <c r="L10" i="8"/>
  <c r="N10" i="8" s="1"/>
  <c r="K17" i="8"/>
  <c r="M17" i="8" s="1"/>
  <c r="L17" i="8"/>
  <c r="N17" i="8" s="1"/>
  <c r="K18" i="8"/>
  <c r="M18" i="8" s="1"/>
  <c r="L18" i="8"/>
  <c r="N18" i="8" s="1"/>
  <c r="K19" i="8"/>
  <c r="M19" i="8" s="1"/>
  <c r="L19" i="8"/>
  <c r="N19" i="8" s="1"/>
  <c r="K20" i="8"/>
  <c r="M20" i="8" s="1"/>
  <c r="L20" i="8"/>
  <c r="N20" i="8" s="1"/>
  <c r="K21" i="8"/>
  <c r="L21" i="8"/>
  <c r="N21" i="8" s="1"/>
  <c r="M21" i="8"/>
  <c r="K22" i="8"/>
  <c r="L22" i="8"/>
  <c r="N22" i="8" s="1"/>
  <c r="M22" i="8"/>
  <c r="K23" i="8"/>
  <c r="L23" i="8"/>
  <c r="M23" i="8"/>
  <c r="N23" i="8"/>
  <c r="K24" i="8"/>
  <c r="L24" i="8"/>
  <c r="M24" i="8"/>
  <c r="N24" i="8"/>
  <c r="K25" i="8"/>
  <c r="M25" i="8" s="1"/>
  <c r="L25" i="8"/>
  <c r="N25" i="8"/>
  <c r="K26" i="8"/>
  <c r="M26" i="8" s="1"/>
  <c r="L26" i="8"/>
  <c r="N26" i="8" s="1"/>
  <c r="K27" i="8"/>
  <c r="M27" i="8" s="1"/>
  <c r="L27" i="8"/>
  <c r="N27" i="8"/>
  <c r="K28" i="8"/>
  <c r="M28" i="8" s="1"/>
  <c r="L28" i="8"/>
  <c r="N28" i="8" s="1"/>
  <c r="K29" i="8"/>
  <c r="M29" i="8" s="1"/>
  <c r="L29" i="8"/>
  <c r="N29" i="8"/>
  <c r="K30" i="8"/>
  <c r="M30" i="8" s="1"/>
  <c r="L30" i="8"/>
  <c r="N30" i="8"/>
  <c r="K37" i="8"/>
  <c r="M37" i="8" s="1"/>
  <c r="L37" i="8"/>
  <c r="N37" i="8" s="1"/>
  <c r="K38" i="8"/>
  <c r="M38" i="8" s="1"/>
  <c r="L38" i="8"/>
  <c r="N38" i="8" s="1"/>
  <c r="K39" i="8"/>
  <c r="M39" i="8" s="1"/>
  <c r="L39" i="8"/>
  <c r="N39" i="8"/>
  <c r="K40" i="8"/>
  <c r="M40" i="8" s="1"/>
  <c r="L40" i="8"/>
  <c r="N40" i="8"/>
  <c r="K41" i="8"/>
  <c r="M41" i="8" s="1"/>
  <c r="L41" i="8"/>
  <c r="N41" i="8" s="1"/>
  <c r="K42" i="8"/>
  <c r="M42" i="8" s="1"/>
  <c r="L42" i="8"/>
  <c r="N42" i="8" s="1"/>
  <c r="K43" i="8"/>
  <c r="M43" i="8" s="1"/>
  <c r="L43" i="8"/>
  <c r="N43" i="8" s="1"/>
  <c r="K44" i="8"/>
  <c r="M44" i="8" s="1"/>
  <c r="L44" i="8"/>
  <c r="N44" i="8" s="1"/>
  <c r="N3" i="8"/>
  <c r="L3" i="8"/>
  <c r="K3" i="8"/>
  <c r="M3" i="8" s="1"/>
  <c r="E44" i="8"/>
  <c r="F44" i="8" s="1"/>
  <c r="E43" i="8"/>
  <c r="F43" i="8" s="1"/>
  <c r="E42" i="8"/>
  <c r="F42" i="8" s="1"/>
  <c r="E41" i="8"/>
  <c r="F41" i="8" s="1"/>
  <c r="E40" i="8"/>
  <c r="F40" i="8" s="1"/>
  <c r="E39" i="8"/>
  <c r="F39" i="8" s="1"/>
  <c r="F38" i="8"/>
  <c r="E38" i="8"/>
  <c r="E37" i="8"/>
  <c r="F37" i="8" s="1"/>
  <c r="F30" i="8"/>
  <c r="E30" i="8"/>
  <c r="F29" i="8"/>
  <c r="E29" i="8"/>
  <c r="F28" i="8"/>
  <c r="E28" i="8"/>
  <c r="F27" i="8"/>
  <c r="E27" i="8"/>
  <c r="F26" i="8"/>
  <c r="E26" i="8"/>
  <c r="F25" i="8"/>
  <c r="E25" i="8"/>
  <c r="E20" i="8"/>
  <c r="F20" i="8" s="1"/>
  <c r="E19" i="8"/>
  <c r="F19" i="8" s="1"/>
  <c r="F18" i="8"/>
  <c r="E18" i="8"/>
  <c r="E17" i="8"/>
  <c r="F17" i="8" s="1"/>
  <c r="F6" i="8"/>
  <c r="E6" i="8"/>
  <c r="F5" i="8"/>
  <c r="E5" i="8"/>
  <c r="F4" i="8"/>
  <c r="E4" i="8"/>
  <c r="F3" i="8"/>
  <c r="E3" i="8"/>
  <c r="N3" i="6"/>
  <c r="M4" i="6"/>
  <c r="N4" i="6"/>
  <c r="O4" i="6"/>
  <c r="P4" i="6"/>
  <c r="M5" i="6"/>
  <c r="N5" i="6"/>
  <c r="O5" i="6"/>
  <c r="P5" i="6"/>
  <c r="M6" i="6"/>
  <c r="N6" i="6"/>
  <c r="O6" i="6"/>
  <c r="P6" i="6"/>
  <c r="M7" i="6"/>
  <c r="Q7" i="6" s="1"/>
  <c r="N7" i="6"/>
  <c r="O7" i="6"/>
  <c r="P7" i="6"/>
  <c r="M8" i="6"/>
  <c r="N8" i="6"/>
  <c r="O8" i="6"/>
  <c r="P8" i="6"/>
  <c r="M9" i="6"/>
  <c r="Q9" i="6" s="1"/>
  <c r="N9" i="6"/>
  <c r="O9" i="6"/>
  <c r="P9" i="6"/>
  <c r="M10" i="6"/>
  <c r="N10" i="6"/>
  <c r="O10" i="6"/>
  <c r="P10" i="6"/>
  <c r="M11" i="6"/>
  <c r="Q11" i="6" s="1"/>
  <c r="N11" i="6"/>
  <c r="O11" i="6"/>
  <c r="P11" i="6"/>
  <c r="M12" i="6"/>
  <c r="N12" i="6"/>
  <c r="O12" i="6"/>
  <c r="P12" i="6"/>
  <c r="M13" i="6"/>
  <c r="Q13" i="6" s="1"/>
  <c r="N13" i="6"/>
  <c r="O13" i="6"/>
  <c r="P13" i="6"/>
  <c r="M14" i="6"/>
  <c r="Q14" i="6" s="1"/>
  <c r="N14" i="6"/>
  <c r="O14" i="6"/>
  <c r="P14" i="6"/>
  <c r="M15" i="6"/>
  <c r="N15" i="6"/>
  <c r="O15" i="6"/>
  <c r="P15" i="6"/>
  <c r="M16" i="6"/>
  <c r="N16" i="6"/>
  <c r="O16" i="6"/>
  <c r="P16" i="6"/>
  <c r="M17" i="6"/>
  <c r="N17" i="6"/>
  <c r="O17" i="6"/>
  <c r="P17" i="6"/>
  <c r="M18" i="6"/>
  <c r="N18" i="6"/>
  <c r="O18" i="6"/>
  <c r="P18" i="6"/>
  <c r="M19" i="6"/>
  <c r="N19" i="6"/>
  <c r="O19" i="6"/>
  <c r="P19" i="6"/>
  <c r="M20" i="6"/>
  <c r="N20" i="6"/>
  <c r="O20" i="6"/>
  <c r="R20" i="6" s="1"/>
  <c r="P20" i="6"/>
  <c r="M21" i="6"/>
  <c r="N21" i="6"/>
  <c r="O21" i="6"/>
  <c r="P21" i="6"/>
  <c r="M22" i="6"/>
  <c r="N22" i="6"/>
  <c r="O22" i="6"/>
  <c r="P22" i="6"/>
  <c r="M23" i="6"/>
  <c r="N23" i="6"/>
  <c r="O23" i="6"/>
  <c r="P23" i="6"/>
  <c r="M24" i="6"/>
  <c r="N24" i="6"/>
  <c r="O24" i="6"/>
  <c r="P24" i="6"/>
  <c r="M25" i="6"/>
  <c r="Q25" i="6" s="1"/>
  <c r="N25" i="6"/>
  <c r="O25" i="6"/>
  <c r="P25" i="6"/>
  <c r="M26" i="6"/>
  <c r="Q26" i="6" s="1"/>
  <c r="N26" i="6"/>
  <c r="O26" i="6"/>
  <c r="P26" i="6"/>
  <c r="M27" i="6"/>
  <c r="Q27" i="6" s="1"/>
  <c r="N27" i="6"/>
  <c r="O27" i="6"/>
  <c r="P27" i="6"/>
  <c r="M28" i="6"/>
  <c r="Q28" i="6" s="1"/>
  <c r="N28" i="6"/>
  <c r="O28" i="6"/>
  <c r="P28" i="6"/>
  <c r="M29" i="6"/>
  <c r="N29" i="6"/>
  <c r="O29" i="6"/>
  <c r="P29" i="6"/>
  <c r="M30" i="6"/>
  <c r="N30" i="6"/>
  <c r="O30" i="6"/>
  <c r="P30" i="6"/>
  <c r="M31" i="6"/>
  <c r="N31" i="6"/>
  <c r="O31" i="6"/>
  <c r="P31" i="6"/>
  <c r="M32" i="6"/>
  <c r="N32" i="6"/>
  <c r="O32" i="6"/>
  <c r="P32" i="6"/>
  <c r="P3" i="6"/>
  <c r="O3" i="6"/>
  <c r="M3" i="6"/>
  <c r="F32" i="6"/>
  <c r="E32" i="6"/>
  <c r="E31" i="6"/>
  <c r="F31" i="6" s="1"/>
  <c r="F30" i="6"/>
  <c r="E30" i="6"/>
  <c r="E29" i="6"/>
  <c r="F29" i="6" s="1"/>
  <c r="E21" i="6"/>
  <c r="F21" i="6" s="1"/>
  <c r="E20" i="6"/>
  <c r="F20" i="6" s="1"/>
  <c r="E19" i="6"/>
  <c r="F19" i="6" s="1"/>
  <c r="F22" i="6"/>
  <c r="E24" i="6"/>
  <c r="F24" i="6" s="1"/>
  <c r="E23" i="6"/>
  <c r="F23" i="6" s="1"/>
  <c r="E22" i="6"/>
  <c r="E28" i="6"/>
  <c r="F28" i="6" s="1"/>
  <c r="E27" i="6"/>
  <c r="F27" i="6" s="1"/>
  <c r="E26" i="6"/>
  <c r="F26" i="6" s="1"/>
  <c r="E25" i="6"/>
  <c r="F25" i="6" s="1"/>
  <c r="E14" i="6"/>
  <c r="F14" i="6" s="1"/>
  <c r="E13" i="6"/>
  <c r="F13" i="6" s="1"/>
  <c r="E12" i="6"/>
  <c r="F12" i="6" s="1"/>
  <c r="E11" i="6"/>
  <c r="F11" i="6" s="1"/>
  <c r="E6" i="6"/>
  <c r="F6" i="6" s="1"/>
  <c r="E5" i="6"/>
  <c r="F5" i="6" s="1"/>
  <c r="E4" i="6"/>
  <c r="F4" i="6" s="1"/>
  <c r="E3" i="6"/>
  <c r="F3" i="6" s="1"/>
  <c r="R28" i="6" l="1"/>
  <c r="R26" i="6"/>
  <c r="Q32" i="6"/>
  <c r="Q31" i="6"/>
  <c r="Q30" i="6"/>
  <c r="Q29" i="6"/>
  <c r="Q21" i="6"/>
  <c r="Q19" i="6"/>
  <c r="Q18" i="6"/>
  <c r="Q17" i="6"/>
  <c r="Q16" i="6"/>
  <c r="Q15" i="6"/>
  <c r="Q3" i="6"/>
  <c r="R3" i="6"/>
  <c r="Q6" i="6"/>
  <c r="Q5" i="6"/>
  <c r="Q4" i="6"/>
  <c r="R31" i="6"/>
  <c r="R29" i="6"/>
  <c r="R23" i="6"/>
  <c r="R17" i="6"/>
  <c r="R15" i="6"/>
  <c r="R13" i="6"/>
  <c r="R11" i="6"/>
  <c r="R9" i="6"/>
  <c r="R7" i="6"/>
  <c r="R5" i="6"/>
  <c r="Q23" i="6"/>
  <c r="R27" i="6"/>
  <c r="R25" i="6"/>
  <c r="R32" i="6"/>
  <c r="R30" i="6"/>
  <c r="Q24" i="6"/>
  <c r="Q22" i="6"/>
  <c r="R24" i="6"/>
  <c r="R22" i="6"/>
  <c r="Q20" i="6"/>
  <c r="R21" i="6"/>
  <c r="R19" i="6"/>
  <c r="R18" i="6"/>
  <c r="R16" i="6"/>
  <c r="Q12" i="6"/>
  <c r="R14" i="6"/>
  <c r="R12" i="6"/>
  <c r="R10" i="6"/>
  <c r="R8" i="6"/>
  <c r="Q10" i="6"/>
  <c r="Q8" i="6"/>
  <c r="R6" i="6"/>
  <c r="R4" i="6"/>
  <c r="T9" i="5"/>
  <c r="T10" i="5"/>
  <c r="T11" i="5"/>
  <c r="M9" i="5"/>
  <c r="N9" i="5"/>
  <c r="O9" i="5"/>
  <c r="P9" i="5"/>
  <c r="Q9" i="5"/>
  <c r="R9" i="5"/>
  <c r="S9" i="5"/>
  <c r="M10" i="5"/>
  <c r="N10" i="5"/>
  <c r="O10" i="5"/>
  <c r="P10" i="5"/>
  <c r="Q10" i="5"/>
  <c r="R10" i="5"/>
  <c r="S10" i="5"/>
  <c r="M11" i="5"/>
  <c r="N11" i="5"/>
  <c r="O11" i="5"/>
  <c r="P11" i="5"/>
  <c r="Q11" i="5"/>
  <c r="R11" i="5"/>
  <c r="S11" i="5"/>
  <c r="D10" i="5"/>
  <c r="D11" i="5"/>
  <c r="D9" i="5"/>
  <c r="U9" i="4" l="1"/>
  <c r="U10" i="4"/>
  <c r="U11" i="4"/>
  <c r="U12" i="4"/>
  <c r="R9" i="4"/>
  <c r="S9" i="4"/>
  <c r="T9" i="4"/>
  <c r="R10" i="4"/>
  <c r="S10" i="4"/>
  <c r="T10" i="4"/>
  <c r="R11" i="4"/>
  <c r="S11" i="4"/>
  <c r="T11" i="4"/>
  <c r="R12" i="4"/>
  <c r="S12" i="4"/>
  <c r="T12" i="4"/>
  <c r="P9" i="4"/>
  <c r="P10" i="4"/>
  <c r="P11" i="4"/>
  <c r="P12" i="4"/>
  <c r="O10" i="4"/>
  <c r="O9" i="4"/>
  <c r="O11" i="4"/>
  <c r="O12" i="4"/>
  <c r="N9" i="4"/>
  <c r="N10" i="4"/>
  <c r="N11" i="4"/>
  <c r="N12" i="4"/>
  <c r="M9" i="4"/>
  <c r="M10" i="4"/>
  <c r="M11" i="4"/>
  <c r="M12" i="4"/>
  <c r="D10" i="4"/>
  <c r="D11" i="4"/>
  <c r="D12" i="4"/>
  <c r="D9" i="4"/>
  <c r="R8" i="5" l="1"/>
  <c r="N8" i="5"/>
  <c r="D8" i="5"/>
  <c r="T8" i="5" s="1"/>
  <c r="R7" i="5"/>
  <c r="N7" i="5"/>
  <c r="D7" i="5"/>
  <c r="T7" i="5" s="1"/>
  <c r="R6" i="5"/>
  <c r="N6" i="5"/>
  <c r="D6" i="5"/>
  <c r="T6" i="5" s="1"/>
  <c r="R5" i="5"/>
  <c r="N5" i="5"/>
  <c r="D5" i="5"/>
  <c r="S5" i="5" s="1"/>
  <c r="Q5" i="5" l="1"/>
  <c r="M6" i="5"/>
  <c r="Q6" i="5"/>
  <c r="O6" i="5"/>
  <c r="M5" i="5"/>
  <c r="M8" i="5"/>
  <c r="Q8" i="5"/>
  <c r="O8" i="5"/>
  <c r="M7" i="5"/>
  <c r="Q7" i="5"/>
  <c r="S6" i="5"/>
  <c r="P5" i="5"/>
  <c r="T5" i="5"/>
  <c r="P6" i="5"/>
  <c r="O7" i="5"/>
  <c r="S7" i="5"/>
  <c r="S8" i="5"/>
  <c r="P7" i="5"/>
  <c r="O5" i="5"/>
  <c r="P8" i="5"/>
  <c r="P5" i="4"/>
  <c r="U6" i="4"/>
  <c r="U7" i="4"/>
  <c r="U8" i="4"/>
  <c r="U5" i="4"/>
  <c r="P6" i="4"/>
  <c r="P7" i="4"/>
  <c r="P8" i="4"/>
  <c r="T6" i="4"/>
  <c r="T7" i="4"/>
  <c r="T8" i="4"/>
  <c r="T5" i="4"/>
  <c r="O6" i="4"/>
  <c r="O7" i="4"/>
  <c r="O8" i="4"/>
  <c r="O5" i="4"/>
  <c r="D6" i="4"/>
  <c r="D7" i="4"/>
  <c r="D8" i="4"/>
  <c r="D5" i="4"/>
  <c r="S6" i="4"/>
  <c r="S7" i="4"/>
  <c r="S8" i="4"/>
  <c r="S5" i="4"/>
  <c r="R6" i="4"/>
  <c r="R7" i="4"/>
  <c r="R8" i="4"/>
  <c r="R5" i="4"/>
  <c r="N5" i="4"/>
  <c r="N6" i="4"/>
  <c r="N7" i="4"/>
  <c r="N8" i="4"/>
  <c r="M6" i="4"/>
  <c r="M7" i="4"/>
  <c r="M8" i="4"/>
  <c r="M5" i="4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39" i="1"/>
  <c r="T38" i="1"/>
  <c r="T37" i="1"/>
  <c r="T35" i="1"/>
  <c r="T34" i="1"/>
  <c r="T33" i="1"/>
  <c r="T31" i="1"/>
  <c r="T30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<sst xmlns="http://schemas.openxmlformats.org/spreadsheetml/2006/main" count="477" uniqueCount="97">
  <si>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</si>
  <si>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</si>
  <si>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</si>
  <si>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</si>
  <si>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</si>
  <si>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</si>
  <si>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</si>
  <si>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</si>
  <si>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</si>
  <si>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</si>
  <si>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</si>
  <si>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</si>
  <si>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</si>
  <si>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</si>
  <si>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</si>
  <si>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</si>
  <si>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</si>
  <si>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</si>
  <si>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</si>
  <si>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</si>
  <si>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</si>
  <si>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</si>
  <si>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</si>
  <si>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</si>
  <si>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</si>
  <si>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</si>
  <si>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</si>
  <si>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</si>
  <si>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</si>
  <si>
    <t>(a0 + a1(e / emax) +a2*D)*pressure + a3*D + a4(e/emax) + a5</t>
  </si>
  <si>
    <t>a4</t>
  </si>
  <si>
    <t>a5</t>
  </si>
  <si>
    <t>strain [e]</t>
  </si>
  <si>
    <t>max strain [emax]</t>
  </si>
  <si>
    <t>Pressurizing(Inflate)</t>
  </si>
  <si>
    <t>Slope</t>
  </si>
  <si>
    <t>Intercept</t>
  </si>
  <si>
    <t>a1*sttrain</t>
  </si>
  <si>
    <t>Model 3</t>
  </si>
  <si>
    <t>a6</t>
  </si>
  <si>
    <t>a7</t>
  </si>
  <si>
    <t>a8</t>
  </si>
  <si>
    <t>test 9</t>
  </si>
  <si>
    <t>Optimized Parameters(Regression)</t>
  </si>
  <si>
    <t>b =</t>
  </si>
  <si>
    <t xml:space="preserve">   1.0e+03 *</t>
  </si>
  <si>
    <t>Force  = a0 + a1*Pressure + a2*Diameter + a3*Lo + a4*E + a5*Emax +a6*State + a7*Pressure(Diameter)+a8*(E/Emax)</t>
  </si>
  <si>
    <t xml:space="preserve">Slope </t>
  </si>
  <si>
    <t>Model 4</t>
  </si>
  <si>
    <t>Only testing on 10mm 13 cm to study effects on parameters</t>
  </si>
  <si>
    <t>Equation</t>
  </si>
  <si>
    <t>intercept</t>
  </si>
  <si>
    <t>relative strain</t>
  </si>
  <si>
    <t>a1(e/emax)</t>
  </si>
  <si>
    <t>TestNumber10</t>
  </si>
  <si>
    <t>F = (a0+ a1 (e/emax))P + a2*(e/emax) + a3</t>
  </si>
  <si>
    <t>a2(e/.emax)</t>
  </si>
  <si>
    <t>a2(e/emax)</t>
  </si>
  <si>
    <t>1 - relative strain</t>
  </si>
  <si>
    <t>lo</t>
  </si>
  <si>
    <t>Pressurizing</t>
  </si>
  <si>
    <t>Depressurizing</t>
  </si>
  <si>
    <t>(P)</t>
  </si>
  <si>
    <t>(DP)</t>
  </si>
  <si>
    <t xml:space="preserve">Equation </t>
  </si>
  <si>
    <t xml:space="preserve">Force = (a0 + a1Lo + a2(1-relative strain))*P + a3(1-relative strain) +a4Lo + a5 </t>
  </si>
  <si>
    <t xml:space="preserve">a1*Lo </t>
  </si>
  <si>
    <t xml:space="preserve">a2*(1-relative strain) </t>
  </si>
  <si>
    <t>a3(1-relative strain)</t>
  </si>
  <si>
    <t>a4*Lo</t>
  </si>
  <si>
    <t xml:space="preserve">Initial Guess </t>
  </si>
  <si>
    <t xml:space="preserve"> x0 = [-3.13,-1.47,21.44,2.26,-3.21,-20]</t>
  </si>
  <si>
    <t>Force = (a0 +a1L)P + a2L + a3</t>
  </si>
  <si>
    <t>a1*lo</t>
  </si>
  <si>
    <t>a2*lo</t>
  </si>
  <si>
    <t>slope</t>
  </si>
  <si>
    <t xml:space="preserve">Force = b0 + b1P </t>
  </si>
  <si>
    <t>Unkink only</t>
  </si>
  <si>
    <t>b0</t>
  </si>
  <si>
    <t>b1</t>
  </si>
  <si>
    <t>strain</t>
  </si>
  <si>
    <t>max strain</t>
  </si>
  <si>
    <t>1-relative strain</t>
  </si>
  <si>
    <t>29mm10cm</t>
  </si>
  <si>
    <t>li</t>
  </si>
  <si>
    <t>lo - li</t>
  </si>
  <si>
    <t>Force = Bo +  B1(P)</t>
  </si>
  <si>
    <t>Lo*(1-relative strain)</t>
  </si>
  <si>
    <t>Lo*relativeStrain</t>
  </si>
  <si>
    <t>c0</t>
  </si>
  <si>
    <t xml:space="preserve"> c1</t>
  </si>
  <si>
    <t>c1</t>
  </si>
  <si>
    <t>B1(slope)</t>
  </si>
  <si>
    <t xml:space="preserve">B0 (Intercept) </t>
  </si>
  <si>
    <t>FOR B1: Slope is pretty linear for 20mm, but non linear for 10mm</t>
  </si>
  <si>
    <t>B1 = C0 + C1(1-relative strain)</t>
  </si>
  <si>
    <t>B0 = c0+c1(1-relative strain)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</si>
</sst>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 vertical="center"/>
    </xf>
    <xf numFmtId="0" fontId="0" fillId="0" borderId="9" xfId="0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Model2!$A$5:$A$40</c:f>
              <c:strCache>
                <c:ptCount val="34"/>
                <c:pt idx="0">
                  <c:v>10mm13cm</c:v>
                </c:pt>
                <c:pt idx="4">
                  <c:v>10mm23cm</c:v>
                </c:pt>
                <c:pt idx="7">
                  <c:v>10mm27cm</c:v>
                </c:pt>
                <c:pt idx="11">
                  <c:v>10mm29cm</c:v>
                </c:pt>
                <c:pt idx="15">
                  <c:v>10mm30cm</c:v>
                </c:pt>
                <c:pt idx="16">
                  <c:v>(Test10)</c:v>
                </c:pt>
                <c:pt idx="19">
                  <c:v>20mm10cm</c:v>
                </c:pt>
                <c:pt idx="22">
                  <c:v>20mm12cm</c:v>
                </c:pt>
                <c:pt idx="25">
                  <c:v>20mm23cm</c:v>
                </c:pt>
                <c:pt idx="28">
                  <c:v>20mm30cm</c:v>
                </c:pt>
                <c:pt idx="32">
                  <c:v>20mm40cm</c:v>
                </c:pt>
                <c:pt idx="33">
                  <c:v>(Test10)</c:v>
                </c:pt>
              </c:strCache>
            </c:strRef>
          </c:xVal>
          <c:yVal>
            <c:numRef>
              <c:f>Model2!$P$5:$P$40</c:f>
              <c:numCache>
                <c:formatCode>General</c:formatCode>
                <c:ptCount val="36"/>
                <c:pt idx="0">
                  <c:v>0.64119999999999999</c:v>
                </c:pt>
                <c:pt idx="1">
                  <c:v>0.63949999999987028</c:v>
                </c:pt>
                <c:pt idx="2">
                  <c:v>0.58849999999997493</c:v>
                </c:pt>
                <c:pt idx="3">
                  <c:v>0.54100000000005366</c:v>
                </c:pt>
                <c:pt idx="4">
                  <c:v>0.69864100000000007</c:v>
                </c:pt>
                <c:pt idx="5">
                  <c:v>0.68127142857142076</c:v>
                </c:pt>
                <c:pt idx="6">
                  <c:v>0.59104285714278149</c:v>
                </c:pt>
                <c:pt idx="7">
                  <c:v>0.68924000000000007</c:v>
                </c:pt>
                <c:pt idx="8">
                  <c:v>0.72792307692309777</c:v>
                </c:pt>
                <c:pt idx="9">
                  <c:v>0.69089230769228749</c:v>
                </c:pt>
                <c:pt idx="10">
                  <c:v>0.57851794871796614</c:v>
                </c:pt>
                <c:pt idx="11">
                  <c:v>0.70985000000000009</c:v>
                </c:pt>
                <c:pt idx="12">
                  <c:v>0.72083478260864098</c:v>
                </c:pt>
                <c:pt idx="13">
                  <c:v>0.6176826086956595</c:v>
                </c:pt>
                <c:pt idx="14">
                  <c:v>0.57617826086956114</c:v>
                </c:pt>
                <c:pt idx="15">
                  <c:v>0.71595259999999994</c:v>
                </c:pt>
                <c:pt idx="16">
                  <c:v>0.7481024390239952</c:v>
                </c:pt>
                <c:pt idx="17">
                  <c:v>0.68218292682929516</c:v>
                </c:pt>
                <c:pt idx="18">
                  <c:v>0.61349414634146626</c:v>
                </c:pt>
                <c:pt idx="19">
                  <c:v>1.73072</c:v>
                </c:pt>
                <c:pt idx="20">
                  <c:v>0.84637181818182228</c:v>
                </c:pt>
                <c:pt idx="21">
                  <c:v>0.53859999999997399</c:v>
                </c:pt>
                <c:pt idx="22">
                  <c:v>1.8328</c:v>
                </c:pt>
                <c:pt idx="23">
                  <c:v>1.3170944827586482</c:v>
                </c:pt>
                <c:pt idx="24">
                  <c:v>0.89798965517245222</c:v>
                </c:pt>
                <c:pt idx="25">
                  <c:v>2.1844999999999999</c:v>
                </c:pt>
                <c:pt idx="26">
                  <c:v>1.8481909090906896</c:v>
                </c:pt>
                <c:pt idx="27">
                  <c:v>1.5097090909091264</c:v>
                </c:pt>
                <c:pt idx="28">
                  <c:v>2.3146</c:v>
                </c:pt>
                <c:pt idx="29">
                  <c:v>2.0561716417912805</c:v>
                </c:pt>
                <c:pt idx="30">
                  <c:v>1.8762723880597889</c:v>
                </c:pt>
                <c:pt idx="31">
                  <c:v>1.474382089552229</c:v>
                </c:pt>
                <c:pt idx="32">
                  <c:v>2.2906199999999997</c:v>
                </c:pt>
                <c:pt idx="33">
                  <c:v>1.7854727272728468</c:v>
                </c:pt>
                <c:pt idx="34">
                  <c:v>1.5454505050504395</c:v>
                </c:pt>
                <c:pt idx="35">
                  <c:v>1.1063606060606119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DA-810B-1E89EA7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728"/>
        <c:axId val="531974416"/>
      </c:scatterChart>
      <c:valAx>
        <c:axId val="5319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4416"/>
        <c:crosses val="autoZero"/>
        <c:crossBetween val="midCat"/>
      </c:valAx>
      <c:valAx>
        <c:axId val="531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4 - 10mm13cm'!$H$5:$H$8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-117.41</c:v>
                </c:pt>
                <c:pt idx="2">
                  <c:v>-190.54</c:v>
                </c:pt>
                <c:pt idx="3">
                  <c:v>-175.03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B-4FD6-B899-3F68CF010EF1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4 - 10mm13cm'!$L$5:$L$8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-111.58</c:v>
                </c:pt>
                <c:pt idx="2">
                  <c:v>-178.83</c:v>
                </c:pt>
                <c:pt idx="3">
                  <c:v>-119.43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B-4FD6-B899-3F68CF01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4 - 10mm13cm'!$M$9:$M$12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0.72756410256415904</c:v>
                </c:pt>
                <c:pt idx="2">
                  <c:v>0.68961538461537586</c:v>
                </c:pt>
                <c:pt idx="3">
                  <c:v>0.57769230769232394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4-4F5B-BBD9-084892C073A8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4 - 10mm13cm'!$R$9:$R$12</c:f>
              <c:numCache>
                <c:formatCode>General</c:formatCode>
                <c:ptCount val="4"/>
                <c:pt idx="0">
                  <c:v>0.63105</c:v>
                </c:pt>
                <c:pt idx="1">
                  <c:v>0.66635897435899949</c:v>
                </c:pt>
                <c:pt idx="2">
                  <c:v>0.61092307692305781</c:v>
                </c:pt>
                <c:pt idx="3">
                  <c:v>0.44430769230770295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4-4F5B-BBD9-084892C0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4 - 10mm13cm'!$N$9:$N$12</c:f>
              <c:numCache>
                <c:formatCode>General</c:formatCode>
                <c:ptCount val="4"/>
                <c:pt idx="0">
                  <c:v>-46.625</c:v>
                </c:pt>
                <c:pt idx="1">
                  <c:v>-196.27371794871794</c:v>
                </c:pt>
                <c:pt idx="2">
                  <c:v>-244.33538461538461</c:v>
                </c:pt>
                <c:pt idx="3">
                  <c:v>-298.52879487179484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A-4AA5-9443-69C2532A7075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4 - 10mm13cm'!$S$9:$S$12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-155.07256410256409</c:v>
                </c:pt>
                <c:pt idx="2">
                  <c:v>-190.53230769230771</c:v>
                </c:pt>
                <c:pt idx="3">
                  <c:v>-209.83976923076921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A-4AA5-9443-69C2532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4 - 10mm13cm'!$E$9:$E$12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67.564999999999998</c:v>
                </c:pt>
                <c:pt idx="2">
                  <c:v>30.625</c:v>
                </c:pt>
                <c:pt idx="3">
                  <c:v>35.777000000000001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2-48CF-B3AC-9B6A0706934F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4 - 10mm13cm'!$I$9:$I$12</c:f>
              <c:numCache>
                <c:formatCode>General</c:formatCode>
                <c:ptCount val="4"/>
                <c:pt idx="0">
                  <c:v>0.63105</c:v>
                </c:pt>
                <c:pt idx="1">
                  <c:v>29.632000000000001</c:v>
                </c:pt>
                <c:pt idx="2">
                  <c:v>48.433999999999997</c:v>
                </c:pt>
                <c:pt idx="3">
                  <c:v>22.905000000000001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C2-48CF-B3AC-9B6A0706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4 - 10mm13cm'!$O$9:$O$12</c:f>
              <c:numCache>
                <c:formatCode>General</c:formatCode>
                <c:ptCount val="4"/>
                <c:pt idx="0">
                  <c:v>0</c:v>
                </c:pt>
                <c:pt idx="1">
                  <c:v>-66.837435897435839</c:v>
                </c:pt>
                <c:pt idx="2">
                  <c:v>-29.935384615384624</c:v>
                </c:pt>
                <c:pt idx="3">
                  <c:v>-35.199307692307677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3-470F-9C35-4E8B8A471BC5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4 - 10mm13cm'!$T$9:$T$12</c:f>
              <c:numCache>
                <c:formatCode>General</c:formatCode>
                <c:ptCount val="4"/>
                <c:pt idx="0">
                  <c:v>0</c:v>
                </c:pt>
                <c:pt idx="1">
                  <c:v>-28.965641025641002</c:v>
                </c:pt>
                <c:pt idx="2">
                  <c:v>-47.82307692307694</c:v>
                </c:pt>
                <c:pt idx="3">
                  <c:v>-22.460692307692298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3-470F-9C35-4E8B8A47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4 - 10mm13cm'!$P$9:$P$12</c:f>
              <c:numCache>
                <c:formatCode>General</c:formatCode>
                <c:ptCount val="4"/>
                <c:pt idx="0">
                  <c:v>0</c:v>
                </c:pt>
                <c:pt idx="1">
                  <c:v>-6.0137179487179449</c:v>
                </c:pt>
                <c:pt idx="2">
                  <c:v>-32.085384615384626</c:v>
                </c:pt>
                <c:pt idx="3">
                  <c:v>-33.728794871794854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E-457D-973F-6F5870155634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4 - 10mm13cm'!$U$9:$U$12</c:f>
              <c:numCache>
                <c:formatCode>General</c:formatCode>
                <c:ptCount val="4"/>
                <c:pt idx="0">
                  <c:v>0</c:v>
                </c:pt>
                <c:pt idx="1">
                  <c:v>-3.7225641025640996</c:v>
                </c:pt>
                <c:pt idx="2">
                  <c:v>13.267692307692313</c:v>
                </c:pt>
                <c:pt idx="3">
                  <c:v>-20.929769230769221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E-457D-973F-6F58701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4 - 10mm13cm'!$H$9:$H$12</c:f>
              <c:numCache>
                <c:formatCode>General</c:formatCode>
                <c:ptCount val="4"/>
                <c:pt idx="0">
                  <c:v>-46.625</c:v>
                </c:pt>
                <c:pt idx="1">
                  <c:v>-190.26</c:v>
                </c:pt>
                <c:pt idx="2">
                  <c:v>-212.25</c:v>
                </c:pt>
                <c:pt idx="3">
                  <c:v>-264.8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E-4285-B922-911A03D8EF72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4 - 10mm13cm'!$L$9:$L$12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-151.35</c:v>
                </c:pt>
                <c:pt idx="2">
                  <c:v>-203.8</c:v>
                </c:pt>
                <c:pt idx="3">
                  <c:v>-188.91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8E-4285-B922-911A03D8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4 - 20mm40cm'!$M$5:$M$8</c:f>
              <c:numCache>
                <c:formatCode>General</c:formatCode>
                <c:ptCount val="4"/>
                <c:pt idx="0">
                  <c:v>2.2906</c:v>
                </c:pt>
                <c:pt idx="1">
                  <c:v>1.7864545454545961</c:v>
                </c:pt>
                <c:pt idx="2">
                  <c:v>1.5461414141414593</c:v>
                </c:pt>
                <c:pt idx="3">
                  <c:v>1.1059898989898898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3-48FB-B058-0B6B511FDB6C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4 - 20mm40cm'!$Q$5:$Q$8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1.7390909090911464</c:v>
                </c:pt>
                <c:pt idx="2">
                  <c:v>1.4964848484848901</c:v>
                </c:pt>
                <c:pt idx="3">
                  <c:v>1.0365151515151467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3-48FB-B058-0B6B511F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4 - 20mm40cm'!$N$5:$N$8</c:f>
              <c:numCache>
                <c:formatCode>General</c:formatCode>
                <c:ptCount val="4"/>
                <c:pt idx="0">
                  <c:v>-162.54</c:v>
                </c:pt>
                <c:pt idx="1">
                  <c:v>-340.65254545454542</c:v>
                </c:pt>
                <c:pt idx="2">
                  <c:v>-344.22717171717176</c:v>
                </c:pt>
                <c:pt idx="3">
                  <c:v>-355.29505050505048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9-43C1-B97E-11F9CB96847E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4 - 20mm40cm'!$R$5:$R$8</c:f>
              <c:numCache>
                <c:formatCode>General</c:formatCode>
                <c:ptCount val="4"/>
                <c:pt idx="0">
                  <c:v>-153.32</c:v>
                </c:pt>
                <c:pt idx="1">
                  <c:v>-318.90863636363605</c:v>
                </c:pt>
                <c:pt idx="2">
                  <c:v>-319.38763636363632</c:v>
                </c:pt>
                <c:pt idx="3">
                  <c:v>-321.19434343434341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F9-43C1-B97E-11F9CB96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4 - 20mm40cm'!$E$5:$E$8</c:f>
              <c:numCache>
                <c:formatCode>General</c:formatCode>
                <c:ptCount val="4"/>
                <c:pt idx="0">
                  <c:v>2.2906</c:v>
                </c:pt>
                <c:pt idx="1">
                  <c:v>34.093000000000004</c:v>
                </c:pt>
                <c:pt idx="2">
                  <c:v>57.271999999999998</c:v>
                </c:pt>
                <c:pt idx="3">
                  <c:v>43.637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7-4B83-9153-0E2698C335E3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4 - 20mm40cm'!$I$5:$I$8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166.95</c:v>
                </c:pt>
                <c:pt idx="2">
                  <c:v>56.927999999999997</c:v>
                </c:pt>
                <c:pt idx="3">
                  <c:v>22.745000000000001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7-4B83-9153-0E2698C3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Model2!$Q$5:$Q$40</c:f>
              <c:numCache>
                <c:formatCode>General</c:formatCode>
                <c:ptCount val="36"/>
                <c:pt idx="0">
                  <c:v>-59.044169999999994</c:v>
                </c:pt>
                <c:pt idx="1">
                  <c:v>-130.7296</c:v>
                </c:pt>
                <c:pt idx="2">
                  <c:v>-194.80510000000004</c:v>
                </c:pt>
                <c:pt idx="3">
                  <c:v>-231.37586999999999</c:v>
                </c:pt>
                <c:pt idx="4">
                  <c:v>-58.102400000000003</c:v>
                </c:pt>
                <c:pt idx="5">
                  <c:v>-269.33194285714285</c:v>
                </c:pt>
                <c:pt idx="6">
                  <c:v>-336.84648285714286</c:v>
                </c:pt>
                <c:pt idx="7">
                  <c:v>-46.625300000000003</c:v>
                </c:pt>
                <c:pt idx="8">
                  <c:v>-196.27136666666667</c:v>
                </c:pt>
                <c:pt idx="9">
                  <c:v>-244.33968461538461</c:v>
                </c:pt>
                <c:pt idx="10">
                  <c:v>-298.52787435897437</c:v>
                </c:pt>
                <c:pt idx="11">
                  <c:v>-23.14067</c:v>
                </c:pt>
                <c:pt idx="12">
                  <c:v>-230.50888695652174</c:v>
                </c:pt>
                <c:pt idx="13">
                  <c:v>-270.73316956521739</c:v>
                </c:pt>
                <c:pt idx="14">
                  <c:v>-326.38395652173915</c:v>
                </c:pt>
                <c:pt idx="15">
                  <c:v>-38.98899999999999</c:v>
                </c:pt>
                <c:pt idx="16">
                  <c:v>-243.65363414634146</c:v>
                </c:pt>
                <c:pt idx="17">
                  <c:v>-280.41575609756103</c:v>
                </c:pt>
                <c:pt idx="18">
                  <c:v>-309.52934756097562</c:v>
                </c:pt>
                <c:pt idx="19">
                  <c:v>-120.17209999999999</c:v>
                </c:pt>
                <c:pt idx="20">
                  <c:v>-254.99790318181817</c:v>
                </c:pt>
                <c:pt idx="21">
                  <c:v>-255.96584818181819</c:v>
                </c:pt>
                <c:pt idx="22">
                  <c:v>-73.957099999999997</c:v>
                </c:pt>
                <c:pt idx="23">
                  <c:v>-228.18782758620694</c:v>
                </c:pt>
                <c:pt idx="24">
                  <c:v>-246.80518689655176</c:v>
                </c:pt>
                <c:pt idx="25">
                  <c:v>-193.11330000000001</c:v>
                </c:pt>
                <c:pt idx="26">
                  <c:v>-285.54028181818182</c:v>
                </c:pt>
                <c:pt idx="27">
                  <c:v>-299.66611818181815</c:v>
                </c:pt>
                <c:pt idx="28">
                  <c:v>-138.41704999999999</c:v>
                </c:pt>
                <c:pt idx="29">
                  <c:v>-284.45686865671638</c:v>
                </c:pt>
                <c:pt idx="30">
                  <c:v>-309.78016417910447</c:v>
                </c:pt>
                <c:pt idx="31">
                  <c:v>-331.17994059701488</c:v>
                </c:pt>
                <c:pt idx="32">
                  <c:v>-162.54559999999998</c:v>
                </c:pt>
                <c:pt idx="33">
                  <c:v>-340.6532636363637</c:v>
                </c:pt>
                <c:pt idx="34">
                  <c:v>-344.22702828282826</c:v>
                </c:pt>
                <c:pt idx="35">
                  <c:v>-355.28767676767671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6B6-B169-69935DB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4400"/>
        <c:axId val="411558008"/>
      </c:scatterChart>
      <c:valAx>
        <c:axId val="411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008"/>
        <c:crosses val="autoZero"/>
        <c:crossBetween val="midCat"/>
      </c:valAx>
      <c:valAx>
        <c:axId val="4115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4 - 20mm40cm'!$O$5:$O$8</c:f>
              <c:numCache>
                <c:formatCode>General</c:formatCode>
                <c:ptCount val="4"/>
                <c:pt idx="0">
                  <c:v>0</c:v>
                </c:pt>
                <c:pt idx="1">
                  <c:v>-32.306545454545407</c:v>
                </c:pt>
                <c:pt idx="2">
                  <c:v>-55.725858585858539</c:v>
                </c:pt>
                <c:pt idx="3">
                  <c:v>-42.531010101010111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7-4D3E-9234-D5BBFC2EFB8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4 - 20mm40cm'!$S$5:$S$8</c:f>
              <c:numCache>
                <c:formatCode>General</c:formatCode>
                <c:ptCount val="4"/>
                <c:pt idx="0">
                  <c:v>0</c:v>
                </c:pt>
                <c:pt idx="1">
                  <c:v>-165.21090909090884</c:v>
                </c:pt>
                <c:pt idx="2">
                  <c:v>-55.431515151515107</c:v>
                </c:pt>
                <c:pt idx="3">
                  <c:v>-21.708484848484854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7-4D3E-9234-D5BBFC2E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4 - 20mm40cm'!$P$5:$P$8</c:f>
              <c:numCache>
                <c:formatCode>General</c:formatCode>
                <c:ptCount val="4"/>
                <c:pt idx="0">
                  <c:v>0</c:v>
                </c:pt>
                <c:pt idx="1">
                  <c:v>-25.182545454545416</c:v>
                </c:pt>
                <c:pt idx="2">
                  <c:v>63.30282828282823</c:v>
                </c:pt>
                <c:pt idx="3">
                  <c:v>-81.405050505050511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487-A51A-08336BC27101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4 - 20mm40cm'!$T$5:$T$8</c:f>
              <c:numCache>
                <c:formatCode>General</c:formatCode>
                <c:ptCount val="4"/>
                <c:pt idx="0">
                  <c:v>0</c:v>
                </c:pt>
                <c:pt idx="1">
                  <c:v>-234.52363636363603</c:v>
                </c:pt>
                <c:pt idx="2">
                  <c:v>-26.627636363636341</c:v>
                </c:pt>
                <c:pt idx="3">
                  <c:v>42.565656565656575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3-4487-A51A-08336BC2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4 - 20mm40cm'!$H$5:$H$8</c:f>
              <c:numCache>
                <c:formatCode>General</c:formatCode>
                <c:ptCount val="4"/>
                <c:pt idx="0">
                  <c:v>-162.54</c:v>
                </c:pt>
                <c:pt idx="1">
                  <c:v>-315.47000000000003</c:v>
                </c:pt>
                <c:pt idx="2">
                  <c:v>-407.53</c:v>
                </c:pt>
                <c:pt idx="3">
                  <c:v>-273.89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6-4312-B0BB-777FF649AC95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4 - 20mm40cm'!$L$5:$L$8</c:f>
              <c:numCache>
                <c:formatCode>General</c:formatCode>
                <c:ptCount val="4"/>
                <c:pt idx="0">
                  <c:v>-153.32</c:v>
                </c:pt>
                <c:pt idx="1">
                  <c:v>-84.385000000000005</c:v>
                </c:pt>
                <c:pt idx="2">
                  <c:v>-292.76</c:v>
                </c:pt>
                <c:pt idx="3">
                  <c:v>-363.76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6-4312-B0BB-777FF649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22356782990059"/>
          <c:y val="6.1535661236361242E-2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4 - 20mm40cm'!$M$9:$M$11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0.84909090909090423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0-4916-90F3-C99116953C16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4 - 20mm40cm'!$Q$9:$Q$11</c:f>
              <c:numCache>
                <c:formatCode>General</c:formatCode>
                <c:ptCount val="3"/>
                <c:pt idx="0">
                  <c:v>1.6816</c:v>
                </c:pt>
                <c:pt idx="1">
                  <c:v>0.82195454545453828</c:v>
                </c:pt>
                <c:pt idx="2">
                  <c:v>0.48736363636363578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0-4916-90F3-C9911695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4 - 20mm40cm'!$N$9:$N$11</c:f>
              <c:numCache>
                <c:formatCode>General</c:formatCode>
                <c:ptCount val="3"/>
                <c:pt idx="0">
                  <c:v>-120.17</c:v>
                </c:pt>
                <c:pt idx="1">
                  <c:v>-254.99818181818188</c:v>
                </c:pt>
                <c:pt idx="2">
                  <c:v>-255.97181818181818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3-40D6-9E73-DDA2B07D258B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4 - 20mm40cm'!$R$9:$R$11</c:f>
              <c:numCache>
                <c:formatCode>General</c:formatCode>
                <c:ptCount val="3"/>
                <c:pt idx="0">
                  <c:v>-117.83</c:v>
                </c:pt>
                <c:pt idx="1">
                  <c:v>-236.09818181818181</c:v>
                </c:pt>
                <c:pt idx="2">
                  <c:v>-225.13636363636365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3-40D6-9E73-DDA2B07D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4 - 20mm40cm'!$E$9:$E$11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204.76</c:v>
                </c:pt>
                <c:pt idx="2">
                  <c:v>23.972000000000001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A-4AF3-A376-593E764739D4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4 - 20mm40cm'!$I$9:$I$11</c:f>
              <c:numCache>
                <c:formatCode>General</c:formatCode>
                <c:ptCount val="3"/>
                <c:pt idx="0">
                  <c:v>1.6816</c:v>
                </c:pt>
                <c:pt idx="1">
                  <c:v>39.610999999999997</c:v>
                </c:pt>
                <c:pt idx="2">
                  <c:v>24.861000000000001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4A-4AF3-A376-593E7647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4 - 20mm40cm'!$O$9:$O$11</c:f>
              <c:numCache>
                <c:formatCode>General</c:formatCode>
                <c:ptCount val="3"/>
                <c:pt idx="0">
                  <c:v>0</c:v>
                </c:pt>
                <c:pt idx="1">
                  <c:v>-203.91090909090909</c:v>
                </c:pt>
                <c:pt idx="2">
                  <c:v>-23.44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E-43A6-9F43-D0C6F54D563C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4 - 20mm40cm'!$S$9:$S$11</c:f>
              <c:numCache>
                <c:formatCode>General</c:formatCode>
                <c:ptCount val="3"/>
                <c:pt idx="0">
                  <c:v>0</c:v>
                </c:pt>
                <c:pt idx="1">
                  <c:v>-38.789045454545459</c:v>
                </c:pt>
                <c:pt idx="2">
                  <c:v>-24.373636363636365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E-43A6-9F43-D0C6F54D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4 - 20mm40cm'!$P$9:$P$11</c:f>
              <c:numCache>
                <c:formatCode>General</c:formatCode>
                <c:ptCount val="3"/>
                <c:pt idx="0">
                  <c:v>0</c:v>
                </c:pt>
                <c:pt idx="1">
                  <c:v>-535.06818181818187</c:v>
                </c:pt>
                <c:pt idx="2">
                  <c:v>-98.781818181818181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F45-9835-535382A5B906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4 - 20mm40cm'!$T$9:$T$11</c:f>
              <c:numCache>
                <c:formatCode>General</c:formatCode>
                <c:ptCount val="3"/>
                <c:pt idx="0">
                  <c:v>0</c:v>
                </c:pt>
                <c:pt idx="1">
                  <c:v>84.901818181818186</c:v>
                </c:pt>
                <c:pt idx="2">
                  <c:v>-102.63636363636365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F45-9835-535382A5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4 - 20mm40cm'!$H$9:$H$11</c:f>
              <c:numCache>
                <c:formatCode>General</c:formatCode>
                <c:ptCount val="3"/>
                <c:pt idx="0">
                  <c:v>-120.17</c:v>
                </c:pt>
                <c:pt idx="1">
                  <c:v>280.07</c:v>
                </c:pt>
                <c:pt idx="2">
                  <c:v>-157.19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F-48D9-A944-2992B0B66B84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4 - 20mm40cm'!$L$9:$L$11</c:f>
              <c:numCache>
                <c:formatCode>General</c:formatCode>
                <c:ptCount val="3"/>
                <c:pt idx="0">
                  <c:v>-117.83</c:v>
                </c:pt>
                <c:pt idx="1">
                  <c:v>-321</c:v>
                </c:pt>
                <c:pt idx="2">
                  <c:v>-122.5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F-48D9-A944-2992B0B6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5'!$G$3:$G$6</c:f>
              <c:numCache>
                <c:formatCode>General</c:formatCode>
                <c:ptCount val="4"/>
                <c:pt idx="0">
                  <c:v>-3.1513</c:v>
                </c:pt>
                <c:pt idx="1">
                  <c:v>2.0343</c:v>
                </c:pt>
                <c:pt idx="2">
                  <c:v>-8.5710999999999995</c:v>
                </c:pt>
                <c:pt idx="3">
                  <c:v>-2.2629000000000001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B-4A47-BD94-C9750DEB7E7E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5'!$G$7:$G$10</c:f>
              <c:numCache>
                <c:formatCode>General</c:formatCode>
                <c:ptCount val="4"/>
                <c:pt idx="0">
                  <c:v>-3.1566000000000001</c:v>
                </c:pt>
                <c:pt idx="1">
                  <c:v>-0.62397000000000002</c:v>
                </c:pt>
                <c:pt idx="2">
                  <c:v>-16.132999999999999</c:v>
                </c:pt>
                <c:pt idx="3">
                  <c:v>-4.7792000000000003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B-4A47-BD94-C9750DEB7E7E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5'!$G$11:$G$14</c:f>
              <c:numCache>
                <c:formatCode>General</c:formatCode>
                <c:ptCount val="4"/>
                <c:pt idx="0">
                  <c:v>-2.8218999999999999</c:v>
                </c:pt>
                <c:pt idx="1">
                  <c:v>-8.1210000000000004E-2</c:v>
                </c:pt>
                <c:pt idx="2">
                  <c:v>-5.6303000000000001</c:v>
                </c:pt>
                <c:pt idx="3">
                  <c:v>0.61597999999999997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5B-4A47-BD94-C9750DEB7E7E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5'!$G$15:$G$18</c:f>
              <c:numCache>
                <c:formatCode>General</c:formatCode>
                <c:ptCount val="4"/>
                <c:pt idx="0">
                  <c:v>-1.302</c:v>
                </c:pt>
                <c:pt idx="1">
                  <c:v>-1.6412</c:v>
                </c:pt>
                <c:pt idx="2">
                  <c:v>-4.4446000000000003</c:v>
                </c:pt>
                <c:pt idx="3">
                  <c:v>0.76293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5B-4A47-BD94-C9750DEB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5'!$G$19:$G$21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3.9247000000000001</c:v>
                      </c:pt>
                      <c:pt idx="1">
                        <c:v>20.199000000000002</c:v>
                      </c:pt>
                      <c:pt idx="2">
                        <c:v>-33.960999999999999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55B-4A47-BD94-C9750DEB7E7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5'!$G$22:$G$24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4.5350999999999999</c:v>
                      </c:pt>
                      <c:pt idx="1">
                        <c:v>4.2127999999999997</c:v>
                      </c:pt>
                      <c:pt idx="2">
                        <c:v>16.004000000000001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5B-4A47-BD94-C9750DEB7E7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-3.3788</c:v>
                      </c:pt>
                      <c:pt idx="1">
                        <c:v>-3.4005999999999998</c:v>
                      </c:pt>
                      <c:pt idx="2">
                        <c:v>-6.0037000000000003</c:v>
                      </c:pt>
                      <c:pt idx="3">
                        <c:v>-5.0137999999999998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5B-4A47-BD94-C9750DEB7E7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-3.516</c:v>
                      </c:pt>
                      <c:pt idx="1">
                        <c:v>-3.4969999999999999</c:v>
                      </c:pt>
                      <c:pt idx="2">
                        <c:v>-7.1764999999999999</c:v>
                      </c:pt>
                      <c:pt idx="3">
                        <c:v>-2.7593000000000001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5B-4A47-BD94-C9750DEB7E7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Slope(DP)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Model2!$R$5:$R$40</c:f>
              <c:numCache>
                <c:formatCode>General</c:formatCode>
                <c:ptCount val="36"/>
                <c:pt idx="0">
                  <c:v>0.61463999999999996</c:v>
                </c:pt>
                <c:pt idx="1">
                  <c:v>0.59809999999997387</c:v>
                </c:pt>
                <c:pt idx="2">
                  <c:v>0.55479999999992913</c:v>
                </c:pt>
                <c:pt idx="3">
                  <c:v>0.43170000000003483</c:v>
                </c:pt>
                <c:pt idx="4">
                  <c:v>0.6593</c:v>
                </c:pt>
                <c:pt idx="5">
                  <c:v>0.61942857142855701</c:v>
                </c:pt>
                <c:pt idx="6">
                  <c:v>0.42537142857139543</c:v>
                </c:pt>
                <c:pt idx="7">
                  <c:v>0.63100000000000001</c:v>
                </c:pt>
                <c:pt idx="8">
                  <c:v>0.66303333333341641</c:v>
                </c:pt>
                <c:pt idx="9">
                  <c:v>0.60961538461540954</c:v>
                </c:pt>
                <c:pt idx="10">
                  <c:v>0.44414615384615885</c:v>
                </c:pt>
                <c:pt idx="11">
                  <c:v>0.66274999999999995</c:v>
                </c:pt>
                <c:pt idx="12">
                  <c:v>0.65731695652174604</c:v>
                </c:pt>
                <c:pt idx="13">
                  <c:v>0.52528695652174662</c:v>
                </c:pt>
                <c:pt idx="14">
                  <c:v>-1.4632173913042834E-2</c:v>
                </c:pt>
                <c:pt idx="15">
                  <c:v>0.66181999999999996</c:v>
                </c:pt>
                <c:pt idx="16">
                  <c:v>0.67000621951204664</c:v>
                </c:pt>
                <c:pt idx="17">
                  <c:v>0.61660487804872588</c:v>
                </c:pt>
                <c:pt idx="18">
                  <c:v>0.5042731707317003</c:v>
                </c:pt>
                <c:pt idx="19">
                  <c:v>1.6815800000000001</c:v>
                </c:pt>
                <c:pt idx="20">
                  <c:v>0.82503636363636446</c:v>
                </c:pt>
                <c:pt idx="21">
                  <c:v>0.49660909090908945</c:v>
                </c:pt>
                <c:pt idx="22">
                  <c:v>1.7965800000000001</c:v>
                </c:pt>
                <c:pt idx="23">
                  <c:v>1.3087379310345</c:v>
                </c:pt>
                <c:pt idx="24">
                  <c:v>0.86168275862071653</c:v>
                </c:pt>
                <c:pt idx="25">
                  <c:v>2.14974</c:v>
                </c:pt>
                <c:pt idx="26">
                  <c:v>1.8046363636361491</c:v>
                </c:pt>
                <c:pt idx="27">
                  <c:v>1.4621981818181595</c:v>
                </c:pt>
                <c:pt idx="28">
                  <c:v>2.29156</c:v>
                </c:pt>
                <c:pt idx="29">
                  <c:v>2.026278059701589</c:v>
                </c:pt>
                <c:pt idx="30">
                  <c:v>1.8427194029852103</c:v>
                </c:pt>
                <c:pt idx="31">
                  <c:v>1.4244034328359305</c:v>
                </c:pt>
                <c:pt idx="32">
                  <c:v>2.26186</c:v>
                </c:pt>
                <c:pt idx="33">
                  <c:v>1.7429454545454881</c:v>
                </c:pt>
                <c:pt idx="34">
                  <c:v>1.4959767676767548</c:v>
                </c:pt>
                <c:pt idx="35">
                  <c:v>1.0393189090908663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422-9D60-14A3FEA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61600"/>
        <c:axId val="413066848"/>
      </c:scatterChart>
      <c:valAx>
        <c:axId val="4130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6848"/>
        <c:crosses val="autoZero"/>
        <c:crossBetween val="midCat"/>
      </c:valAx>
      <c:valAx>
        <c:axId val="413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</a:t>
            </a:r>
            <a:r>
              <a:rPr lang="en-US" baseline="0"/>
              <a:t> </a:t>
            </a:r>
            <a:r>
              <a:rPr lang="en-US"/>
              <a:t>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5'!$G$19:$G$21</c:f>
              <c:numCache>
                <c:formatCode>General</c:formatCode>
                <c:ptCount val="3"/>
                <c:pt idx="0">
                  <c:v>3.9247000000000001</c:v>
                </c:pt>
                <c:pt idx="1">
                  <c:v>20.199000000000002</c:v>
                </c:pt>
                <c:pt idx="2">
                  <c:v>-33.960999999999999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C7C7-4D61-8D98-8A285705236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5'!$G$22:$G$24</c:f>
              <c:numCache>
                <c:formatCode>General</c:formatCode>
                <c:ptCount val="3"/>
                <c:pt idx="0">
                  <c:v>4.5350999999999999</c:v>
                </c:pt>
                <c:pt idx="1">
                  <c:v>4.2127999999999997</c:v>
                </c:pt>
                <c:pt idx="2">
                  <c:v>16.004000000000001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C7C7-4D61-8D98-8A285705236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5'!$G$25:$G$28</c:f>
              <c:numCache>
                <c:formatCode>General</c:formatCode>
                <c:ptCount val="4"/>
                <c:pt idx="0">
                  <c:v>-3.3788</c:v>
                </c:pt>
                <c:pt idx="1">
                  <c:v>-3.4005999999999998</c:v>
                </c:pt>
                <c:pt idx="2">
                  <c:v>-6.0037000000000003</c:v>
                </c:pt>
                <c:pt idx="3">
                  <c:v>-5.0137999999999998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C7C7-4D61-8D98-8A285705236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5'!$G$29:$G$32</c:f>
              <c:numCache>
                <c:formatCode>General</c:formatCode>
                <c:ptCount val="4"/>
                <c:pt idx="0">
                  <c:v>-3.516</c:v>
                </c:pt>
                <c:pt idx="1">
                  <c:v>-3.4969999999999999</c:v>
                </c:pt>
                <c:pt idx="2">
                  <c:v>-7.1764999999999999</c:v>
                </c:pt>
                <c:pt idx="3">
                  <c:v>-2.7593000000000001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C7C7-4D61-8D98-8A285705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-3.1513</c:v>
                      </c:pt>
                      <c:pt idx="1">
                        <c:v>2.0343</c:v>
                      </c:pt>
                      <c:pt idx="2">
                        <c:v>-8.5710999999999995</c:v>
                      </c:pt>
                      <c:pt idx="3">
                        <c:v>-2.2629000000000001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7C7-4D61-8D98-8A285705236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-3.1566000000000001</c:v>
                      </c:pt>
                      <c:pt idx="1">
                        <c:v>-0.62397000000000002</c:v>
                      </c:pt>
                      <c:pt idx="2">
                        <c:v>-16.132999999999999</c:v>
                      </c:pt>
                      <c:pt idx="3">
                        <c:v>-4.7792000000000003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C7-4D61-8D98-8A285705236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5'!$G$11:$G$14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-2.8218999999999999</c:v>
                      </c:pt>
                      <c:pt idx="1">
                        <c:v>-8.1210000000000004E-2</c:v>
                      </c:pt>
                      <c:pt idx="2">
                        <c:v>-5.6303000000000001</c:v>
                      </c:pt>
                      <c:pt idx="3">
                        <c:v>0.61597999999999997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C7-4D61-8D98-8A28570523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5'!$G$15:$G$18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-1.302</c:v>
                      </c:pt>
                      <c:pt idx="1">
                        <c:v>-1.6412</c:v>
                      </c:pt>
                      <c:pt idx="2">
                        <c:v>-4.4446000000000003</c:v>
                      </c:pt>
                      <c:pt idx="3">
                        <c:v>0.76293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C7-4D61-8D98-8A285705236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5'!$M$3:$M$6</c:f>
              <c:numCache>
                <c:formatCode>General</c:formatCode>
                <c:ptCount val="4"/>
                <c:pt idx="0">
                  <c:v>-17.642399999999999</c:v>
                </c:pt>
                <c:pt idx="1">
                  <c:v>-15.379200000000001</c:v>
                </c:pt>
                <c:pt idx="2">
                  <c:v>5.8018799999999997</c:v>
                </c:pt>
                <c:pt idx="3">
                  <c:v>-16.407599999999999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8-4AA1-BFEA-9A1C6B8D03C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5'!$M$7:$M$10</c:f>
              <c:numCache>
                <c:formatCode>General</c:formatCode>
                <c:ptCount val="4"/>
                <c:pt idx="0">
                  <c:v>-17.5776</c:v>
                </c:pt>
                <c:pt idx="1">
                  <c:v>-20.094000000000001</c:v>
                </c:pt>
                <c:pt idx="2">
                  <c:v>55.034399999999998</c:v>
                </c:pt>
                <c:pt idx="3">
                  <c:v>7.6453199999999999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8-4AA1-BFEA-9A1C6B8D03C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5'!$M$11:$M$14</c:f>
              <c:numCache>
                <c:formatCode>General</c:formatCode>
                <c:ptCount val="4"/>
                <c:pt idx="0">
                  <c:v>-22.882252000000001</c:v>
                </c:pt>
                <c:pt idx="1">
                  <c:v>-13.34601</c:v>
                </c:pt>
                <c:pt idx="2">
                  <c:v>0.50613580000000002</c:v>
                </c:pt>
                <c:pt idx="3">
                  <c:v>0.50377139999999998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8-4AA1-BFEA-9A1C6B8D03C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5'!$M$15:$M$18</c:f>
              <c:numCache>
                <c:formatCode>General</c:formatCode>
                <c:ptCount val="4"/>
                <c:pt idx="0">
                  <c:v>-31.261479999999999</c:v>
                </c:pt>
                <c:pt idx="1">
                  <c:v>-23.208898999999999</c:v>
                </c:pt>
                <c:pt idx="2">
                  <c:v>-14.164297999999999</c:v>
                </c:pt>
                <c:pt idx="3">
                  <c:v>-2.8537279999999998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28-4AA1-BFEA-9A1C6B8D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5'!$M$19:$M$21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1.1545380000000001</c:v>
                      </c:pt>
                      <c:pt idx="1">
                        <c:v>-60.50912000000001</c:v>
                      </c:pt>
                      <c:pt idx="2">
                        <c:v>62.158460000000005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728-4AA1-BFEA-9A1C6B8D03C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5'!$M$22:$M$24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20.33794</c:v>
                      </c:pt>
                      <c:pt idx="1">
                        <c:v>10.721200000000001</c:v>
                      </c:pt>
                      <c:pt idx="2">
                        <c:v>-35.618100000000005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28-4AA1-BFEA-9A1C6B8D03C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5'!$M$25:$M$28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-21.436279999999996</c:v>
                      </c:pt>
                      <c:pt idx="1">
                        <c:v>-10.847092</c:v>
                      </c:pt>
                      <c:pt idx="2">
                        <c:v>3.8140737999999996</c:v>
                      </c:pt>
                      <c:pt idx="3">
                        <c:v>6.6601319999999991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28-4AA1-BFEA-9A1C6B8D03C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5'!$M$29:$M$32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-21.369017999999997</c:v>
                      </c:pt>
                      <c:pt idx="1">
                        <c:v>-8.88734</c:v>
                      </c:pt>
                      <c:pt idx="2">
                        <c:v>6.0348739999999994</c:v>
                      </c:pt>
                      <c:pt idx="3">
                        <c:v>-0.28310933999999999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28-4AA1-BFEA-9A1C6B8D03C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5'!$M$19:$M$21</c:f>
              <c:numCache>
                <c:formatCode>General</c:formatCode>
                <c:ptCount val="3"/>
                <c:pt idx="0">
                  <c:v>1.1545380000000001</c:v>
                </c:pt>
                <c:pt idx="1">
                  <c:v>-60.50912000000001</c:v>
                </c:pt>
                <c:pt idx="2">
                  <c:v>62.158460000000005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D2-48E0-8A3A-14E39B307D17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5'!$M$22:$M$24</c:f>
              <c:numCache>
                <c:formatCode>General</c:formatCode>
                <c:ptCount val="3"/>
                <c:pt idx="0">
                  <c:v>20.33794</c:v>
                </c:pt>
                <c:pt idx="1">
                  <c:v>10.721200000000001</c:v>
                </c:pt>
                <c:pt idx="2">
                  <c:v>-35.618100000000005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D2-48E0-8A3A-14E39B307D17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5'!$M$25:$M$28</c:f>
              <c:numCache>
                <c:formatCode>General</c:formatCode>
                <c:ptCount val="4"/>
                <c:pt idx="0">
                  <c:v>-21.436279999999996</c:v>
                </c:pt>
                <c:pt idx="1">
                  <c:v>-10.847092</c:v>
                </c:pt>
                <c:pt idx="2">
                  <c:v>3.8140737999999996</c:v>
                </c:pt>
                <c:pt idx="3">
                  <c:v>6.6601319999999991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D2-48E0-8A3A-14E39B307D17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5'!$M$29:$M$32</c:f>
              <c:numCache>
                <c:formatCode>General</c:formatCode>
                <c:ptCount val="4"/>
                <c:pt idx="0">
                  <c:v>-21.369017999999997</c:v>
                </c:pt>
                <c:pt idx="1">
                  <c:v>-8.88734</c:v>
                </c:pt>
                <c:pt idx="2">
                  <c:v>6.0348739999999994</c:v>
                </c:pt>
                <c:pt idx="3">
                  <c:v>-0.28310933999999999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D2-48E0-8A3A-14E39B30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-17.642399999999999</c:v>
                      </c:pt>
                      <c:pt idx="1">
                        <c:v>-15.379200000000001</c:v>
                      </c:pt>
                      <c:pt idx="2">
                        <c:v>5.8018799999999997</c:v>
                      </c:pt>
                      <c:pt idx="3">
                        <c:v>-16.407599999999999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FD2-48E0-8A3A-14E39B307D1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5'!$M$7:$M$10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-17.5776</c:v>
                      </c:pt>
                      <c:pt idx="1">
                        <c:v>-20.094000000000001</c:v>
                      </c:pt>
                      <c:pt idx="2">
                        <c:v>55.034399999999998</c:v>
                      </c:pt>
                      <c:pt idx="3">
                        <c:v>7.6453199999999999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D2-48E0-8A3A-14E39B307D1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5'!$M$11:$M$14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-22.882252000000001</c:v>
                      </c:pt>
                      <c:pt idx="1">
                        <c:v>-13.34601</c:v>
                      </c:pt>
                      <c:pt idx="2">
                        <c:v>0.50613580000000002</c:v>
                      </c:pt>
                      <c:pt idx="3">
                        <c:v>0.50377139999999998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D2-48E0-8A3A-14E39B307D1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5'!$M$15:$M$18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-31.261479999999999</c:v>
                      </c:pt>
                      <c:pt idx="1">
                        <c:v>-23.208898999999999</c:v>
                      </c:pt>
                      <c:pt idx="2">
                        <c:v>-14.164297999999999</c:v>
                      </c:pt>
                      <c:pt idx="3">
                        <c:v>-2.8537279999999998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D2-48E0-8A3A-14E39B307D17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A2*(1-relative</a:t>
            </a:r>
            <a:r>
              <a:rPr lang="en-US" baseline="0"/>
              <a:t> strain)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5'!$N$3:$N$6</c:f>
              <c:numCache>
                <c:formatCode>General</c:formatCode>
                <c:ptCount val="4"/>
                <c:pt idx="0">
                  <c:v>21.434000000000001</c:v>
                </c:pt>
                <c:pt idx="1">
                  <c:v>13.990399999999996</c:v>
                </c:pt>
                <c:pt idx="2">
                  <c:v>3.3575399999999984</c:v>
                </c:pt>
                <c:pt idx="3">
                  <c:v>19.206400000000016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F-4870-ADC4-1113F1AC9E89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5'!$N$7:$N$10</c:f>
              <c:numCache>
                <c:formatCode>General</c:formatCode>
                <c:ptCount val="4"/>
                <c:pt idx="0">
                  <c:v>21.349</c:v>
                </c:pt>
                <c:pt idx="1">
                  <c:v>21.314399999999996</c:v>
                </c:pt>
                <c:pt idx="2">
                  <c:v>-38.348999999999975</c:v>
                </c:pt>
                <c:pt idx="3">
                  <c:v>-2.4367600000000023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F-4870-ADC4-1113F1AC9E89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5'!$N$11:$N$14</c:f>
              <c:numCache>
                <c:formatCode>General</c:formatCode>
                <c:ptCount val="4"/>
                <c:pt idx="0">
                  <c:v>26.393000000000001</c:v>
                </c:pt>
                <c:pt idx="1">
                  <c:v>14.155487179487181</c:v>
                </c:pt>
                <c:pt idx="2">
                  <c:v>5.8140307692307678</c:v>
                </c:pt>
                <c:pt idx="3">
                  <c:v>-0.5420307692307702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F-4870-ADC4-1113F1AC9E89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5'!$N$15:$N$18</c:f>
              <c:numCache>
                <c:formatCode>General</c:formatCode>
                <c:ptCount val="4"/>
                <c:pt idx="0">
                  <c:v>33.195</c:v>
                </c:pt>
                <c:pt idx="1">
                  <c:v>25.516307692307699</c:v>
                </c:pt>
                <c:pt idx="2">
                  <c:v>19.219076923076919</c:v>
                </c:pt>
                <c:pt idx="3">
                  <c:v>2.5351794871794917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F-4870-ADC4-1113F1AC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5'!$N$19:$N$21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-3.3485</c:v>
                      </c:pt>
                      <c:pt idx="1">
                        <c:v>41.158636363636361</c:v>
                      </c:pt>
                      <c:pt idx="2">
                        <c:v>-27.665454545454519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C6F-4870-ADC4-1113F1AC9E8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5'!$N$22:$N$24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-23.190999999999999</c:v>
                      </c:pt>
                      <c:pt idx="1">
                        <c:v>-14.111590909090907</c:v>
                      </c:pt>
                      <c:pt idx="2">
                        <c:v>20.102727272727254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6F-4870-ADC4-1113F1AC9E8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5'!$N$25:$N$28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27.106000000000002</c:v>
                      </c:pt>
                      <c:pt idx="1">
                        <c:v>16.034454545454558</c:v>
                      </c:pt>
                      <c:pt idx="2">
                        <c:v>3.736804040404043</c:v>
                      </c:pt>
                      <c:pt idx="3">
                        <c:v>-0.54013232323232307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6F-4870-ADC4-1113F1AC9E8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5'!$N$29:$N$32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27.146999999999998</c:v>
                      </c:pt>
                      <c:pt idx="1">
                        <c:v>14.126636363636377</c:v>
                      </c:pt>
                      <c:pt idx="2">
                        <c:v>2.6377656565656582</c:v>
                      </c:pt>
                      <c:pt idx="3">
                        <c:v>4.0784545454545436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6F-4870-ADC4-1113F1AC9E89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A2(1-relativeStrain)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5'!$N$19:$N$21</c:f>
              <c:numCache>
                <c:formatCode>General</c:formatCode>
                <c:ptCount val="3"/>
                <c:pt idx="0">
                  <c:v>-3.3485</c:v>
                </c:pt>
                <c:pt idx="1">
                  <c:v>41.158636363636361</c:v>
                </c:pt>
                <c:pt idx="2">
                  <c:v>-27.665454545454519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0B-49E5-A924-7CAEC9FD5CA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5'!$N$22:$N$24</c:f>
              <c:numCache>
                <c:formatCode>General</c:formatCode>
                <c:ptCount val="3"/>
                <c:pt idx="0">
                  <c:v>-23.190999999999999</c:v>
                </c:pt>
                <c:pt idx="1">
                  <c:v>-14.111590909090907</c:v>
                </c:pt>
                <c:pt idx="2">
                  <c:v>20.102727272727254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0B-49E5-A924-7CAEC9FD5CA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5'!$N$25:$N$28</c:f>
              <c:numCache>
                <c:formatCode>General</c:formatCode>
                <c:ptCount val="4"/>
                <c:pt idx="0">
                  <c:v>27.106000000000002</c:v>
                </c:pt>
                <c:pt idx="1">
                  <c:v>16.034454545454558</c:v>
                </c:pt>
                <c:pt idx="2">
                  <c:v>3.736804040404043</c:v>
                </c:pt>
                <c:pt idx="3">
                  <c:v>-0.54013232323232307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0B-49E5-A924-7CAEC9FD5CA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5'!$N$29:$N$32</c:f>
              <c:numCache>
                <c:formatCode>General</c:formatCode>
                <c:ptCount val="4"/>
                <c:pt idx="0">
                  <c:v>27.146999999999998</c:v>
                </c:pt>
                <c:pt idx="1">
                  <c:v>14.126636363636377</c:v>
                </c:pt>
                <c:pt idx="2">
                  <c:v>2.6377656565656582</c:v>
                </c:pt>
                <c:pt idx="3">
                  <c:v>4.0784545454545436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0B-49E5-A924-7CAEC9FD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5'!$N$3:$N$6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21.434000000000001</c:v>
                      </c:pt>
                      <c:pt idx="1">
                        <c:v>13.990399999999996</c:v>
                      </c:pt>
                      <c:pt idx="2">
                        <c:v>3.3575399999999984</c:v>
                      </c:pt>
                      <c:pt idx="3">
                        <c:v>19.206400000000016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C0B-49E5-A924-7CAEC9FD5CA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5'!$N$7:$N$10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21.349</c:v>
                      </c:pt>
                      <c:pt idx="1">
                        <c:v>21.314399999999996</c:v>
                      </c:pt>
                      <c:pt idx="2">
                        <c:v>-38.348999999999975</c:v>
                      </c:pt>
                      <c:pt idx="3">
                        <c:v>-2.4367600000000023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0B-49E5-A924-7CAEC9FD5CA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5'!$N$11:$N$14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26.393000000000001</c:v>
                      </c:pt>
                      <c:pt idx="1">
                        <c:v>14.155487179487181</c:v>
                      </c:pt>
                      <c:pt idx="2">
                        <c:v>5.8140307692307678</c:v>
                      </c:pt>
                      <c:pt idx="3">
                        <c:v>-0.5420307692307702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0B-49E5-A924-7CAEC9FD5CA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5'!$N$15:$N$18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33.195</c:v>
                      </c:pt>
                      <c:pt idx="1">
                        <c:v>25.516307692307699</c:v>
                      </c:pt>
                      <c:pt idx="2">
                        <c:v>19.219076923076919</c:v>
                      </c:pt>
                      <c:pt idx="3">
                        <c:v>2.5351794871794917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0B-49E5-A924-7CAEC9FD5CA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5'!$O$3:$O$6</c:f>
              <c:numCache>
                <c:formatCode>General</c:formatCode>
                <c:ptCount val="4"/>
                <c:pt idx="0">
                  <c:v>2.0579999999999998</c:v>
                </c:pt>
                <c:pt idx="1">
                  <c:v>0.18719999999999998</c:v>
                </c:pt>
                <c:pt idx="2">
                  <c:v>-4.6188599999999971</c:v>
                </c:pt>
                <c:pt idx="3">
                  <c:v>-0.28486000000000022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C-4BBD-9568-0C582847D24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5'!$O$7:$O$10</c:f>
              <c:numCache>
                <c:formatCode>General</c:formatCode>
                <c:ptCount val="4"/>
                <c:pt idx="0">
                  <c:v>2.7381000000000002</c:v>
                </c:pt>
                <c:pt idx="1">
                  <c:v>0.10777599999999998</c:v>
                </c:pt>
                <c:pt idx="2">
                  <c:v>3.8972399999999978</c:v>
                </c:pt>
                <c:pt idx="3">
                  <c:v>0.34936000000000028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C-4BBD-9568-0C582847D24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5'!$O$11:$O$14</c:f>
              <c:numCache>
                <c:formatCode>General</c:formatCode>
                <c:ptCount val="4"/>
                <c:pt idx="0">
                  <c:v>3.7545999999999999</c:v>
                </c:pt>
                <c:pt idx="1">
                  <c:v>1.5650461538461542</c:v>
                </c:pt>
                <c:pt idx="2">
                  <c:v>3.0055999999999989</c:v>
                </c:pt>
                <c:pt idx="3">
                  <c:v>1.1499897435897457E-2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7C-4BBD-9568-0C582847D24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5'!$O$15:$O$18</c:f>
              <c:numCache>
                <c:formatCode>General</c:formatCode>
                <c:ptCount val="4"/>
                <c:pt idx="0">
                  <c:v>3.0278</c:v>
                </c:pt>
                <c:pt idx="1">
                  <c:v>1.488492307692308</c:v>
                </c:pt>
                <c:pt idx="2">
                  <c:v>0.26263384615384605</c:v>
                </c:pt>
                <c:pt idx="3">
                  <c:v>4.7938461538461624E-2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7C-4BBD-9568-0C582847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5'!$O$19:$O$21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3.8317999999999999</c:v>
                      </c:pt>
                      <c:pt idx="1">
                        <c:v>4.1903181818181814</c:v>
                      </c:pt>
                      <c:pt idx="2">
                        <c:v>4.0494545454545419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27C-4BBD-9568-0C582847D24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5'!$O$22:$O$24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8.6974999999999998</c:v>
                      </c:pt>
                      <c:pt idx="1">
                        <c:v>3.7237499999999994</c:v>
                      </c:pt>
                      <c:pt idx="2">
                        <c:v>-3.7978181818181787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7C-4BBD-9568-0C582847D24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5'!$O$25:$O$28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2.2614999999999998</c:v>
                      </c:pt>
                      <c:pt idx="1">
                        <c:v>1.754645454545456</c:v>
                      </c:pt>
                      <c:pt idx="2">
                        <c:v>0.18056606060606076</c:v>
                      </c:pt>
                      <c:pt idx="3">
                        <c:v>0.60753535353535326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7C-4BBD-9568-0C582847D24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5'!$O$29:$O$32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2.3660000000000001</c:v>
                      </c:pt>
                      <c:pt idx="1">
                        <c:v>1.4119000000000013</c:v>
                      </c:pt>
                      <c:pt idx="2">
                        <c:v>-0.54909898989899031</c:v>
                      </c:pt>
                      <c:pt idx="3">
                        <c:v>7.6984747474747442E-2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7C-4BBD-9568-0C582847D2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5'!$O$19:$O$21</c:f>
              <c:numCache>
                <c:formatCode>General</c:formatCode>
                <c:ptCount val="3"/>
                <c:pt idx="0">
                  <c:v>3.8317999999999999</c:v>
                </c:pt>
                <c:pt idx="1">
                  <c:v>4.1903181818181814</c:v>
                </c:pt>
                <c:pt idx="2">
                  <c:v>4.0494545454545419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42-44F5-8A5A-F65955E12D8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5'!$O$22:$O$24</c:f>
              <c:numCache>
                <c:formatCode>General</c:formatCode>
                <c:ptCount val="3"/>
                <c:pt idx="0">
                  <c:v>8.6974999999999998</c:v>
                </c:pt>
                <c:pt idx="1">
                  <c:v>3.7237499999999994</c:v>
                </c:pt>
                <c:pt idx="2">
                  <c:v>-3.7978181818181787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42-44F5-8A5A-F65955E12D8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5'!$O$25:$O$28</c:f>
              <c:numCache>
                <c:formatCode>General</c:formatCode>
                <c:ptCount val="4"/>
                <c:pt idx="0">
                  <c:v>2.2614999999999998</c:v>
                </c:pt>
                <c:pt idx="1">
                  <c:v>1.754645454545456</c:v>
                </c:pt>
                <c:pt idx="2">
                  <c:v>0.18056606060606076</c:v>
                </c:pt>
                <c:pt idx="3">
                  <c:v>0.60753535353535326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42-44F5-8A5A-F65955E12D8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5'!$O$29:$O$32</c:f>
              <c:numCache>
                <c:formatCode>General</c:formatCode>
                <c:ptCount val="4"/>
                <c:pt idx="0">
                  <c:v>2.3660000000000001</c:v>
                </c:pt>
                <c:pt idx="1">
                  <c:v>1.4119000000000013</c:v>
                </c:pt>
                <c:pt idx="2">
                  <c:v>-0.54909898989899031</c:v>
                </c:pt>
                <c:pt idx="3">
                  <c:v>7.6984747474747442E-2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42-44F5-8A5A-F65955E1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5'!$O$3:$O$6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2.0579999999999998</c:v>
                      </c:pt>
                      <c:pt idx="1">
                        <c:v>0.18719999999999998</c:v>
                      </c:pt>
                      <c:pt idx="2">
                        <c:v>-4.6188599999999971</c:v>
                      </c:pt>
                      <c:pt idx="3">
                        <c:v>-0.28486000000000022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E42-44F5-8A5A-F65955E12D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5'!$O$7:$O$10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2.7381000000000002</c:v>
                      </c:pt>
                      <c:pt idx="1">
                        <c:v>0.10777599999999998</c:v>
                      </c:pt>
                      <c:pt idx="2">
                        <c:v>3.8972399999999978</c:v>
                      </c:pt>
                      <c:pt idx="3">
                        <c:v>0.34936000000000028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42-44F5-8A5A-F65955E12D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5'!$O$11:$O$14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3.7545999999999999</c:v>
                      </c:pt>
                      <c:pt idx="1">
                        <c:v>1.5650461538461542</c:v>
                      </c:pt>
                      <c:pt idx="2">
                        <c:v>3.0055999999999989</c:v>
                      </c:pt>
                      <c:pt idx="3">
                        <c:v>1.1499897435897457E-2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42-44F5-8A5A-F65955E12D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5'!$O$15:$O$18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3.0278</c:v>
                      </c:pt>
                      <c:pt idx="1">
                        <c:v>1.488492307692308</c:v>
                      </c:pt>
                      <c:pt idx="2">
                        <c:v>0.26263384615384605</c:v>
                      </c:pt>
                      <c:pt idx="3">
                        <c:v>4.7938461538461624E-2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42-44F5-8A5A-F65955E12D8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5'!$P$3:$P$6</c:f>
              <c:numCache>
                <c:formatCode>General</c:formatCode>
                <c:ptCount val="4"/>
                <c:pt idx="0">
                  <c:v>-39.674399999999999</c:v>
                </c:pt>
                <c:pt idx="1">
                  <c:v>-98.691599999999994</c:v>
                </c:pt>
                <c:pt idx="2">
                  <c:v>-169.12799999999999</c:v>
                </c:pt>
                <c:pt idx="3">
                  <c:v>-217.36799999999999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F-4DD6-B557-70CDEC55A55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5'!$P$7:$P$10</c:f>
              <c:numCache>
                <c:formatCode>General</c:formatCode>
                <c:ptCount val="4"/>
                <c:pt idx="0">
                  <c:v>-36.786000000000001</c:v>
                </c:pt>
                <c:pt idx="1">
                  <c:v>-78.985199999999992</c:v>
                </c:pt>
                <c:pt idx="2">
                  <c:v>-157.27199999999999</c:v>
                </c:pt>
                <c:pt idx="3">
                  <c:v>-123.58799999999999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DF-4DD6-B557-70CDEC55A55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5'!$P$11:$P$14</c:f>
              <c:numCache>
                <c:formatCode>General</c:formatCode>
                <c:ptCount val="4"/>
                <c:pt idx="0">
                  <c:v>-25.249735999999999</c:v>
                </c:pt>
                <c:pt idx="1">
                  <c:v>-168.39153999999999</c:v>
                </c:pt>
                <c:pt idx="2">
                  <c:v>-252.76721000000001</c:v>
                </c:pt>
                <c:pt idx="3">
                  <c:v>-248.14121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DF-4DD6-B557-70CDEC55A55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5'!$P$15:$P$18</c:f>
              <c:numCache>
                <c:formatCode>General</c:formatCode>
                <c:ptCount val="4"/>
                <c:pt idx="0">
                  <c:v>-6.7858279999999995</c:v>
                </c:pt>
                <c:pt idx="1">
                  <c:v>-137.25599</c:v>
                </c:pt>
                <c:pt idx="2">
                  <c:v>-166.88808999999998</c:v>
                </c:pt>
                <c:pt idx="3">
                  <c:v>-178.82317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F-4DD6-B557-70CDEC55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5'!$P$19:$P$21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-54.919200000000004</c:v>
                      </c:pt>
                      <c:pt idx="1">
                        <c:v>-220.15700000000001</c:v>
                      </c:pt>
                      <c:pt idx="2">
                        <c:v>-387.09020000000004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CDF-4DD6-B557-70CDEC55A5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5'!$P$22:$P$24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-91.971040000000002</c:v>
                      </c:pt>
                      <c:pt idx="1">
                        <c:v>-178.74220000000003</c:v>
                      </c:pt>
                      <c:pt idx="2">
                        <c:v>-100.303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DF-4DD6-B557-70CDEC55A55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5'!$P$25:$P$28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-143.64218</c:v>
                      </c:pt>
                      <c:pt idx="1">
                        <c:v>-346.90873999999997</c:v>
                      </c:pt>
                      <c:pt idx="2">
                        <c:v>-303.60235999999998</c:v>
                      </c:pt>
                      <c:pt idx="3">
                        <c:v>-296.82043999999996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DF-4DD6-B557-70CDEC55A5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5'!$P$29:$P$32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-129.82361999999998</c:v>
                      </c:pt>
                      <c:pt idx="1">
                        <c:v>-311.30763999999994</c:v>
                      </c:pt>
                      <c:pt idx="2">
                        <c:v>-269.03605999999996</c:v>
                      </c:pt>
                      <c:pt idx="3">
                        <c:v>-285.77593999999999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DF-4DD6-B557-70CDEC55A55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5'!$P$19:$P$21</c:f>
              <c:numCache>
                <c:formatCode>General</c:formatCode>
                <c:ptCount val="3"/>
                <c:pt idx="0">
                  <c:v>-54.919200000000004</c:v>
                </c:pt>
                <c:pt idx="1">
                  <c:v>-220.15700000000001</c:v>
                </c:pt>
                <c:pt idx="2">
                  <c:v>-387.09020000000004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A6-46AC-A7E6-D335C4DC1FFE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5'!$P$22:$P$24</c:f>
              <c:numCache>
                <c:formatCode>General</c:formatCode>
                <c:ptCount val="3"/>
                <c:pt idx="0">
                  <c:v>-91.971040000000002</c:v>
                </c:pt>
                <c:pt idx="1">
                  <c:v>-178.74220000000003</c:v>
                </c:pt>
                <c:pt idx="2">
                  <c:v>-100.303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A6-46AC-A7E6-D335C4DC1FFE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5'!$P$25:$P$28</c:f>
              <c:numCache>
                <c:formatCode>General</c:formatCode>
                <c:ptCount val="4"/>
                <c:pt idx="0">
                  <c:v>-143.64218</c:v>
                </c:pt>
                <c:pt idx="1">
                  <c:v>-346.90873999999997</c:v>
                </c:pt>
                <c:pt idx="2">
                  <c:v>-303.60235999999998</c:v>
                </c:pt>
                <c:pt idx="3">
                  <c:v>-296.82043999999996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A6-46AC-A7E6-D335C4DC1FFE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5'!$P$29:$P$32</c:f>
              <c:numCache>
                <c:formatCode>General</c:formatCode>
                <c:ptCount val="4"/>
                <c:pt idx="0">
                  <c:v>-129.82361999999998</c:v>
                </c:pt>
                <c:pt idx="1">
                  <c:v>-311.30763999999994</c:v>
                </c:pt>
                <c:pt idx="2">
                  <c:v>-269.03605999999996</c:v>
                </c:pt>
                <c:pt idx="3">
                  <c:v>-285.77593999999999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A6-46AC-A7E6-D335C4DC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5'!$P$3:$P$6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-39.674399999999999</c:v>
                      </c:pt>
                      <c:pt idx="1">
                        <c:v>-98.691599999999994</c:v>
                      </c:pt>
                      <c:pt idx="2">
                        <c:v>-169.12799999999999</c:v>
                      </c:pt>
                      <c:pt idx="3">
                        <c:v>-217.36799999999999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7A6-46AC-A7E6-D335C4DC1F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5'!$P$7:$P$10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-36.786000000000001</c:v>
                      </c:pt>
                      <c:pt idx="1">
                        <c:v>-78.985199999999992</c:v>
                      </c:pt>
                      <c:pt idx="2">
                        <c:v>-157.27199999999999</c:v>
                      </c:pt>
                      <c:pt idx="3">
                        <c:v>-123.58799999999999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A6-46AC-A7E6-D335C4DC1F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5'!$P$11:$P$14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-25.249735999999999</c:v>
                      </c:pt>
                      <c:pt idx="1">
                        <c:v>-168.39153999999999</c:v>
                      </c:pt>
                      <c:pt idx="2">
                        <c:v>-252.76721000000001</c:v>
                      </c:pt>
                      <c:pt idx="3">
                        <c:v>-248.14121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A6-46AC-A7E6-D335C4DC1F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5'!$P$15:$P$18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-6.7858279999999995</c:v>
                      </c:pt>
                      <c:pt idx="1">
                        <c:v>-137.25599</c:v>
                      </c:pt>
                      <c:pt idx="2">
                        <c:v>-166.88808999999998</c:v>
                      </c:pt>
                      <c:pt idx="3">
                        <c:v>-178.82317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A6-46AC-A7E6-D335C4DC1FF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5'!$Q$3:$Q$6</c:f>
              <c:numCache>
                <c:formatCode>General</c:formatCode>
                <c:ptCount val="4"/>
                <c:pt idx="0">
                  <c:v>0.64030000000000342</c:v>
                </c:pt>
                <c:pt idx="1">
                  <c:v>0.64549999999999486</c:v>
                </c:pt>
                <c:pt idx="2">
                  <c:v>0.58831999999999862</c:v>
                </c:pt>
                <c:pt idx="3">
                  <c:v>0.53590000000001936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5-4665-AD31-5AF555709B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5'!$Q$7:$Q$10</c:f>
              <c:numCache>
                <c:formatCode>General</c:formatCode>
                <c:ptCount val="4"/>
                <c:pt idx="0">
                  <c:v>0.6147999999999989</c:v>
                </c:pt>
                <c:pt idx="1">
                  <c:v>0.59642999999999446</c:v>
                </c:pt>
                <c:pt idx="2">
                  <c:v>0.55240000000001999</c:v>
                </c:pt>
                <c:pt idx="3">
                  <c:v>0.4293599999999973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B5-4665-AD31-5AF555709B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5'!$Q$11:$Q$14</c:f>
              <c:numCache>
                <c:formatCode>General</c:formatCode>
                <c:ptCount val="4"/>
                <c:pt idx="0">
                  <c:v>0.68884800000000013</c:v>
                </c:pt>
                <c:pt idx="1">
                  <c:v>0.72826717948718134</c:v>
                </c:pt>
                <c:pt idx="2">
                  <c:v>0.68986656923076772</c:v>
                </c:pt>
                <c:pt idx="3">
                  <c:v>0.57772063076922975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B5-4665-AD31-5AF555709B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5'!$Q$15:$Q$18</c:f>
              <c:numCache>
                <c:formatCode>General</c:formatCode>
                <c:ptCount val="4"/>
                <c:pt idx="0">
                  <c:v>0.63152000000000186</c:v>
                </c:pt>
                <c:pt idx="1">
                  <c:v>0.66620869230769841</c:v>
                </c:pt>
                <c:pt idx="2">
                  <c:v>0.61017892307691923</c:v>
                </c:pt>
                <c:pt idx="3">
                  <c:v>0.44438148717949177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B5-4665-AD31-5AF55570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5'!$Q$19:$Q$21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1.7307380000000001</c:v>
                      </c:pt>
                      <c:pt idx="1">
                        <c:v>0.84851636363634952</c:v>
                      </c:pt>
                      <c:pt idx="2">
                        <c:v>0.53200545454548731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7B5-4665-AD31-5AF555709B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5'!$Q$22:$Q$24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1.6820400000000006</c:v>
                      </c:pt>
                      <c:pt idx="1">
                        <c:v>0.82240909090909398</c:v>
                      </c:pt>
                      <c:pt idx="2">
                        <c:v>0.48862727272724982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B5-4665-AD31-5AF555709B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5'!$Q$25:$Q$28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2.290920000000007</c:v>
                      </c:pt>
                      <c:pt idx="1">
                        <c:v>1.7867625454545575</c:v>
                      </c:pt>
                      <c:pt idx="2">
                        <c:v>1.5471778404040424</c:v>
                      </c:pt>
                      <c:pt idx="3">
                        <c:v>1.1061996767676763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5-4665-AD31-5AF555709B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5'!$Q$29:$Q$32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2.2619820000000033</c:v>
                      </c:pt>
                      <c:pt idx="1">
                        <c:v>1.7422963636363775</c:v>
                      </c:pt>
                      <c:pt idx="2">
                        <c:v>1.4961396565656577</c:v>
                      </c:pt>
                      <c:pt idx="3">
                        <c:v>1.0360452054545437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B5-4665-AD31-5AF555709B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  <a:r>
              <a:rPr lang="en-US" baseline="0"/>
              <a:t> (DP)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Model2!$S$5:$S$40</c:f>
              <c:numCache>
                <c:formatCode>General</c:formatCode>
                <c:ptCount val="36"/>
                <c:pt idx="0">
                  <c:v>-52.013579999999997</c:v>
                </c:pt>
                <c:pt idx="1">
                  <c:v>-106.24302999999999</c:v>
                </c:pt>
                <c:pt idx="2">
                  <c:v>-165.6592</c:v>
                </c:pt>
                <c:pt idx="3">
                  <c:v>-161.69962000000001</c:v>
                </c:pt>
                <c:pt idx="4">
                  <c:v>-48.645300000000006</c:v>
                </c:pt>
                <c:pt idx="5">
                  <c:v>-222.54314285714287</c:v>
                </c:pt>
                <c:pt idx="6">
                  <c:v>-223.63285714285718</c:v>
                </c:pt>
                <c:pt idx="7">
                  <c:v>-27.23592</c:v>
                </c:pt>
                <c:pt idx="8">
                  <c:v>-155.06719230769232</c:v>
                </c:pt>
                <c:pt idx="9">
                  <c:v>-190.53084615384614</c:v>
                </c:pt>
                <c:pt idx="10">
                  <c:v>-209.83875128205133</c:v>
                </c:pt>
                <c:pt idx="11">
                  <c:v>-10.651899999999999</c:v>
                </c:pt>
                <c:pt idx="12">
                  <c:v>-188.31193913043475</c:v>
                </c:pt>
                <c:pt idx="13">
                  <c:v>-211.95234782608694</c:v>
                </c:pt>
                <c:pt idx="14">
                  <c:v>38.256291304347819</c:v>
                </c:pt>
                <c:pt idx="15">
                  <c:v>-25.816199999999998</c:v>
                </c:pt>
                <c:pt idx="16">
                  <c:v>-194.63417804878048</c:v>
                </c:pt>
                <c:pt idx="17">
                  <c:v>-232.30050975609757</c:v>
                </c:pt>
                <c:pt idx="18">
                  <c:v>-235.24790170731706</c:v>
                </c:pt>
                <c:pt idx="19">
                  <c:v>-117.831</c:v>
                </c:pt>
                <c:pt idx="20">
                  <c:v>-236.09808181818184</c:v>
                </c:pt>
                <c:pt idx="21">
                  <c:v>-225.12517454545454</c:v>
                </c:pt>
                <c:pt idx="22">
                  <c:v>-78.973199999999991</c:v>
                </c:pt>
                <c:pt idx="23">
                  <c:v>-224.07279310344828</c:v>
                </c:pt>
                <c:pt idx="24">
                  <c:v>-225.25513793103448</c:v>
                </c:pt>
                <c:pt idx="25">
                  <c:v>-181.01300000000001</c:v>
                </c:pt>
                <c:pt idx="26">
                  <c:v>-262.89061818181824</c:v>
                </c:pt>
                <c:pt idx="27">
                  <c:v>-273.4104636363636</c:v>
                </c:pt>
                <c:pt idx="28">
                  <c:v>-132.66689999999997</c:v>
                </c:pt>
                <c:pt idx="29">
                  <c:v>-269.93770000000001</c:v>
                </c:pt>
                <c:pt idx="30">
                  <c:v>-290.98262686567165</c:v>
                </c:pt>
                <c:pt idx="31">
                  <c:v>-304.34298895522386</c:v>
                </c:pt>
                <c:pt idx="32">
                  <c:v>-153.31649999999999</c:v>
                </c:pt>
                <c:pt idx="33">
                  <c:v>-318.90448818181824</c:v>
                </c:pt>
                <c:pt idx="34">
                  <c:v>-319.39392424242425</c:v>
                </c:pt>
                <c:pt idx="35">
                  <c:v>-321.18355454545451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5E6-AB36-DA6B17D1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1200"/>
        <c:axId val="536279560"/>
      </c:scatterChart>
      <c:valAx>
        <c:axId val="53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560"/>
        <c:crosses val="autoZero"/>
        <c:crossBetween val="midCat"/>
      </c:valAx>
      <c:valAx>
        <c:axId val="5362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5'!$R$3:$R$6</c:f>
              <c:numCache>
                <c:formatCode>General</c:formatCode>
                <c:ptCount val="4"/>
                <c:pt idx="0">
                  <c:v>-59.043399999999998</c:v>
                </c:pt>
                <c:pt idx="1">
                  <c:v>-130.73039999999997</c:v>
                </c:pt>
                <c:pt idx="2">
                  <c:v>-194.79785999999996</c:v>
                </c:pt>
                <c:pt idx="3">
                  <c:v>-231.37085999999999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0-49A3-B718-C9BF99C203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5'!$R$7:$R$10</c:f>
              <c:numCache>
                <c:formatCode>General</c:formatCode>
                <c:ptCount val="4"/>
                <c:pt idx="0">
                  <c:v>-52.0139</c:v>
                </c:pt>
                <c:pt idx="1">
                  <c:v>-106.24542399999999</c:v>
                </c:pt>
                <c:pt idx="2">
                  <c:v>-165.66275999999999</c:v>
                </c:pt>
                <c:pt idx="3">
                  <c:v>-161.69164000000001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0-49A3-B718-C9BF99C203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5'!$R$11:$R$14</c:f>
              <c:numCache>
                <c:formatCode>General</c:formatCode>
                <c:ptCount val="4"/>
                <c:pt idx="0">
                  <c:v>-46.625135999999998</c:v>
                </c:pt>
                <c:pt idx="1">
                  <c:v>-196.27349384615383</c:v>
                </c:pt>
                <c:pt idx="2">
                  <c:v>-244.33461000000003</c:v>
                </c:pt>
                <c:pt idx="3">
                  <c:v>-298.52971010256408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0-49A3-B718-C9BF99C203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5'!$R$15:$R$18</c:f>
              <c:numCache>
                <c:formatCode>General</c:formatCode>
                <c:ptCount val="4"/>
                <c:pt idx="0">
                  <c:v>-27.236028000000001</c:v>
                </c:pt>
                <c:pt idx="1">
                  <c:v>-155.0704976923077</c:v>
                </c:pt>
                <c:pt idx="2">
                  <c:v>-190.53545615384613</c:v>
                </c:pt>
                <c:pt idx="3">
                  <c:v>-209.84023153846155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00-49A3-B718-C9BF99C2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5'!$R$19:$R$21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-120.1724</c:v>
                      </c:pt>
                      <c:pt idx="1">
                        <c:v>-254.99468181818182</c:v>
                      </c:pt>
                      <c:pt idx="2">
                        <c:v>-255.97074545454552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B00-49A3-B718-C9BF99C203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5'!$R$22:$R$24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-117.83054</c:v>
                      </c:pt>
                      <c:pt idx="1">
                        <c:v>-236.10145000000003</c:v>
                      </c:pt>
                      <c:pt idx="2">
                        <c:v>-225.13081818181817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00-49A3-B718-C9BF99C203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5'!$R$25:$R$28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-162.54467999999997</c:v>
                      </c:pt>
                      <c:pt idx="1">
                        <c:v>-340.65269454545449</c:v>
                      </c:pt>
                      <c:pt idx="2">
                        <c:v>-344.22979393939391</c:v>
                      </c:pt>
                      <c:pt idx="3">
                        <c:v>-355.29590464646458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00-49A3-B718-C9BF99C203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5'!$R$29:$R$32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-153.31561999999997</c:v>
                      </c:pt>
                      <c:pt idx="1">
                        <c:v>-318.90693999999991</c:v>
                      </c:pt>
                      <c:pt idx="2">
                        <c:v>-319.39215898989897</c:v>
                      </c:pt>
                      <c:pt idx="3">
                        <c:v>-321.19195525252525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00-49A3-B718-C9BF99C203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5'!$Q$19:$Q$21</c:f>
              <c:numCache>
                <c:formatCode>General</c:formatCode>
                <c:ptCount val="3"/>
                <c:pt idx="0">
                  <c:v>1.7307380000000001</c:v>
                </c:pt>
                <c:pt idx="1">
                  <c:v>0.84851636363634952</c:v>
                </c:pt>
                <c:pt idx="2">
                  <c:v>0.53200545454548731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EB-4A4A-8290-A7E21281C48B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5'!$Q$22:$Q$24</c:f>
              <c:numCache>
                <c:formatCode>General</c:formatCode>
                <c:ptCount val="3"/>
                <c:pt idx="0">
                  <c:v>1.6820400000000006</c:v>
                </c:pt>
                <c:pt idx="1">
                  <c:v>0.82240909090909398</c:v>
                </c:pt>
                <c:pt idx="2">
                  <c:v>0.48862727272724982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EB-4A4A-8290-A7E21281C48B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5'!$Q$25:$Q$28</c:f>
              <c:numCache>
                <c:formatCode>General</c:formatCode>
                <c:ptCount val="4"/>
                <c:pt idx="0">
                  <c:v>2.290920000000007</c:v>
                </c:pt>
                <c:pt idx="1">
                  <c:v>1.7867625454545575</c:v>
                </c:pt>
                <c:pt idx="2">
                  <c:v>1.5471778404040424</c:v>
                </c:pt>
                <c:pt idx="3">
                  <c:v>1.1061996767676763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EB-4A4A-8290-A7E21281C48B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5'!$Q$29:$Q$32</c:f>
              <c:numCache>
                <c:formatCode>General</c:formatCode>
                <c:ptCount val="4"/>
                <c:pt idx="0">
                  <c:v>2.2619820000000033</c:v>
                </c:pt>
                <c:pt idx="1">
                  <c:v>1.7422963636363775</c:v>
                </c:pt>
                <c:pt idx="2">
                  <c:v>1.4961396565656577</c:v>
                </c:pt>
                <c:pt idx="3">
                  <c:v>1.0360452054545437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EB-4A4A-8290-A7E21281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5'!$Q$3:$Q$6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0.64030000000000342</c:v>
                      </c:pt>
                      <c:pt idx="1">
                        <c:v>0.64549999999999486</c:v>
                      </c:pt>
                      <c:pt idx="2">
                        <c:v>0.58831999999999862</c:v>
                      </c:pt>
                      <c:pt idx="3">
                        <c:v>0.53590000000001936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DEB-4A4A-8290-A7E21281C48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5'!$Q$7:$Q$10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0.6147999999999989</c:v>
                      </c:pt>
                      <c:pt idx="1">
                        <c:v>0.59642999999999446</c:v>
                      </c:pt>
                      <c:pt idx="2">
                        <c:v>0.55240000000001999</c:v>
                      </c:pt>
                      <c:pt idx="3">
                        <c:v>0.4293599999999973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EB-4A4A-8290-A7E21281C48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5'!$Q$11:$Q$14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0.68884800000000013</c:v>
                      </c:pt>
                      <c:pt idx="1">
                        <c:v>0.72826717948718134</c:v>
                      </c:pt>
                      <c:pt idx="2">
                        <c:v>0.68986656923076772</c:v>
                      </c:pt>
                      <c:pt idx="3">
                        <c:v>0.57772063076922975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EB-4A4A-8290-A7E21281C48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5'!$Q$15:$Q$18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0.63152000000000186</c:v>
                      </c:pt>
                      <c:pt idx="1">
                        <c:v>0.66620869230769841</c:v>
                      </c:pt>
                      <c:pt idx="2">
                        <c:v>0.61017892307691923</c:v>
                      </c:pt>
                      <c:pt idx="3">
                        <c:v>0.44438148717949177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EB-4A4A-8290-A7E21281C48B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5'!$R$19:$R$21</c:f>
              <c:numCache>
                <c:formatCode>General</c:formatCode>
                <c:ptCount val="3"/>
                <c:pt idx="0">
                  <c:v>-120.1724</c:v>
                </c:pt>
                <c:pt idx="1">
                  <c:v>-254.99468181818182</c:v>
                </c:pt>
                <c:pt idx="2">
                  <c:v>-255.97074545454552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06-43E0-B79B-3F4E562A774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5'!$R$22:$R$24</c:f>
              <c:numCache>
                <c:formatCode>General</c:formatCode>
                <c:ptCount val="3"/>
                <c:pt idx="0">
                  <c:v>-117.83054</c:v>
                </c:pt>
                <c:pt idx="1">
                  <c:v>-236.10145000000003</c:v>
                </c:pt>
                <c:pt idx="2">
                  <c:v>-225.13081818181817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06-43E0-B79B-3F4E562A774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5'!$R$25:$R$28</c:f>
              <c:numCache>
                <c:formatCode>General</c:formatCode>
                <c:ptCount val="4"/>
                <c:pt idx="0">
                  <c:v>-162.54467999999997</c:v>
                </c:pt>
                <c:pt idx="1">
                  <c:v>-340.65269454545449</c:v>
                </c:pt>
                <c:pt idx="2">
                  <c:v>-344.22979393939391</c:v>
                </c:pt>
                <c:pt idx="3">
                  <c:v>-355.29590464646458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06-43E0-B79B-3F4E562A774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5'!$R$29:$R$32</c:f>
              <c:numCache>
                <c:formatCode>General</c:formatCode>
                <c:ptCount val="4"/>
                <c:pt idx="0">
                  <c:v>-153.31561999999997</c:v>
                </c:pt>
                <c:pt idx="1">
                  <c:v>-318.90693999999991</c:v>
                </c:pt>
                <c:pt idx="2">
                  <c:v>-319.39215898989897</c:v>
                </c:pt>
                <c:pt idx="3">
                  <c:v>-321.19195525252525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06-43E0-B79B-3F4E562A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5'!$R$3:$R$6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-59.043399999999998</c:v>
                      </c:pt>
                      <c:pt idx="1">
                        <c:v>-130.73039999999997</c:v>
                      </c:pt>
                      <c:pt idx="2">
                        <c:v>-194.79785999999996</c:v>
                      </c:pt>
                      <c:pt idx="3">
                        <c:v>-231.37085999999999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F06-43E0-B79B-3F4E562A774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5'!$R$7:$R$10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-52.0139</c:v>
                      </c:pt>
                      <c:pt idx="1">
                        <c:v>-106.24542399999999</c:v>
                      </c:pt>
                      <c:pt idx="2">
                        <c:v>-165.66275999999999</c:v>
                      </c:pt>
                      <c:pt idx="3">
                        <c:v>-161.69164000000001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06-43E0-B79B-3F4E562A77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5'!$R$11:$R$14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-46.625135999999998</c:v>
                      </c:pt>
                      <c:pt idx="1">
                        <c:v>-196.27349384615383</c:v>
                      </c:pt>
                      <c:pt idx="2">
                        <c:v>-244.33461000000003</c:v>
                      </c:pt>
                      <c:pt idx="3">
                        <c:v>-298.52971010256408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06-43E0-B79B-3F4E562A774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5'!$R$15:$R$18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-27.236028000000001</c:v>
                      </c:pt>
                      <c:pt idx="1">
                        <c:v>-155.0704976923077</c:v>
                      </c:pt>
                      <c:pt idx="2">
                        <c:v>-190.53545615384613</c:v>
                      </c:pt>
                      <c:pt idx="3">
                        <c:v>-209.84023153846155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06-43E0-B79B-3F4E562A77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6'!$M$3,'Model 6'!$M$11,'Model 6'!$M$17)</c:f>
              <c:numCache>
                <c:formatCode>General</c:formatCode>
                <c:ptCount val="3"/>
                <c:pt idx="0">
                  <c:v>0.64123999999999803</c:v>
                </c:pt>
                <c:pt idx="1">
                  <c:v>0.69859399999999994</c:v>
                </c:pt>
                <c:pt idx="2">
                  <c:v>0.68930499999999995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2-4519-ADC2-EAC753B1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6'!$N$3,'Model 6'!$N$11,'Model 6'!$N$17)</c:f>
              <c:numCache>
                <c:formatCode>General</c:formatCode>
                <c:ptCount val="3"/>
                <c:pt idx="0">
                  <c:v>-59.043399999999998</c:v>
                </c:pt>
                <c:pt idx="1">
                  <c:v>-58.102699999999999</c:v>
                </c:pt>
                <c:pt idx="2">
                  <c:v>-46.626239999999996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9-44C9-B1C1-892981F1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D-45B2-B29A-AA309774BED0}"/>
            </c:ext>
          </c:extLst>
        </c:ser>
        <c:ser>
          <c:idx val="1"/>
          <c:order val="1"/>
          <c:tx>
            <c:v>10mm: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6'!$H$3,'Model 6'!$H$11,'Model 6'!$H$17)</c:f>
              <c:numCache>
                <c:formatCode>General</c:formatCode>
                <c:ptCount val="3"/>
                <c:pt idx="0">
                  <c:v>-0.91998000000000002</c:v>
                </c:pt>
                <c:pt idx="1">
                  <c:v>-6.8473000000000006E-2</c:v>
                </c:pt>
                <c:pt idx="2">
                  <c:v>-2.9350000000000001E-2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7D-45B2-B29A-AA309774BED0}"/>
            </c:ext>
          </c:extLst>
        </c:ser>
        <c:ser>
          <c:idx val="2"/>
          <c:order val="2"/>
          <c:tx>
            <c:v>10mm: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6'!$I$3,'Model 6'!$I$11,'Model 6'!$I$17)</c:f>
              <c:numCache>
                <c:formatCode>General</c:formatCode>
                <c:ptCount val="3"/>
                <c:pt idx="0">
                  <c:v>-5.8502000000000001</c:v>
                </c:pt>
                <c:pt idx="1">
                  <c:v>-2.8546</c:v>
                </c:pt>
                <c:pt idx="2">
                  <c:v>-2.0162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7D-45B2-B29A-AA309774BED0}"/>
            </c:ext>
          </c:extLst>
        </c:ser>
        <c:ser>
          <c:idx val="3"/>
          <c:order val="3"/>
          <c:tx>
            <c:v>10mm: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7D-45B2-B29A-AA309774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0-4C24-A4D7-EA82AEF9CCC5}"/>
            </c:ext>
          </c:extLst>
        </c:ser>
        <c:ser>
          <c:idx val="1"/>
          <c:order val="1"/>
          <c:tx>
            <c:v>10mm: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50-4C24-A4D7-EA82AEF9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6'!$M$25,'Model 6'!$M$31,'Model 6'!$M$37)</c:f>
              <c:numCache>
                <c:formatCode>General</c:formatCode>
                <c:ptCount val="3"/>
                <c:pt idx="0">
                  <c:v>1.7307439999999996</c:v>
                </c:pt>
                <c:pt idx="1">
                  <c:v>2.1844792499999999</c:v>
                </c:pt>
                <c:pt idx="2">
                  <c:v>2.2906378000000003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3-47ED-8202-7BA3C5127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6'!$N$25,'Model 6'!$N$31,'Model 6'!$N$37)</c:f>
              <c:numCache>
                <c:formatCode>General</c:formatCode>
                <c:ptCount val="3"/>
                <c:pt idx="0">
                  <c:v>-120.17500000000003</c:v>
                </c:pt>
                <c:pt idx="1">
                  <c:v>-193.11405000000002</c:v>
                </c:pt>
                <c:pt idx="2">
                  <c:v>-162.54411999999999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D-4BD8-8111-9482C362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129-9A7C-85E6E8270113}"/>
            </c:ext>
          </c:extLst>
        </c:ser>
        <c:ser>
          <c:idx val="1"/>
          <c:order val="1"/>
          <c:tx>
            <c:v>20mm: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6'!$H$25,'Model 6'!$H$31,'Model 6'!$H$37)</c:f>
              <c:numCache>
                <c:formatCode>General</c:formatCode>
                <c:ptCount val="3"/>
                <c:pt idx="0">
                  <c:v>0.57877999999999996</c:v>
                </c:pt>
                <c:pt idx="1">
                  <c:v>-5.8586999999999997E-3</c:v>
                </c:pt>
                <c:pt idx="2">
                  <c:v>-6.2989000000000003E-2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A-4129-9A7C-85E6E8270113}"/>
            </c:ext>
          </c:extLst>
        </c:ser>
        <c:ser>
          <c:idx val="2"/>
          <c:order val="2"/>
          <c:tx>
            <c:v>20mm: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6'!$I$25,'Model 6'!$I$31,'Model 6'!$I$37)</c:f>
              <c:numCache>
                <c:formatCode>General</c:formatCode>
                <c:ptCount val="3"/>
                <c:pt idx="0">
                  <c:v>-13.4</c:v>
                </c:pt>
                <c:pt idx="1">
                  <c:v>-8.8831000000000007</c:v>
                </c:pt>
                <c:pt idx="2">
                  <c:v>-4.3029000000000002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BA-4129-9A7C-85E6E8270113}"/>
            </c:ext>
          </c:extLst>
        </c:ser>
        <c:ser>
          <c:idx val="3"/>
          <c:order val="3"/>
          <c:tx>
            <c:v>20mm: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BA-4129-9A7C-85E6E827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4 - 10mm13cm'!$M$5:$M$8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0.64499999999997826</c:v>
                </c:pt>
                <c:pt idx="2">
                  <c:v>0.58899999999998087</c:v>
                </c:pt>
                <c:pt idx="3">
                  <c:v>0.53600000000002979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D-4D89-8969-AB6744310140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4 - 10mm13cm'!$R$5:$R$8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0.59799999999997766</c:v>
                </c:pt>
                <c:pt idx="2">
                  <c:v>0.55319999999998792</c:v>
                </c:pt>
                <c:pt idx="3">
                  <c:v>0.42900000000002336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D-4D89-8969-AB674431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E-4DA4-A610-3E44CDC866C3}"/>
            </c:ext>
          </c:extLst>
        </c:ser>
        <c:ser>
          <c:idx val="1"/>
          <c:order val="1"/>
          <c:tx>
            <c:v>20mm: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E-4DA4-A610-3E44CDC8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1-4F1B-A359-1A902BF8519A}"/>
            </c:ext>
          </c:extLst>
        </c:ser>
        <c:ser>
          <c:idx val="1"/>
          <c:order val="1"/>
          <c:tx>
            <c:v>10mm: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6'!$B$12,'Model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1-4F1B-A359-1A902BF8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1-4DBC-B1D7-58EC097CD9BE}"/>
            </c:ext>
          </c:extLst>
        </c:ser>
        <c:ser>
          <c:idx val="1"/>
          <c:order val="1"/>
          <c:tx>
            <c:v>20mm: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1-4DBC-B1D7-58EC097C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9-4C73-94AE-8C2519ED7186}"/>
            </c:ext>
          </c:extLst>
        </c:ser>
        <c:ser>
          <c:idx val="1"/>
          <c:order val="1"/>
          <c:tx>
            <c:v>10mm: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9-4C73-94AE-8C2519ED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C-4765-A1CE-069310E34568}"/>
            </c:ext>
          </c:extLst>
        </c:ser>
        <c:ser>
          <c:idx val="1"/>
          <c:order val="1"/>
          <c:tx>
            <c:v>20mm: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3C-4765-A1CE-069310E3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b0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Pressure'!$G$3,'Model7- Pressure'!$G$11,'Model7- Pressure'!$G$17,'Model7- Pressure'!$G$25)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-58.102400000000003</c:v>
                </c:pt>
                <c:pt idx="2">
                  <c:v>-46.625100000000003</c:v>
                </c:pt>
                <c:pt idx="3">
                  <c:v>-38.988900000000001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6-4D7C-9217-6637C5932C5B}"/>
            </c:ext>
          </c:extLst>
        </c:ser>
        <c:ser>
          <c:idx val="1"/>
          <c:order val="1"/>
          <c:tx>
            <c:v>10mm: bo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Pressure'!$G$7,'Model7- Pressure'!$G$14,'Model7- Pressure'!$G$21,'Model7- Pressure'!$G$29)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-48.6449</c:v>
                </c:pt>
                <c:pt idx="2">
                  <c:v>-27.235800000000001</c:v>
                </c:pt>
                <c:pt idx="3">
                  <c:v>-25.816400000000002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D6-4D7C-9217-6637C5932C5B}"/>
            </c:ext>
          </c:extLst>
        </c:ser>
        <c:ser>
          <c:idx val="2"/>
          <c:order val="2"/>
          <c:tx>
            <c:v>20mm: bo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Pressure'!$G$33,'Model7- Pressure'!$G$39,'Model7- Pressure'!$G$45,'Model7- Pressure'!$G$51,'Model7- Pressure'!$G$59)</c:f>
              <c:numCache>
                <c:formatCode>General</c:formatCode>
                <c:ptCount val="5"/>
                <c:pt idx="0">
                  <c:v>-120.1725</c:v>
                </c:pt>
                <c:pt idx="1">
                  <c:v>-73.956199999999995</c:v>
                </c:pt>
                <c:pt idx="2">
                  <c:v>-193.11320000000001</c:v>
                </c:pt>
                <c:pt idx="3">
                  <c:v>-138.41810000000001</c:v>
                </c:pt>
                <c:pt idx="4">
                  <c:v>-162.54490000000001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D6-4D7C-9217-6637C5932C5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Pressure'!$G$36,'Model7- Pressure'!$G$42,'Model7- Pressure'!$G$48,'Model7- Pressure'!$G$55,'Model7- Pressure'!$G$63)</c:f>
              <c:numCache>
                <c:formatCode>General</c:formatCode>
                <c:ptCount val="5"/>
                <c:pt idx="0">
                  <c:v>-117.83069999999999</c:v>
                </c:pt>
                <c:pt idx="1">
                  <c:v>-78.972899999999996</c:v>
                </c:pt>
                <c:pt idx="2">
                  <c:v>-181.01349999999999</c:v>
                </c:pt>
                <c:pt idx="3">
                  <c:v>-132.66659999999999</c:v>
                </c:pt>
                <c:pt idx="4">
                  <c:v>-153.3159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D6-4D7C-9217-6637C593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 (Intercept)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b1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Pressure'!$H$3,'Model7- Pressure'!$H$11,'Model7- Pressure'!$H$17,'Model7- Pressure'!$H$25)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0.6986</c:v>
                </c:pt>
                <c:pt idx="2">
                  <c:v>0.68930000000000002</c:v>
                </c:pt>
                <c:pt idx="3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8-4945-A4FF-7D6FF25239DB}"/>
            </c:ext>
          </c:extLst>
        </c:ser>
        <c:ser>
          <c:idx val="1"/>
          <c:order val="1"/>
          <c:tx>
            <c:v>10mm: b1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Pressure'!$H$7,'Model7- Pressure'!$H$14,'Model7- Pressure'!$H$21,'Model7- Pressure'!$H$29)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0.6593</c:v>
                </c:pt>
                <c:pt idx="2">
                  <c:v>0.63100000000000001</c:v>
                </c:pt>
                <c:pt idx="3">
                  <c:v>0.66180000000000005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8-4945-A4FF-7D6FF25239DB}"/>
            </c:ext>
          </c:extLst>
        </c:ser>
        <c:ser>
          <c:idx val="2"/>
          <c:order val="2"/>
          <c:tx>
            <c:v>20mm: b1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Pressure'!$H$33,'Model7- Pressure'!$H$39,'Model7- Pressure'!$H$45,'Model7- Pressure'!$H$51,'Model7- Pressure'!$H$59)</c:f>
              <c:numCache>
                <c:formatCode>General</c:formatCode>
                <c:ptCount val="5"/>
                <c:pt idx="0">
                  <c:v>1.7307999999999999</c:v>
                </c:pt>
                <c:pt idx="1">
                  <c:v>1.8329</c:v>
                </c:pt>
                <c:pt idx="2">
                  <c:v>2.1844999999999999</c:v>
                </c:pt>
                <c:pt idx="3">
                  <c:v>2.3146</c:v>
                </c:pt>
                <c:pt idx="4">
                  <c:v>2.2906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8-4945-A4FF-7D6FF25239D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Pressure'!$H$36,'Model7- Pressure'!$H$42,'Model7- Pressure'!$H$48,'Model7- Pressure'!$H$55,'Model7- Pressure'!$H$63)</c:f>
              <c:numCache>
                <c:formatCode>General</c:formatCode>
                <c:ptCount val="5"/>
                <c:pt idx="0">
                  <c:v>1.6816</c:v>
                </c:pt>
                <c:pt idx="1">
                  <c:v>1.7966</c:v>
                </c:pt>
                <c:pt idx="2">
                  <c:v>2.1497999999999999</c:v>
                </c:pt>
                <c:pt idx="3">
                  <c:v>2.2915999999999999</c:v>
                </c:pt>
                <c:pt idx="4">
                  <c:v>2.2618999999999998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8-4945-A4FF-7D6FF252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slope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1-40E8-A4FB-13595BA76B0E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1-40E8-A4FB-13595BA76B0E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1-40E8-A4FB-13595BA76B0E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C1-40E8-A4FB-13595BA76B0E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C1-40E8-A4FB-13595BA76B0E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C1-40E8-A4FB-13595BA76B0E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C1-40E8-A4FB-13595BA76B0E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C1-40E8-A4FB-13595BA7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A7C1-40E8-A4FB-13595BA76B0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Pressure'!$C$36:$C$38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7C1-40E8-A4FB-13595BA76B0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Pressure'!$C$39:$C$41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7C1-40E8-A4FB-13595BA76B0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Pressure'!$C$42:$C$44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C1-40E8-A4FB-13595BA76B0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Pressure'!$C$45:$C$47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7C1-40E8-A4FB-13595BA76B0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Pressure'!$C$48:$C$50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7C1-40E8-A4FB-13595BA76B0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Pressure'!$C$51:$C$54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7C1-40E8-A4FB-13595BA76B0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Pressure'!$C$55:$C$58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7C1-40E8-A4FB-13595BA76B0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Pressure'!$C$59:$C$62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7C1-40E8-A4FB-13595BA76B0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Pressure'!$C$63:$C$66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7C1-40E8-A4FB-13595BA76B0E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9873051331361012"/>
                  <c:y val="-0.10962387816760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5-47AA-BBFF-5D5A317B4F65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35-47AA-BBFF-5D5A317B4F65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205139579973496"/>
                  <c:y val="-0.13999503944517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35-47AA-BBFF-5D5A317B4F65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35-47AA-BBFF-5D5A317B4F65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840299363897745"/>
                  <c:y val="-0.13524561869405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35-47AA-BBFF-5D5A317B4F65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567832715320682E-2"/>
                  <c:y val="0.14601418689456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35-47AA-BBFF-5D5A317B4F65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894393699558619"/>
                  <c:y val="-6.3099134021552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35-47AA-BBFF-5D5A317B4F65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35-47AA-BBFF-5D5A317B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1-42FE-BDBB-19C8707DC072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1-42FE-BDBB-19C8707DC072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1-42FE-BDBB-19C8707DC072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1-42FE-BDBB-19C8707DC072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1-42FE-BDBB-19C8707DC072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1-42FE-BDBB-19C8707DC072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1-42FE-BDBB-19C8707DC072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01-42FE-BDBB-19C8707D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4 - 10mm13cm'!$N$5:$N$8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-130.73560000000001</c:v>
                </c:pt>
                <c:pt idx="2">
                  <c:v>-194.7972</c:v>
                </c:pt>
                <c:pt idx="3">
                  <c:v>-231.36939999999998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9D2-421E-B80F-19C84905A63F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4 - 10mm13cm'!$S$5:$S$8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-106.24019999999999</c:v>
                </c:pt>
                <c:pt idx="2">
                  <c:v>-165.65880000000001</c:v>
                </c:pt>
                <c:pt idx="3">
                  <c:v>-161.69459999999998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9D2-421E-B80F-19C84905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4-434C-A978-CEAD02263148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707506497571274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4-434C-A978-CEAD02263148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363364262459359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4-434C-A978-CEAD02263148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92575870021397"/>
                  <c:y val="0.3506415864683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04-434C-A978-CEAD02263148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6944727794613184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04-434C-A978-CEAD02263148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552237229187499"/>
                  <c:y val="0.32492855059784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04-434C-A978-CEAD02263148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4478526343383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04-434C-A978-CEAD02263148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056063881131157"/>
                  <c:y val="0.22782844852726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04-434C-A978-CEAD0226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47-4A63-839B-253546D22DE1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47-4A63-839B-253546D22DE1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D47-4A63-839B-253546D22DE1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D47-4A63-839B-253546D22DE1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D47-4A63-839B-253546D22DE1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D47-4A63-839B-253546D22DE1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D47-4A63-839B-253546D22DE1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D47-4A63-839B-253546D22DE1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D47-4A63-839B-253546D2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D47-4A63-839B-253546D22DE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47-4A63-839B-253546D22DE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47-4A63-839B-253546D22DE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7-4A63-839B-253546D22DE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7-4A63-839B-253546D22DE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47-4A63-839B-253546D22DE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47-4A63-839B-253546D22DE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47-4A63-839B-253546D22DE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50080093418676097"/>
                        <c:y val="-0.5341343122806545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47-4A63-839B-253546D22DE1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0338604206120152"/>
                  <c:y val="-0.46859198048507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Pressure'!$C$33:$C$35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4-453D-A279-61E56509228C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24-453D-A279-61E56509228C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96195153680109"/>
                  <c:y val="-0.18886161841936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4-453D-A279-61E56509228C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772833269025929E-2"/>
                  <c:y val="0.12794615131445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4-453D-A279-61E56509228C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660562168555148"/>
                  <c:y val="-0.12503264724501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24-453D-A279-61E56509228C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657497079903938"/>
                  <c:y val="-0.1140613465020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24-453D-A279-61E56509228C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0224446341689213"/>
                  <c:y val="-0.1680411689521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124-453D-A279-61E56509228C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133991537685274E-2"/>
                  <c:y val="0.10274448722730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124-453D-A279-61E56509228C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75246011390618"/>
                  <c:y val="-0.21491695088795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124-453D-A279-61E56509228C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394864395269279E-2"/>
                  <c:y val="3.196233777287160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124-453D-A279-61E56509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7124-453D-A279-61E5650922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24-453D-A279-61E5650922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124-453D-A279-61E5650922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124-453D-A279-61E56509228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124-453D-A279-61E56509228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124-453D-A279-61E56509228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124-453D-A279-61E56509228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124-453D-A279-61E56509228C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Pressure'!$G$33:$G$35</c:f>
              <c:numCache>
                <c:formatCode>General</c:formatCode>
                <c:ptCount val="3"/>
                <c:pt idx="0">
                  <c:v>-120.1725</c:v>
                </c:pt>
                <c:pt idx="1">
                  <c:v>-254.9974</c:v>
                </c:pt>
                <c:pt idx="2">
                  <c:v>-255.97409999999999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1-41B3-9A74-B83DDDEB2E66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41-41B3-9A74-B83DDDEB2E66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183094057109807"/>
                  <c:y val="0.51320956794648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41-41B3-9A74-B83DDDEB2E66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41-41B3-9A74-B83DDDEB2E66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41-41B3-9A74-B83DDDEB2E66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41-41B3-9A74-B83DDDEB2E66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2047735197341494"/>
                  <c:y val="-0.21285119377416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41-41B3-9A74-B83DDDEB2E66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2930465292670014E-2"/>
                  <c:y val="-5.7717486484116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41-41B3-9A74-B83DDDEB2E66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038453353413983"/>
                  <c:y val="-0.21360897816249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41-41B3-9A74-B83DDDEB2E66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41-41B3-9A74-B83DDDEB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5441-41B3-9A74-B83DDDEB2E6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41-41B3-9A74-B83DDDEB2E6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441-41B3-9A74-B83DDDEB2E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441-41B3-9A74-B83DDDEB2E6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441-41B3-9A74-B83DDDEB2E6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441-41B3-9A74-B83DDDEB2E6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441-41B3-9A74-B83DDDEB2E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441-41B3-9A74-B83DDDEB2E66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8-43F3-AC9F-46A0A16891AD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0613437339024186E-2"/>
                  <c:y val="-1.1322539106204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38-43F3-AC9F-46A0A16891AD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38-43F3-AC9F-46A0A16891AD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38-43F3-AC9F-46A0A16891AD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38-43F3-AC9F-46A0A16891AD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38-43F3-AC9F-46A0A16891AD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803654916967155"/>
                  <c:y val="-2.176943699731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38-43F3-AC9F-46A0A16891AD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188485785071261"/>
                  <c:y val="6.82752457551385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38-43F3-AC9F-46A0A16891AD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89803026958079"/>
                  <c:y val="-1.46201966041108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38-43F3-AC9F-46A0A16891AD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538-43F3-AC9F-46A0A1689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9538-43F3-AC9F-46A0A16891A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38-43F3-AC9F-46A0A16891A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538-43F3-AC9F-46A0A16891A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538-43F3-AC9F-46A0A16891A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538-43F3-AC9F-46A0A16891A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538-43F3-AC9F-46A0A16891A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538-43F3-AC9F-46A0A16891A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538-43F3-AC9F-46A0A16891AD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58468859616846"/>
          <c:y val="0.43581431677608662"/>
          <c:w val="0.31803213383373802"/>
          <c:h val="0.50760282310555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4-446D-B7C8-65F1B6463D28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4-446D-B7C8-65F1B6463D28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D4-446D-B7C8-65F1B6463D28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D4-446D-B7C8-65F1B6463D28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D4-446D-B7C8-65F1B6463D28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D4-446D-B7C8-65F1B6463D28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D4-446D-B7C8-65F1B6463D28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D4-446D-B7C8-65F1B6463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Pressure'!$L$33:$L$35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00D4-446D-B7C8-65F1B6463D2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Pressure'!$L$36:$L$38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D4-446D-B7C8-65F1B6463D2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Pressure'!$L$39:$L$41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D4-446D-B7C8-65F1B6463D2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Pressure'!$L$42:$L$44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D4-446D-B7C8-65F1B6463D2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Pressure'!$L$45:$L$47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D4-446D-B7C8-65F1B6463D2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Pressure'!$L$48:$L$50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D4-446D-B7C8-65F1B6463D2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Pressure'!$L$51:$L$54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D4-446D-B7C8-65F1B6463D2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Pressure'!$L$55:$L$58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D4-446D-B7C8-65F1B6463D2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Pressure'!$L$59:$L$62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D4-446D-B7C8-65F1B6463D2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Pressure'!$L$63:$L$66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D4-446D-B7C8-65F1B6463D28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Lo(1-Relative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69-49E4-8184-259B2A275B9A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69-49E4-8184-259B2A275B9A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69-49E4-8184-259B2A275B9A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69-49E4-8184-259B2A275B9A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E69-49E4-8184-259B2A275B9A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E69-49E4-8184-259B2A275B9A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E69-49E4-8184-259B2A275B9A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E69-49E4-8184-259B2A27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Pressure'!$L$33:$L$35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7-40EB-912F-F3F251FA6B20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Pressure'!$L$36:$L$38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37-40EB-912F-F3F251FA6B20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Pressure'!$L$39:$L$41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37-40EB-912F-F3F251FA6B20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Pressure'!$L$42:$L$44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37-40EB-912F-F3F251FA6B20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Pressure'!$L$45:$L$47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37-40EB-912F-F3F251FA6B20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Pressure'!$L$48:$L$50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337-40EB-912F-F3F251FA6B20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Pressure'!$L$51:$L$54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337-40EB-912F-F3F251FA6B20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Pressure'!$L$55:$L$58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37-40EB-912F-F3F251FA6B20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Pressure'!$L$59:$L$62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337-40EB-912F-F3F251FA6B20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Pressure'!$L$63:$L$66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337-40EB-912F-F3F251FA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E337-40EB-912F-F3F251FA6B2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337-40EB-912F-F3F251FA6B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337-40EB-912F-F3F251FA6B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337-40EB-912F-F3F251FA6B2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337-40EB-912F-F3F251FA6B2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337-40EB-912F-F3F251FA6B2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337-40EB-912F-F3F251FA6B2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337-40EB-912F-F3F251FA6B20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4 - 10mm13cm'!$E$5:$E$8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24.292999999999999</c:v>
                </c:pt>
                <c:pt idx="2">
                  <c:v>19.125</c:v>
                </c:pt>
                <c:pt idx="3">
                  <c:v>42.38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D-4A72-81AC-05444C33A7C9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4 - 10mm13cm'!$I$5:$I$8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23.495999999999999</c:v>
                </c:pt>
                <c:pt idx="2">
                  <c:v>15.794</c:v>
                </c:pt>
                <c:pt idx="3">
                  <c:v>48.305999999999997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D-4A72-81AC-05444C33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4 - 10mm13cm'!$O$5:$O$8</c:f>
              <c:numCache>
                <c:formatCode>General</c:formatCode>
                <c:ptCount val="4"/>
                <c:pt idx="0">
                  <c:v>0</c:v>
                </c:pt>
                <c:pt idx="1">
                  <c:v>-23.648000000000021</c:v>
                </c:pt>
                <c:pt idx="2">
                  <c:v>-18.536000000000019</c:v>
                </c:pt>
                <c:pt idx="3">
                  <c:v>-41.843999999999973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3-4CD2-9CE7-597FC5D0FE7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4 - 10mm13cm'!$T$5:$T$8</c:f>
              <c:numCache>
                <c:formatCode>General</c:formatCode>
                <c:ptCount val="4"/>
                <c:pt idx="0">
                  <c:v>0</c:v>
                </c:pt>
                <c:pt idx="1">
                  <c:v>-22.898000000000021</c:v>
                </c:pt>
                <c:pt idx="2">
                  <c:v>-15.240800000000013</c:v>
                </c:pt>
                <c:pt idx="3">
                  <c:v>-47.876999999999974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3-4CD2-9CE7-597FC5D0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4 - 10mm13cm'!$P$5:$P$8</c:f>
              <c:numCache>
                <c:formatCode>General</c:formatCode>
                <c:ptCount val="4"/>
                <c:pt idx="0">
                  <c:v>0</c:v>
                </c:pt>
                <c:pt idx="1">
                  <c:v>-13.325600000000012</c:v>
                </c:pt>
                <c:pt idx="2">
                  <c:v>-4.2572000000000036</c:v>
                </c:pt>
                <c:pt idx="3">
                  <c:v>-56.339399999999969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D-48EB-964A-D77D2229567A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4 - 10mm13cm'!$U$5:$U$8</c:f>
              <c:numCache>
                <c:formatCode>General</c:formatCode>
                <c:ptCount val="4"/>
                <c:pt idx="0">
                  <c:v>0</c:v>
                </c:pt>
                <c:pt idx="1">
                  <c:v>5.3398000000000048</c:v>
                </c:pt>
                <c:pt idx="2">
                  <c:v>13.171200000000011</c:v>
                </c:pt>
                <c:pt idx="3">
                  <c:v>-42.264599999999973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8D-48EB-964A-D77D2229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352315</xdr:colOff>
      <xdr:row>38</xdr:row>
      <xdr:rowOff>78115</xdr:rowOff>
    </xdr:from>
    <xdr:to>
      <xdr:col>9</xdr:col>
      <xdr:colOff>381000</xdr:colOff>
      <xdr:row>52</xdr:row>
      <xdr:rowOff>149061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EFEE-E49E-9181-8C63-B56D2F59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332991</xdr:colOff>
      <xdr:row>52</xdr:row>
      <xdr:rowOff>159023</xdr:rowOff>
    </xdr:from>
    <xdr:to>
      <xdr:col>9</xdr:col>
      <xdr:colOff>365398</xdr:colOff>
      <xdr:row>67</xdr:row>
      <xdr:rowOff>53371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3D213-76A0-C14E-FFB8-E0276EDC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396601</xdr:colOff>
      <xdr:row>38</xdr:row>
      <xdr:rowOff>44285</xdr:rowOff>
    </xdr:from>
    <xdr:to>
      <xdr:col>15</xdr:col>
      <xdr:colOff>753733</xdr:colOff>
      <xdr:row>52</xdr:row>
      <xdr:rowOff>116654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27DA6-0B7D-9442-77F5-CF527FE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346349</xdr:colOff>
      <xdr:row>52</xdr:row>
      <xdr:rowOff>118077</xdr:rowOff>
    </xdr:from>
    <xdr:to>
      <xdr:col>15</xdr:col>
      <xdr:colOff>707203</xdr:colOff>
      <xdr:row>67</xdr:row>
      <xdr:rowOff>15272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24576-4FDE-B4BF-5431-9C322A97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12</xdr:row>
      <xdr:rowOff>9525</xdr:rowOff>
    </xdr:from>
    <xdr:to>
      <xdr:col>13</xdr:col>
      <xdr:colOff>571500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B9B59-16DB-4030-89ED-40033ED5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52386</xdr:colOff>
      <xdr:row>28</xdr:row>
      <xdr:rowOff>128587</xdr:rowOff>
    </xdr:from>
    <xdr:to>
      <xdr:col>13</xdr:col>
      <xdr:colOff>571499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A3B2F-F614-CEF4-9BC2-9C9B20D3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44</xdr:row>
      <xdr:rowOff>61912</xdr:rowOff>
    </xdr:from>
    <xdr:to>
      <xdr:col>14</xdr:col>
      <xdr:colOff>0</xdr:colOff>
      <xdr:row>58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75F96E-1ACE-6D81-7F22-E44BD3A55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58</xdr:row>
      <xdr:rowOff>85724</xdr:rowOff>
    </xdr:from>
    <xdr:to>
      <xdr:col>14</xdr:col>
      <xdr:colOff>0</xdr:colOff>
      <xdr:row>72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AF7BAA-3FAB-4F15-B766-80D48F5E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309562</xdr:colOff>
      <xdr:row>72</xdr:row>
      <xdr:rowOff>147637</xdr:rowOff>
    </xdr:from>
    <xdr:to>
      <xdr:col>14</xdr:col>
      <xdr:colOff>4762</xdr:colOff>
      <xdr:row>87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FF70D-C8C1-A227-E3DD-820DEC6FB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319087</xdr:colOff>
      <xdr:row>87</xdr:row>
      <xdr:rowOff>23812</xdr:rowOff>
    </xdr:from>
    <xdr:to>
      <xdr:col>14</xdr:col>
      <xdr:colOff>14287</xdr:colOff>
      <xdr:row>101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B6DCA5-1AEC-A0DB-E8E9-EAF87882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604838</xdr:colOff>
      <xdr:row>12</xdr:row>
      <xdr:rowOff>9525</xdr:rowOff>
    </xdr:from>
    <xdr:to>
      <xdr:col>21</xdr:col>
      <xdr:colOff>61913</xdr:colOff>
      <xdr:row>28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8D5282-7D6F-493D-B177-41DBED999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19049</xdr:colOff>
      <xdr:row>28</xdr:row>
      <xdr:rowOff>128587</xdr:rowOff>
    </xdr:from>
    <xdr:to>
      <xdr:col>20</xdr:col>
      <xdr:colOff>347662</xdr:colOff>
      <xdr:row>44</xdr:row>
      <xdr:rowOff>57150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645ADF1-57B5-45AB-AF12-BF92CB88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23813</xdr:colOff>
      <xdr:row>44</xdr:row>
      <xdr:rowOff>14287</xdr:rowOff>
    </xdr:from>
    <xdr:to>
      <xdr:col>20</xdr:col>
      <xdr:colOff>138113</xdr:colOff>
      <xdr:row>58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24BACFE-E2A0-4B74-BC46-DC4D0B188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14288</xdr:colOff>
      <xdr:row>58</xdr:row>
      <xdr:rowOff>19049</xdr:rowOff>
    </xdr:from>
    <xdr:to>
      <xdr:col>20</xdr:col>
      <xdr:colOff>119063</xdr:colOff>
      <xdr:row>72</xdr:row>
      <xdr:rowOff>66674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A3581DD-DE8D-4FAE-8978-98FC7F0E6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9525</xdr:colOff>
      <xdr:row>72</xdr:row>
      <xdr:rowOff>128587</xdr:rowOff>
    </xdr:from>
    <xdr:to>
      <xdr:col>20</xdr:col>
      <xdr:colOff>123825</xdr:colOff>
      <xdr:row>87</xdr:row>
      <xdr:rowOff>14287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014DAE9-9F67-4ABA-A1B0-008BE5B3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590550</xdr:colOff>
      <xdr:row>86</xdr:row>
      <xdr:rowOff>185737</xdr:rowOff>
    </xdr:from>
    <xdr:to>
      <xdr:col>20</xdr:col>
      <xdr:colOff>95250</xdr:colOff>
      <xdr:row>101</xdr:row>
      <xdr:rowOff>71437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F4C33E7-43E7-41DB-9591-023ACD9A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10</xdr:row>
      <xdr:rowOff>190500</xdr:rowOff>
    </xdr:from>
    <xdr:to>
      <xdr:col>8</xdr:col>
      <xdr:colOff>28575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401DE-D528-4577-9DB3-EDDB68DFE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74543</xdr:colOff>
      <xdr:row>52</xdr:row>
      <xdr:rowOff>91109</xdr:rowOff>
    </xdr:from>
    <xdr:to>
      <xdr:col>8</xdr:col>
      <xdr:colOff>32715</xdr:colOff>
      <xdr:row>67</xdr:row>
      <xdr:rowOff>33544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A43CF-8BD8-4AFB-BDBB-9A1585F0E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191330</xdr:colOff>
      <xdr:row>27</xdr:row>
      <xdr:rowOff>81999</xdr:rowOff>
    </xdr:from>
    <xdr:to>
      <xdr:col>8</xdr:col>
      <xdr:colOff>26920</xdr:colOff>
      <xdr:row>39</xdr:row>
      <xdr:rowOff>10561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FD969-A219-4D52-9C66-66FDA4669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770283</xdr:colOff>
      <xdr:row>39</xdr:row>
      <xdr:rowOff>19877</xdr:rowOff>
    </xdr:from>
    <xdr:to>
      <xdr:col>8</xdr:col>
      <xdr:colOff>33545</xdr:colOff>
      <xdr:row>52</xdr:row>
      <xdr:rowOff>105602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27C62C-71F3-4B86-9025-D08BC786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780844</xdr:colOff>
      <xdr:row>67</xdr:row>
      <xdr:rowOff>16565</xdr:rowOff>
    </xdr:from>
    <xdr:to>
      <xdr:col>8</xdr:col>
      <xdr:colOff>58394</xdr:colOff>
      <xdr:row>80</xdr:row>
      <xdr:rowOff>78477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05901-3484-402A-979D-EF3EC02F4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198161</xdr:colOff>
      <xdr:row>80</xdr:row>
      <xdr:rowOff>40791</xdr:rowOff>
    </xdr:from>
    <xdr:to>
      <xdr:col>8</xdr:col>
      <xdr:colOff>100426</xdr:colOff>
      <xdr:row>94</xdr:row>
      <xdr:rowOff>116991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7C5EA3-A137-4510-BE20-8788C2B6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21743</xdr:colOff>
      <xdr:row>11</xdr:row>
      <xdr:rowOff>1</xdr:rowOff>
    </xdr:from>
    <xdr:to>
      <xdr:col>15</xdr:col>
      <xdr:colOff>850625</xdr:colOff>
      <xdr:row>27</xdr:row>
      <xdr:rowOff>100013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5E49D4-8C7D-42A7-8205-19CADD02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41412</xdr:colOff>
      <xdr:row>52</xdr:row>
      <xdr:rowOff>104982</xdr:rowOff>
    </xdr:from>
    <xdr:to>
      <xdr:col>15</xdr:col>
      <xdr:colOff>679174</xdr:colOff>
      <xdr:row>67</xdr:row>
      <xdr:rowOff>41413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A5C40B-0832-4EDE-A8DB-AF4E78EF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22572</xdr:colOff>
      <xdr:row>27</xdr:row>
      <xdr:rowOff>98563</xdr:rowOff>
    </xdr:from>
    <xdr:to>
      <xdr:col>15</xdr:col>
      <xdr:colOff>213279</xdr:colOff>
      <xdr:row>39</xdr:row>
      <xdr:rowOff>27125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0AC507-7816-4548-B8C1-B87BE7D3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30027</xdr:colOff>
      <xdr:row>39</xdr:row>
      <xdr:rowOff>19877</xdr:rowOff>
    </xdr:from>
    <xdr:to>
      <xdr:col>15</xdr:col>
      <xdr:colOff>468384</xdr:colOff>
      <xdr:row>52</xdr:row>
      <xdr:rowOff>105602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0A3C0E-F53A-41A9-BA18-19C444AE2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65436</xdr:colOff>
      <xdr:row>67</xdr:row>
      <xdr:rowOff>33130</xdr:rowOff>
    </xdr:from>
    <xdr:to>
      <xdr:col>15</xdr:col>
      <xdr:colOff>518081</xdr:colOff>
      <xdr:row>80</xdr:row>
      <xdr:rowOff>95042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AA7D63-185E-4AD0-94D2-B58588B52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54252</xdr:colOff>
      <xdr:row>80</xdr:row>
      <xdr:rowOff>49075</xdr:rowOff>
    </xdr:from>
    <xdr:to>
      <xdr:col>15</xdr:col>
      <xdr:colOff>311634</xdr:colOff>
      <xdr:row>94</xdr:row>
      <xdr:rowOff>125275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2D2E32-2E19-4DEB-8378-FA12FCB73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938548</xdr:colOff>
      <xdr:row>33</xdr:row>
      <xdr:rowOff>152331</xdr:rowOff>
    </xdr:from>
    <xdr:to>
      <xdr:col>11</xdr:col>
      <xdr:colOff>509789</xdr:colOff>
      <xdr:row>59</xdr:row>
      <xdr:rowOff>53662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E25DA-8CEE-B23A-9303-2CEAD6FA4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523205</xdr:colOff>
      <xdr:row>33</xdr:row>
      <xdr:rowOff>174401</xdr:rowOff>
    </xdr:from>
    <xdr:to>
      <xdr:col>25</xdr:col>
      <xdr:colOff>40784</xdr:colOff>
      <xdr:row>59</xdr:row>
      <xdr:rowOff>75732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F8E17F-3C09-4E30-BDB9-AE4127914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939085</xdr:colOff>
      <xdr:row>59</xdr:row>
      <xdr:rowOff>53663</xdr:rowOff>
    </xdr:from>
    <xdr:to>
      <xdr:col>11</xdr:col>
      <xdr:colOff>510326</xdr:colOff>
      <xdr:row>84</xdr:row>
      <xdr:rowOff>142810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21ABF-BE46-44A4-865C-A915284C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523204</xdr:colOff>
      <xdr:row>59</xdr:row>
      <xdr:rowOff>53662</xdr:rowOff>
    </xdr:from>
    <xdr:to>
      <xdr:col>25</xdr:col>
      <xdr:colOff>40783</xdr:colOff>
      <xdr:row>84</xdr:row>
      <xdr:rowOff>142809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BE4C9C-0A9D-4063-ACCF-6A4B92E26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134155</xdr:rowOff>
    </xdr:from>
    <xdr:to>
      <xdr:col>11</xdr:col>
      <xdr:colOff>523741</xdr:colOff>
      <xdr:row>110</xdr:row>
      <xdr:rowOff>35486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2436DB-03AC-4CC1-943D-A7F22308D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509788</xdr:colOff>
      <xdr:row>84</xdr:row>
      <xdr:rowOff>134154</xdr:rowOff>
    </xdr:from>
    <xdr:to>
      <xdr:col>25</xdr:col>
      <xdr:colOff>27367</xdr:colOff>
      <xdr:row>110</xdr:row>
      <xdr:rowOff>35485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EB90EE-E778-4972-B1DA-C8897E7C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26831</xdr:rowOff>
    </xdr:from>
    <xdr:to>
      <xdr:col>11</xdr:col>
      <xdr:colOff>523741</xdr:colOff>
      <xdr:row>135</xdr:row>
      <xdr:rowOff>115978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B992D1-23C5-41C1-806D-4E705504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509788</xdr:colOff>
      <xdr:row>110</xdr:row>
      <xdr:rowOff>26831</xdr:rowOff>
    </xdr:from>
    <xdr:to>
      <xdr:col>25</xdr:col>
      <xdr:colOff>27367</xdr:colOff>
      <xdr:row>135</xdr:row>
      <xdr:rowOff>115978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D112E7-A6D1-4B6A-AB18-D09DE6EF0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939084</xdr:colOff>
      <xdr:row>135</xdr:row>
      <xdr:rowOff>120739</xdr:rowOff>
    </xdr:from>
    <xdr:to>
      <xdr:col>11</xdr:col>
      <xdr:colOff>510325</xdr:colOff>
      <xdr:row>161</xdr:row>
      <xdr:rowOff>22070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FBE5E-E89C-4501-9335-374C27580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509789</xdr:colOff>
      <xdr:row>135</xdr:row>
      <xdr:rowOff>120739</xdr:rowOff>
    </xdr:from>
    <xdr:to>
      <xdr:col>25</xdr:col>
      <xdr:colOff>27368</xdr:colOff>
      <xdr:row>161</xdr:row>
      <xdr:rowOff>22070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B9B235-CBE4-43AF-9F10-017F47F39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11</xdr:col>
      <xdr:colOff>523741</xdr:colOff>
      <xdr:row>186</xdr:row>
      <xdr:rowOff>89147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521B1B-E441-4E30-8073-EEA9F2A62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939084</xdr:colOff>
      <xdr:row>186</xdr:row>
      <xdr:rowOff>80492</xdr:rowOff>
    </xdr:from>
    <xdr:to>
      <xdr:col>11</xdr:col>
      <xdr:colOff>510325</xdr:colOff>
      <xdr:row>211</xdr:row>
      <xdr:rowOff>169640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208A81-BED5-41F3-AF1A-0D47FCEB8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523204</xdr:colOff>
      <xdr:row>161</xdr:row>
      <xdr:rowOff>0</xdr:rowOff>
    </xdr:from>
    <xdr:to>
      <xdr:col>25</xdr:col>
      <xdr:colOff>40783</xdr:colOff>
      <xdr:row>186</xdr:row>
      <xdr:rowOff>89147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33F6BA-0006-4E52-AB6C-8316C99D0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509789</xdr:colOff>
      <xdr:row>186</xdr:row>
      <xdr:rowOff>53661</xdr:rowOff>
    </xdr:from>
    <xdr:to>
      <xdr:col>25</xdr:col>
      <xdr:colOff>27368</xdr:colOff>
      <xdr:row>211</xdr:row>
      <xdr:rowOff>142809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B43B4D3-6E91-4C97-B43E-3B2FA1470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328612</xdr:colOff>
      <xdr:row>1</xdr:row>
      <xdr:rowOff>109537</xdr:rowOff>
    </xdr:from>
    <xdr:to>
      <xdr:col>22</xdr:col>
      <xdr:colOff>23812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462F8-BA1B-2B74-F4CF-C7A255494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304801</xdr:colOff>
      <xdr:row>29</xdr:row>
      <xdr:rowOff>183698</xdr:rowOff>
    </xdr:from>
    <xdr:to>
      <xdr:col>22</xdr:col>
      <xdr:colOff>1</xdr:colOff>
      <xdr:row>44</xdr:row>
      <xdr:rowOff>17690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FD297-E289-4C7E-8F3E-2B1AEEC14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272143</xdr:colOff>
      <xdr:row>59</xdr:row>
      <xdr:rowOff>1</xdr:rowOff>
    </xdr:from>
    <xdr:to>
      <xdr:col>21</xdr:col>
      <xdr:colOff>579665</xdr:colOff>
      <xdr:row>73</xdr:row>
      <xdr:rowOff>92530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3CFEF-8443-4CD2-81B9-BA695D140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272143</xdr:colOff>
      <xdr:row>73</xdr:row>
      <xdr:rowOff>81643</xdr:rowOff>
    </xdr:from>
    <xdr:to>
      <xdr:col>21</xdr:col>
      <xdr:colOff>579665</xdr:colOff>
      <xdr:row>87</xdr:row>
      <xdr:rowOff>174172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93FA83-EAE0-4890-83FD-8553975DA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612320</xdr:colOff>
      <xdr:row>1</xdr:row>
      <xdr:rowOff>108858</xdr:rowOff>
    </xdr:from>
    <xdr:to>
      <xdr:col>29</xdr:col>
      <xdr:colOff>307520</xdr:colOff>
      <xdr:row>15</xdr:row>
      <xdr:rowOff>146958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DFD753-ADBF-4C6E-9BD1-96F9D376A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598715</xdr:colOff>
      <xdr:row>29</xdr:row>
      <xdr:rowOff>176894</xdr:rowOff>
    </xdr:from>
    <xdr:to>
      <xdr:col>29</xdr:col>
      <xdr:colOff>293915</xdr:colOff>
      <xdr:row>44</xdr:row>
      <xdr:rowOff>10886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A40996-0F6C-4DCD-9D66-2EB21532E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585108</xdr:colOff>
      <xdr:row>59</xdr:row>
      <xdr:rowOff>0</xdr:rowOff>
    </xdr:from>
    <xdr:to>
      <xdr:col>29</xdr:col>
      <xdr:colOff>280308</xdr:colOff>
      <xdr:row>73</xdr:row>
      <xdr:rowOff>92529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332105-C712-4BD4-9794-01ED2D3EB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73</xdr:row>
      <xdr:rowOff>81644</xdr:rowOff>
    </xdr:from>
    <xdr:to>
      <xdr:col>29</xdr:col>
      <xdr:colOff>307522</xdr:colOff>
      <xdr:row>87</xdr:row>
      <xdr:rowOff>174173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679F7B-325B-458C-B5B6-381CDD5B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353785</xdr:colOff>
      <xdr:row>15</xdr:row>
      <xdr:rowOff>163285</xdr:rowOff>
    </xdr:from>
    <xdr:to>
      <xdr:col>22</xdr:col>
      <xdr:colOff>48985</xdr:colOff>
      <xdr:row>29</xdr:row>
      <xdr:rowOff>201386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544598-A650-4B2F-9310-5302B3A3A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15</xdr:row>
      <xdr:rowOff>149679</xdr:rowOff>
    </xdr:from>
    <xdr:to>
      <xdr:col>29</xdr:col>
      <xdr:colOff>307522</xdr:colOff>
      <xdr:row>29</xdr:row>
      <xdr:rowOff>187780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967533-31EB-4A11-8407-34BD1B09C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299357</xdr:colOff>
      <xdr:row>44</xdr:row>
      <xdr:rowOff>13607</xdr:rowOff>
    </xdr:from>
    <xdr:to>
      <xdr:col>21</xdr:col>
      <xdr:colOff>606879</xdr:colOff>
      <xdr:row>58</xdr:row>
      <xdr:rowOff>106136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B2592A-B262-48C2-B286-C28046887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-1</xdr:colOff>
      <xdr:row>44</xdr:row>
      <xdr:rowOff>0</xdr:rowOff>
    </xdr:from>
    <xdr:to>
      <xdr:col>29</xdr:col>
      <xdr:colOff>307521</xdr:colOff>
      <xdr:row>58</xdr:row>
      <xdr:rowOff>92529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72A852-81D7-4017-B518-49E3A6299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33057</xdr:colOff>
      <xdr:row>3</xdr:row>
      <xdr:rowOff>4482</xdr:rowOff>
    </xdr:from>
    <xdr:to>
      <xdr:col>22</xdr:col>
      <xdr:colOff>319087</xdr:colOff>
      <xdr:row>17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77EDC-C929-FB6C-0D8F-1F563718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287151</xdr:colOff>
      <xdr:row>2</xdr:row>
      <xdr:rowOff>177051</xdr:rowOff>
    </xdr:from>
    <xdr:to>
      <xdr:col>30</xdr:col>
      <xdr:colOff>47065</xdr:colOff>
      <xdr:row>17</xdr:row>
      <xdr:rowOff>102533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A9E23-80AD-4CBD-82BE-6558949E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32777</xdr:colOff>
      <xdr:row>17</xdr:row>
      <xdr:rowOff>39502</xdr:rowOff>
    </xdr:from>
    <xdr:to>
      <xdr:col>22</xdr:col>
      <xdr:colOff>342900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E5A18-9DF2-C66D-C369-4D2C69D8E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17650</xdr:colOff>
      <xdr:row>45</xdr:row>
      <xdr:rowOff>91891</xdr:rowOff>
    </xdr:from>
    <xdr:to>
      <xdr:col>22</xdr:col>
      <xdr:colOff>312924</xdr:colOff>
      <xdr:row>59</xdr:row>
      <xdr:rowOff>143438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64A7E-75D1-4F98-82A6-BDC98D1E6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22693</xdr:colOff>
      <xdr:row>31</xdr:row>
      <xdr:rowOff>58833</xdr:rowOff>
    </xdr:from>
    <xdr:to>
      <xdr:col>22</xdr:col>
      <xdr:colOff>317967</xdr:colOff>
      <xdr:row>45</xdr:row>
      <xdr:rowOff>106458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489380-93FE-49FC-B104-7769A58CB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32218</xdr:colOff>
      <xdr:row>59</xdr:row>
      <xdr:rowOff>167529</xdr:rowOff>
    </xdr:from>
    <xdr:to>
      <xdr:col>22</xdr:col>
      <xdr:colOff>327492</xdr:colOff>
      <xdr:row>74</xdr:row>
      <xdr:rowOff>43704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A01A1E-E0B6-40C9-9DE2-665B7EC34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372876</xdr:colOff>
      <xdr:row>17</xdr:row>
      <xdr:rowOff>72279</xdr:rowOff>
    </xdr:from>
    <xdr:to>
      <xdr:col>30</xdr:col>
      <xdr:colOff>77601</xdr:colOff>
      <xdr:row>31</xdr:row>
      <xdr:rowOff>125507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C388F4-A2CE-4385-AB68-35ED184D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327492</xdr:colOff>
      <xdr:row>45</xdr:row>
      <xdr:rowOff>101976</xdr:rowOff>
    </xdr:from>
    <xdr:to>
      <xdr:col>30</xdr:col>
      <xdr:colOff>19891</xdr:colOff>
      <xdr:row>59</xdr:row>
      <xdr:rowOff>153523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1315F3-3FF2-4B45-9536-507DF4EFC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333375</xdr:colOff>
      <xdr:row>31</xdr:row>
      <xdr:rowOff>57150</xdr:rowOff>
    </xdr:from>
    <xdr:to>
      <xdr:col>30</xdr:col>
      <xdr:colOff>38100</xdr:colOff>
      <xdr:row>45</xdr:row>
      <xdr:rowOff>110378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4A7163-3933-4756-86AD-1FBBCB9C9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342900</xdr:colOff>
      <xdr:row>60</xdr:row>
      <xdr:rowOff>19050</xdr:rowOff>
    </xdr:from>
    <xdr:to>
      <xdr:col>30</xdr:col>
      <xdr:colOff>561975</xdr:colOff>
      <xdr:row>78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1E2CF-06D7-4326-BBE2-91FE9A2D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840442</xdr:colOff>
      <xdr:row>79</xdr:row>
      <xdr:rowOff>22412</xdr:rowOff>
    </xdr:from>
    <xdr:to>
      <xdr:col>11</xdr:col>
      <xdr:colOff>848007</xdr:colOff>
      <xdr:row>93</xdr:row>
      <xdr:rowOff>26053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93F208-2558-4066-A7E5-85D989DD8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974912</xdr:colOff>
      <xdr:row>79</xdr:row>
      <xdr:rowOff>145677</xdr:rowOff>
    </xdr:from>
    <xdr:to>
      <xdr:col>18</xdr:col>
      <xdr:colOff>508186</xdr:colOff>
      <xdr:row>94</xdr:row>
      <xdr:rowOff>33058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0FBA0C-9EBC-4A66-A534-0BA91E3BA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493057</xdr:colOff>
      <xdr:row>79</xdr:row>
      <xdr:rowOff>1</xdr:rowOff>
    </xdr:from>
    <xdr:to>
      <xdr:col>26</xdr:col>
      <xdr:colOff>185456</xdr:colOff>
      <xdr:row>93</xdr:row>
      <xdr:rowOff>73959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21E91C-4A98-4A24-87CC-9232E1DDB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U40"/>
  <sheetViews>
    <sheetView zoomScale="85" zoomScaleNormal="85" workbookViewId="0">
      <selection activeCell="C39" sqref="C39"/>
    </sheetView>
  </sheetViews>
  <sheetFormatPr defaultRowHeight="15" x14ac:dyDescent="0.25"/>
  <cols>
    <col min="1" max="1" width="19.7109375" style="4" bestFit="1" customWidth="1"/>
    <col min="2" max="2" width="14.85546875" style="4" customWidth="1"/>
    <col min="3" max="3" width="9.140625" style="4"/>
    <col min="4" max="4" width="14.140625" style="4" customWidth="1"/>
    <col min="5" max="5" width="9.140625" style="4"/>
    <col min="6" max="6" width="14.140625" style="4" bestFit="1" customWidth="1"/>
    <col min="7" max="7" width="15.42578125" style="4" bestFit="1" customWidth="1"/>
    <col min="8" max="8" width="10.42578125" style="4" bestFit="1" customWidth="1"/>
    <col min="9" max="12" width="9.140625" style="4"/>
    <col min="13" max="13" width="14.85546875" style="4" bestFit="1" customWidth="1"/>
    <col min="14" max="14" width="10.42578125" style="4" bestFit="1" customWidth="1"/>
    <col min="15" max="15" width="8.140625" style="4" customWidth="1"/>
    <col min="16" max="16" width="12.140625" style="4" customWidth="1"/>
    <col min="17" max="17" width="34.7109375" style="4" customWidth="1"/>
    <col min="18" max="16384" width="9.140625" style="4"/>
  </cols>
  <sheetData>
    <row r="1" spans="1:21" x14ac:dyDescent="0.25">
      <c r="A1" s="4" t="s">
        <v>13</v>
      </c>
      <c r="B1" s="216" t="s">
        <v>14</v>
      </c>
      <c r="C1" s="216"/>
      <c r="D1" s="216"/>
    </row>
    <row r="3" spans="1:21" ht="15.75" thickBot="1" x14ac:dyDescent="0.3">
      <c r="A3" s="4" t="s">
        <v>5</v>
      </c>
      <c r="B3" s="4" t="s">
        <v>25</v>
      </c>
      <c r="G3" s="6" t="s">
        <v>17</v>
      </c>
      <c r="H3" s="6"/>
      <c r="I3" s="7" t="s">
        <v>6</v>
      </c>
      <c r="J3" s="7"/>
      <c r="K3" s="7"/>
      <c r="L3" s="7"/>
      <c r="M3" s="4" t="s">
        <v>18</v>
      </c>
    </row>
    <row r="4" spans="1:21" ht="15.75" thickBot="1" x14ac:dyDescent="0.3">
      <c r="A4" s="8" t="s">
        <v>0</v>
      </c>
      <c r="B4" s="8" t="s">
        <v>1</v>
      </c>
      <c r="C4" s="9" t="s">
        <v>2</v>
      </c>
      <c r="D4" s="9" t="s">
        <v>3</v>
      </c>
      <c r="E4" s="10" t="s">
        <v>4</v>
      </c>
      <c r="F4" s="11" t="s">
        <v>15</v>
      </c>
      <c r="G4" s="8" t="s">
        <v>16</v>
      </c>
      <c r="H4" s="11" t="s">
        <v>19</v>
      </c>
      <c r="I4" s="9" t="s">
        <v>1</v>
      </c>
      <c r="J4" s="9" t="s">
        <v>2</v>
      </c>
      <c r="K4" s="9" t="s">
        <v>3</v>
      </c>
      <c r="L4" s="10" t="s">
        <v>4</v>
      </c>
      <c r="M4" s="12" t="s">
        <v>16</v>
      </c>
      <c r="N4" s="11" t="s">
        <v>19</v>
      </c>
      <c r="T4" s="11">
        <v>0</v>
      </c>
      <c r="U4" s="4">
        <f>-T4</f>
        <v>0</v>
      </c>
    </row>
    <row r="5" spans="1:21" x14ac:dyDescent="0.25">
      <c r="A5" s="11" t="s">
        <v>7</v>
      </c>
      <c r="B5" s="13">
        <v>0.64120999999999995</v>
      </c>
      <c r="C5" s="37">
        <v>548.01</v>
      </c>
      <c r="D5" s="37">
        <v>20.664000000000001</v>
      </c>
      <c r="E5" s="15">
        <v>-59.043999999999997</v>
      </c>
      <c r="F5" s="11">
        <v>0</v>
      </c>
      <c r="G5" s="16">
        <f>(B5+(C5*F5))</f>
        <v>0.64120999999999995</v>
      </c>
      <c r="H5" s="11">
        <f>D5*F5</f>
        <v>0</v>
      </c>
      <c r="I5" s="14">
        <v>0.61463999999999996</v>
      </c>
      <c r="J5" s="37">
        <v>-1837.9</v>
      </c>
      <c r="K5" s="37">
        <v>-55.512999999999998</v>
      </c>
      <c r="L5" s="15">
        <v>-52.014000000000003</v>
      </c>
      <c r="M5" s="16">
        <f>(I5+J5*F5)</f>
        <v>0.61463999999999996</v>
      </c>
      <c r="N5" s="11">
        <f>K5*F5</f>
        <v>0</v>
      </c>
      <c r="P5" s="4" t="s">
        <v>27</v>
      </c>
      <c r="Q5" s="4" t="s">
        <v>28</v>
      </c>
      <c r="T5" s="17">
        <f>(11.6-12)/12</f>
        <v>-3.3333333333333361E-2</v>
      </c>
      <c r="U5" s="5">
        <f t="shared" ref="U5:U39" si="0">-T5</f>
        <v>3.3333333333333361E-2</v>
      </c>
    </row>
    <row r="6" spans="1:21" x14ac:dyDescent="0.25">
      <c r="A6" s="17"/>
      <c r="B6" s="13">
        <v>-22.774000000000001</v>
      </c>
      <c r="C6" s="14">
        <v>-702.55</v>
      </c>
      <c r="D6" s="14">
        <v>10.75</v>
      </c>
      <c r="E6" s="15">
        <v>-130.37</v>
      </c>
      <c r="F6" s="17">
        <f>(11.6-12)/12</f>
        <v>-3.3333333333333361E-2</v>
      </c>
      <c r="G6" s="13">
        <f t="shared" ref="G6:G23" si="1">(B6+(C6*F6))</f>
        <v>0.64433333333334986</v>
      </c>
      <c r="H6" s="17">
        <f t="shared" ref="H6:H23" si="2">D6*F6</f>
        <v>-0.35833333333333361</v>
      </c>
      <c r="I6" s="14">
        <v>-1.7336</v>
      </c>
      <c r="J6" s="14">
        <v>-69.917000000000002</v>
      </c>
      <c r="K6" s="14">
        <v>8.2085000000000008</v>
      </c>
      <c r="L6" s="15">
        <v>-105.97</v>
      </c>
      <c r="M6" s="13">
        <f t="shared" ref="M6:M23" si="3">(I6+J6*F6)</f>
        <v>0.59696666666666864</v>
      </c>
      <c r="N6" s="17">
        <f t="shared" ref="N6:N23" si="4">K6*F6</f>
        <v>-0.2736166666666669</v>
      </c>
      <c r="T6" s="17">
        <f>(11.2-12)/12</f>
        <v>-6.6666666666666721E-2</v>
      </c>
      <c r="U6" s="5">
        <f t="shared" si="0"/>
        <v>6.6666666666666721E-2</v>
      </c>
    </row>
    <row r="7" spans="1:21" ht="15.75" thickBot="1" x14ac:dyDescent="0.3">
      <c r="A7" s="17"/>
      <c r="B7" s="13">
        <v>-15.079000000000001</v>
      </c>
      <c r="C7" s="14">
        <v>-235.01</v>
      </c>
      <c r="D7" s="14">
        <v>-12.202999999999999</v>
      </c>
      <c r="E7" s="15">
        <v>-195.61</v>
      </c>
      <c r="F7" s="17">
        <f>(11.2-12)/12</f>
        <v>-6.6666666666666721E-2</v>
      </c>
      <c r="G7" s="13">
        <f t="shared" si="1"/>
        <v>0.58833333333334537</v>
      </c>
      <c r="H7" s="17">
        <f t="shared" si="2"/>
        <v>0.813533333333334</v>
      </c>
      <c r="I7" s="14">
        <v>-81.597999999999999</v>
      </c>
      <c r="J7" s="14">
        <v>-1232.3</v>
      </c>
      <c r="K7" s="14">
        <v>115.6</v>
      </c>
      <c r="L7" s="15">
        <v>-157.94999999999999</v>
      </c>
      <c r="M7" s="13">
        <f t="shared" si="3"/>
        <v>0.55533333333339385</v>
      </c>
      <c r="N7" s="17">
        <f t="shared" si="4"/>
        <v>-7.7066666666666723</v>
      </c>
      <c r="T7" s="18">
        <f>(10.8-12)/12</f>
        <v>-9.9999999999999936E-2</v>
      </c>
      <c r="U7" s="5">
        <f t="shared" si="0"/>
        <v>9.9999999999999936E-2</v>
      </c>
    </row>
    <row r="8" spans="1:21" ht="15.75" thickBot="1" x14ac:dyDescent="0.3">
      <c r="A8" s="18"/>
      <c r="B8" s="19">
        <v>-10.887</v>
      </c>
      <c r="C8" s="20">
        <v>-114.23</v>
      </c>
      <c r="D8" s="20">
        <v>238.59</v>
      </c>
      <c r="E8" s="21">
        <v>-207.51</v>
      </c>
      <c r="F8" s="18">
        <f>(10.8-12)/12</f>
        <v>-9.9999999999999936E-2</v>
      </c>
      <c r="G8" s="19">
        <f t="shared" si="1"/>
        <v>0.53599999999999248</v>
      </c>
      <c r="H8" s="18">
        <f t="shared" si="2"/>
        <v>-23.858999999999984</v>
      </c>
      <c r="I8" s="20">
        <v>-8.4231999999999996</v>
      </c>
      <c r="J8" s="20">
        <v>-88.525999999999996</v>
      </c>
      <c r="K8" s="20">
        <v>82.882999999999996</v>
      </c>
      <c r="L8" s="21">
        <v>-153.41</v>
      </c>
      <c r="M8" s="19">
        <f t="shared" si="3"/>
        <v>0.42939999999999401</v>
      </c>
      <c r="N8" s="17">
        <f t="shared" si="4"/>
        <v>-8.2882999999999942</v>
      </c>
      <c r="T8" s="11">
        <v>0</v>
      </c>
      <c r="U8" s="5">
        <f t="shared" si="0"/>
        <v>0</v>
      </c>
    </row>
    <row r="9" spans="1:21" x14ac:dyDescent="0.25">
      <c r="A9" s="11" t="s">
        <v>8</v>
      </c>
      <c r="B9" s="16">
        <v>0.69864000000000004</v>
      </c>
      <c r="C9" s="38">
        <v>366.76</v>
      </c>
      <c r="D9" s="38">
        <v>-5.6566999999999998</v>
      </c>
      <c r="E9" s="23">
        <v>-58.101999999999997</v>
      </c>
      <c r="F9" s="11">
        <v>0</v>
      </c>
      <c r="G9" s="16">
        <f t="shared" si="1"/>
        <v>0.69864000000000004</v>
      </c>
      <c r="H9" s="11">
        <f t="shared" si="2"/>
        <v>0</v>
      </c>
      <c r="I9" s="22">
        <v>0.65929000000000004</v>
      </c>
      <c r="J9" s="38">
        <v>-224.61</v>
      </c>
      <c r="K9" s="38">
        <v>33.716000000000001</v>
      </c>
      <c r="L9" s="23">
        <v>-48.645000000000003</v>
      </c>
      <c r="M9" s="16">
        <f t="shared" si="3"/>
        <v>0.65929000000000004</v>
      </c>
      <c r="N9" s="11">
        <f t="shared" si="4"/>
        <v>0</v>
      </c>
      <c r="T9" s="17">
        <f>(20.5-22)/22</f>
        <v>-6.8181818181818177E-2</v>
      </c>
      <c r="U9" s="5">
        <f t="shared" si="0"/>
        <v>6.8181818181818177E-2</v>
      </c>
    </row>
    <row r="10" spans="1:21" ht="15.75" thickBot="1" x14ac:dyDescent="0.3">
      <c r="A10" s="17"/>
      <c r="B10" s="13">
        <v>-10.766</v>
      </c>
      <c r="C10" s="14">
        <v>-167.83</v>
      </c>
      <c r="D10" s="14">
        <v>136.16</v>
      </c>
      <c r="E10" s="15">
        <v>-260.05</v>
      </c>
      <c r="F10" s="17">
        <f>(20.5-22)/22</f>
        <v>-6.8181818181818177E-2</v>
      </c>
      <c r="G10" s="13">
        <f t="shared" si="1"/>
        <v>0.67695454545454581</v>
      </c>
      <c r="H10" s="17">
        <f t="shared" si="2"/>
        <v>-9.2836363636363632</v>
      </c>
      <c r="I10" s="14">
        <v>133.79</v>
      </c>
      <c r="J10" s="14">
        <v>1953.2</v>
      </c>
      <c r="K10" s="14">
        <v>47.484000000000002</v>
      </c>
      <c r="L10" s="15">
        <v>-219.31</v>
      </c>
      <c r="M10" s="13">
        <f t="shared" si="3"/>
        <v>0.6172727272727343</v>
      </c>
      <c r="N10" s="17">
        <f t="shared" si="4"/>
        <v>-3.2375454545454545</v>
      </c>
      <c r="T10" s="17">
        <f>(18.9-22)/22</f>
        <v>-0.14090909090909098</v>
      </c>
      <c r="U10" s="5">
        <f t="shared" si="0"/>
        <v>0.14090909090909098</v>
      </c>
    </row>
    <row r="11" spans="1:21" ht="15.75" thickBot="1" x14ac:dyDescent="0.3">
      <c r="A11" s="18"/>
      <c r="B11" s="19">
        <v>34.57</v>
      </c>
      <c r="C11" s="20">
        <v>241.12</v>
      </c>
      <c r="D11" s="20">
        <v>178.96</v>
      </c>
      <c r="E11" s="21">
        <v>-311.63</v>
      </c>
      <c r="F11" s="17">
        <f>(18.9-22)/22</f>
        <v>-0.14090909090909098</v>
      </c>
      <c r="G11" s="19">
        <f t="shared" si="1"/>
        <v>0.59399999999997988</v>
      </c>
      <c r="H11" s="18">
        <f t="shared" si="2"/>
        <v>-25.217090909090924</v>
      </c>
      <c r="I11" s="20">
        <v>30.437999999999999</v>
      </c>
      <c r="J11" s="20">
        <v>212.99</v>
      </c>
      <c r="K11" s="20">
        <v>114.27</v>
      </c>
      <c r="L11" s="21">
        <v>-207.53</v>
      </c>
      <c r="M11" s="13">
        <f t="shared" si="3"/>
        <v>0.4257727272727081</v>
      </c>
      <c r="N11" s="17">
        <f t="shared" si="4"/>
        <v>-16.101681818181827</v>
      </c>
      <c r="T11" s="11">
        <f>0</f>
        <v>0</v>
      </c>
      <c r="U11" s="5">
        <f t="shared" si="0"/>
        <v>0</v>
      </c>
    </row>
    <row r="12" spans="1:21" x14ac:dyDescent="0.25">
      <c r="A12" s="16" t="s">
        <v>9</v>
      </c>
      <c r="B12" s="16">
        <v>0.68927000000000005</v>
      </c>
      <c r="C12" s="38">
        <v>-189.64</v>
      </c>
      <c r="D12" s="38">
        <v>23.157</v>
      </c>
      <c r="E12" s="23">
        <v>-46.625</v>
      </c>
      <c r="F12" s="11">
        <f>0</f>
        <v>0</v>
      </c>
      <c r="G12" s="16">
        <f t="shared" si="1"/>
        <v>0.68927000000000005</v>
      </c>
      <c r="H12" s="17">
        <f t="shared" si="2"/>
        <v>0</v>
      </c>
      <c r="I12" s="22">
        <v>0.63105</v>
      </c>
      <c r="J12" s="38">
        <v>-832.77</v>
      </c>
      <c r="K12" s="38">
        <v>-14.773999999999999</v>
      </c>
      <c r="L12" s="23">
        <v>-27.236000000000001</v>
      </c>
      <c r="M12" s="16">
        <f t="shared" si="3"/>
        <v>0.63105</v>
      </c>
      <c r="N12" s="11">
        <f t="shared" si="4"/>
        <v>0</v>
      </c>
      <c r="T12" s="17">
        <f>(25-25.7)/25.7</f>
        <v>-2.7237354085603085E-2</v>
      </c>
      <c r="U12" s="5">
        <f t="shared" si="0"/>
        <v>2.7237354085603085E-2</v>
      </c>
    </row>
    <row r="13" spans="1:21" x14ac:dyDescent="0.25">
      <c r="A13" s="13"/>
      <c r="B13" s="13">
        <v>24.353000000000002</v>
      </c>
      <c r="C13" s="14">
        <v>867.37</v>
      </c>
      <c r="D13" s="14">
        <v>-12.47</v>
      </c>
      <c r="E13" s="15">
        <v>-196.61</v>
      </c>
      <c r="F13" s="17">
        <f>(25-25.7)/25.7</f>
        <v>-2.7237354085603085E-2</v>
      </c>
      <c r="G13" s="13">
        <f t="shared" si="1"/>
        <v>0.72813618677045255</v>
      </c>
      <c r="H13" s="17">
        <f t="shared" si="2"/>
        <v>0.33964980544747048</v>
      </c>
      <c r="I13" s="14">
        <v>-1.5601</v>
      </c>
      <c r="J13" s="14">
        <v>-81.753</v>
      </c>
      <c r="K13" s="14">
        <v>-1.8831</v>
      </c>
      <c r="L13" s="15">
        <v>-155.12</v>
      </c>
      <c r="M13" s="13">
        <f t="shared" si="3"/>
        <v>0.66663540856030923</v>
      </c>
      <c r="N13" s="17">
        <f t="shared" si="4"/>
        <v>5.1290661478599169E-2</v>
      </c>
      <c r="T13" s="17">
        <f>(24.2-25.7)/25.7</f>
        <v>-5.8365758754863814E-2</v>
      </c>
      <c r="U13" s="5">
        <f t="shared" si="0"/>
        <v>5.8365758754863814E-2</v>
      </c>
    </row>
    <row r="14" spans="1:21" ht="15.75" thickBot="1" x14ac:dyDescent="0.3">
      <c r="A14" s="13"/>
      <c r="B14" s="13">
        <v>94.668999999999997</v>
      </c>
      <c r="C14" s="14">
        <v>1610.2</v>
      </c>
      <c r="D14" s="14">
        <v>224.43</v>
      </c>
      <c r="E14" s="15">
        <v>-231.24</v>
      </c>
      <c r="F14" s="17">
        <f>(24.2-25.7)/25.7</f>
        <v>-5.8365758754863814E-2</v>
      </c>
      <c r="G14" s="13">
        <f t="shared" si="1"/>
        <v>0.68845525291827414</v>
      </c>
      <c r="H14" s="17">
        <f t="shared" si="2"/>
        <v>-13.099027237354086</v>
      </c>
      <c r="I14" s="14">
        <v>44.332000000000001</v>
      </c>
      <c r="J14" s="14">
        <v>749.1</v>
      </c>
      <c r="K14" s="14">
        <v>179.74</v>
      </c>
      <c r="L14" s="15">
        <v>-180.05</v>
      </c>
      <c r="M14" s="13">
        <f t="shared" si="3"/>
        <v>0.61021011673151548</v>
      </c>
      <c r="N14" s="17">
        <f t="shared" si="4"/>
        <v>-10.490661478599222</v>
      </c>
      <c r="T14" s="18">
        <f>(22.6-25.7)/25.7</f>
        <v>-0.12062256809338513</v>
      </c>
      <c r="U14" s="5">
        <f t="shared" si="0"/>
        <v>0.12062256809338513</v>
      </c>
    </row>
    <row r="15" spans="1:21" ht="15.75" thickBot="1" x14ac:dyDescent="0.3">
      <c r="A15" s="19"/>
      <c r="B15" s="19">
        <v>84.567999999999998</v>
      </c>
      <c r="C15" s="20">
        <v>696.3</v>
      </c>
      <c r="D15" s="20">
        <v>101.55</v>
      </c>
      <c r="E15" s="21">
        <v>-286.27999999999997</v>
      </c>
      <c r="F15" s="18">
        <f>(22.6-25.7)/25.7</f>
        <v>-0.12062256809338513</v>
      </c>
      <c r="G15" s="19">
        <f t="shared" si="1"/>
        <v>0.57850583657594257</v>
      </c>
      <c r="H15" s="17">
        <f t="shared" si="2"/>
        <v>-12.24922178988326</v>
      </c>
      <c r="I15" s="20">
        <v>23.087</v>
      </c>
      <c r="J15" s="20">
        <v>187.71</v>
      </c>
      <c r="K15" s="20">
        <v>121.49</v>
      </c>
      <c r="L15" s="21">
        <v>-195.19</v>
      </c>
      <c r="M15" s="19">
        <f t="shared" si="3"/>
        <v>0.44493774319067469</v>
      </c>
      <c r="N15" s="18">
        <f t="shared" si="4"/>
        <v>-14.654435797665359</v>
      </c>
      <c r="T15" s="17">
        <f>0</f>
        <v>0</v>
      </c>
      <c r="U15" s="5">
        <f t="shared" si="0"/>
        <v>0</v>
      </c>
    </row>
    <row r="16" spans="1:21" x14ac:dyDescent="0.25">
      <c r="A16" s="16" t="s">
        <v>10</v>
      </c>
      <c r="B16" s="16">
        <v>0.70982999999999996</v>
      </c>
      <c r="C16" s="38">
        <v>-428.46</v>
      </c>
      <c r="D16" s="38">
        <v>3.4272</v>
      </c>
      <c r="E16" s="23">
        <v>-23.14</v>
      </c>
      <c r="F16" s="17">
        <f>0</f>
        <v>0</v>
      </c>
      <c r="G16" s="16">
        <f t="shared" si="1"/>
        <v>0.70982999999999996</v>
      </c>
      <c r="H16" s="11">
        <f t="shared" si="2"/>
        <v>0</v>
      </c>
      <c r="I16" s="22">
        <v>0.66274999999999995</v>
      </c>
      <c r="J16" s="38">
        <v>-38.064</v>
      </c>
      <c r="K16" s="38">
        <v>4.5829000000000004</v>
      </c>
      <c r="L16" s="23">
        <v>-10.651999999999999</v>
      </c>
      <c r="M16" s="13">
        <f t="shared" si="3"/>
        <v>0.66274999999999995</v>
      </c>
      <c r="N16" s="17">
        <f t="shared" si="4"/>
        <v>0</v>
      </c>
      <c r="T16" s="17">
        <f>(26.4-28.1)/28.1</f>
        <v>-6.0498220640569492E-2</v>
      </c>
      <c r="U16" s="5">
        <f t="shared" si="0"/>
        <v>6.0498220640569492E-2</v>
      </c>
    </row>
    <row r="17" spans="1:21" x14ac:dyDescent="0.25">
      <c r="A17" s="13"/>
      <c r="B17" s="13">
        <v>-81.838999999999999</v>
      </c>
      <c r="C17" s="14">
        <v>-1364.7</v>
      </c>
      <c r="D17" s="14">
        <v>-20.251999999999999</v>
      </c>
      <c r="E17" s="15">
        <v>-231.74</v>
      </c>
      <c r="F17" s="17">
        <f>(26.4-28.1)/28.1</f>
        <v>-6.0498220640569492E-2</v>
      </c>
      <c r="G17" s="13">
        <f t="shared" si="1"/>
        <v>0.72292170818518287</v>
      </c>
      <c r="H17" s="17">
        <f t="shared" si="2"/>
        <v>1.2252099644128134</v>
      </c>
      <c r="I17" s="14">
        <v>123.75</v>
      </c>
      <c r="J17" s="14">
        <v>2034.6</v>
      </c>
      <c r="K17" s="14">
        <v>52.276000000000003</v>
      </c>
      <c r="L17" s="15">
        <v>-185.15</v>
      </c>
      <c r="M17" s="13">
        <f t="shared" si="3"/>
        <v>0.6603202846973204</v>
      </c>
      <c r="N17" s="17">
        <f t="shared" si="4"/>
        <v>-3.1626049822064108</v>
      </c>
      <c r="T17" s="17">
        <f>(25.3-28.1)/28.1</f>
        <v>-9.964412811387903E-2</v>
      </c>
      <c r="U17" s="5">
        <f t="shared" si="0"/>
        <v>9.964412811387903E-2</v>
      </c>
    </row>
    <row r="18" spans="1:21" ht="15.75" thickBot="1" x14ac:dyDescent="0.3">
      <c r="A18" s="13"/>
      <c r="B18" s="13">
        <v>140.78</v>
      </c>
      <c r="C18" s="14">
        <v>1406.6</v>
      </c>
      <c r="D18" s="14">
        <v>13.737</v>
      </c>
      <c r="E18" s="15">
        <v>-269.37</v>
      </c>
      <c r="F18" s="17">
        <f>(25.3-28.1)/28.1</f>
        <v>-9.964412811387903E-2</v>
      </c>
      <c r="G18" s="13">
        <f t="shared" si="1"/>
        <v>0.62056939501775332</v>
      </c>
      <c r="H18" s="17">
        <f t="shared" si="2"/>
        <v>-1.3688113879003563</v>
      </c>
      <c r="I18" s="14">
        <v>55.841999999999999</v>
      </c>
      <c r="J18" s="14">
        <v>555.13</v>
      </c>
      <c r="K18" s="14">
        <v>211.96</v>
      </c>
      <c r="L18" s="15">
        <v>-190.83</v>
      </c>
      <c r="M18" s="13">
        <f t="shared" si="3"/>
        <v>0.52655516014233683</v>
      </c>
      <c r="N18" s="17">
        <f t="shared" si="4"/>
        <v>-21.1205693950178</v>
      </c>
      <c r="T18" s="18">
        <f>(24-28.1)/28.1</f>
        <v>-0.14590747330960857</v>
      </c>
      <c r="U18" s="5">
        <f t="shared" si="0"/>
        <v>0.14590747330960857</v>
      </c>
    </row>
    <row r="19" spans="1:21" ht="15.75" thickBot="1" x14ac:dyDescent="0.3">
      <c r="A19" s="19"/>
      <c r="B19" s="19">
        <v>34.097000000000001</v>
      </c>
      <c r="C19" s="20">
        <v>229.74</v>
      </c>
      <c r="D19" s="20">
        <v>190.95</v>
      </c>
      <c r="E19" s="21">
        <v>-298.52999999999997</v>
      </c>
      <c r="F19" s="18">
        <f>(24-28.1)/28.1</f>
        <v>-0.14590747330960857</v>
      </c>
      <c r="G19" s="19">
        <f t="shared" si="1"/>
        <v>0.57621708185052967</v>
      </c>
      <c r="H19" s="18">
        <f t="shared" si="2"/>
        <v>-27.861032028469754</v>
      </c>
      <c r="I19" s="20">
        <v>24.933</v>
      </c>
      <c r="J19" s="20">
        <v>168.28</v>
      </c>
      <c r="K19" s="20">
        <v>108.43</v>
      </c>
      <c r="L19" s="21">
        <v>-183.49</v>
      </c>
      <c r="M19" s="19">
        <f t="shared" si="3"/>
        <v>0.37969039145906791</v>
      </c>
      <c r="N19" s="18">
        <f t="shared" si="4"/>
        <v>-15.820747330960858</v>
      </c>
      <c r="T19" s="17">
        <f>0</f>
        <v>0</v>
      </c>
      <c r="U19" s="5">
        <f t="shared" si="0"/>
        <v>0</v>
      </c>
    </row>
    <row r="20" spans="1:21" x14ac:dyDescent="0.25">
      <c r="A20" s="11" t="s">
        <v>11</v>
      </c>
      <c r="B20" s="16">
        <v>0.71596000000000004</v>
      </c>
      <c r="C20" s="38">
        <v>-1010.4</v>
      </c>
      <c r="D20" s="38">
        <v>-36.225000000000001</v>
      </c>
      <c r="E20" s="23">
        <v>-38.988999999999997</v>
      </c>
      <c r="F20" s="17">
        <f>0</f>
        <v>0</v>
      </c>
      <c r="G20" s="16">
        <f t="shared" si="1"/>
        <v>0.71596000000000004</v>
      </c>
      <c r="H20" s="17">
        <f t="shared" si="2"/>
        <v>0</v>
      </c>
      <c r="I20" s="22">
        <v>0.66181999999999996</v>
      </c>
      <c r="J20" s="38">
        <v>-97.274000000000001</v>
      </c>
      <c r="K20" s="38">
        <v>23.042999999999999</v>
      </c>
      <c r="L20" s="23">
        <v>-25.815999999999999</v>
      </c>
      <c r="M20" s="13">
        <f t="shared" si="3"/>
        <v>0.66181999999999996</v>
      </c>
      <c r="N20" s="17">
        <f t="shared" si="4"/>
        <v>0</v>
      </c>
      <c r="T20" s="17">
        <f>(26.9-28.1)/28.1</f>
        <v>-4.2704626334519671E-2</v>
      </c>
      <c r="U20" s="5">
        <f t="shared" si="0"/>
        <v>4.2704626334519671E-2</v>
      </c>
    </row>
    <row r="21" spans="1:21" x14ac:dyDescent="0.25">
      <c r="A21" s="17" t="s">
        <v>12</v>
      </c>
      <c r="B21" s="13">
        <v>227.68</v>
      </c>
      <c r="C21" s="14">
        <v>5314.1</v>
      </c>
      <c r="D21" s="14">
        <v>293.52</v>
      </c>
      <c r="E21" s="15">
        <v>-231.11</v>
      </c>
      <c r="F21" s="17">
        <f>(26.9-28.1)/28.1</f>
        <v>-4.2704626334519671E-2</v>
      </c>
      <c r="G21" s="13">
        <f t="shared" si="1"/>
        <v>0.74334519572900604</v>
      </c>
      <c r="H21" s="17">
        <f t="shared" si="2"/>
        <v>-12.534661921708214</v>
      </c>
      <c r="I21" s="14">
        <v>10.037000000000001</v>
      </c>
      <c r="J21" s="14">
        <v>219.37</v>
      </c>
      <c r="K21" s="14">
        <v>19.692</v>
      </c>
      <c r="L21" s="15">
        <v>-193.79</v>
      </c>
      <c r="M21" s="13">
        <f t="shared" si="3"/>
        <v>0.66888612099642053</v>
      </c>
      <c r="N21" s="17">
        <f t="shared" si="4"/>
        <v>-0.84093950177936139</v>
      </c>
      <c r="T21" s="17">
        <f>(25.9-28.1)/28.1</f>
        <v>-7.8291814946619312E-2</v>
      </c>
      <c r="U21" s="5">
        <f t="shared" si="0"/>
        <v>7.8291814946619312E-2</v>
      </c>
    </row>
    <row r="22" spans="1:21" ht="15.75" thickBot="1" x14ac:dyDescent="0.3">
      <c r="A22" s="17"/>
      <c r="B22" s="13">
        <v>246.87</v>
      </c>
      <c r="C22" s="14">
        <v>3144.5</v>
      </c>
      <c r="D22" s="14">
        <v>606.42999999999995</v>
      </c>
      <c r="E22" s="15">
        <v>-232.94</v>
      </c>
      <c r="F22" s="17">
        <f>(25.9-28.1)/28.1</f>
        <v>-7.8291814946619312E-2</v>
      </c>
      <c r="G22" s="13">
        <f t="shared" si="1"/>
        <v>0.68138790035558827</v>
      </c>
      <c r="H22" s="17">
        <f t="shared" si="2"/>
        <v>-47.478505338078342</v>
      </c>
      <c r="I22" s="14">
        <v>169.8</v>
      </c>
      <c r="J22" s="14">
        <v>2160.9</v>
      </c>
      <c r="K22" s="14">
        <v>201.06</v>
      </c>
      <c r="L22" s="15">
        <v>-216.56</v>
      </c>
      <c r="M22" s="13">
        <f t="shared" si="3"/>
        <v>0.61921708185033708</v>
      </c>
      <c r="N22" s="17">
        <f t="shared" si="4"/>
        <v>-15.74135231316728</v>
      </c>
      <c r="T22" s="18">
        <f>(24.8-28.1)/28.1</f>
        <v>-0.11743772241992885</v>
      </c>
      <c r="U22" s="5">
        <f t="shared" si="0"/>
        <v>0.11743772241992885</v>
      </c>
    </row>
    <row r="23" spans="1:21" ht="15.75" thickBot="1" x14ac:dyDescent="0.3">
      <c r="A23" s="18"/>
      <c r="B23" s="19">
        <v>39.915999999999997</v>
      </c>
      <c r="C23" s="20">
        <v>334.67</v>
      </c>
      <c r="D23" s="20">
        <v>152.74</v>
      </c>
      <c r="E23" s="21">
        <v>-291.58999999999997</v>
      </c>
      <c r="F23" s="18">
        <f>(24.8-28.1)/28.1</f>
        <v>-0.11743772241992885</v>
      </c>
      <c r="G23" s="19">
        <f t="shared" si="1"/>
        <v>0.61311743772240845</v>
      </c>
      <c r="H23" s="18">
        <f t="shared" si="2"/>
        <v>-17.937437722419933</v>
      </c>
      <c r="I23" s="20">
        <v>50.731999999999999</v>
      </c>
      <c r="J23" s="20">
        <v>427.7</v>
      </c>
      <c r="K23" s="20">
        <v>154.15</v>
      </c>
      <c r="L23" s="21">
        <v>-217.14</v>
      </c>
      <c r="M23" s="19">
        <f t="shared" si="3"/>
        <v>0.50388612099643382</v>
      </c>
      <c r="N23" s="18">
        <f t="shared" si="4"/>
        <v>-18.103024911032033</v>
      </c>
      <c r="T23" s="24">
        <f>0</f>
        <v>0</v>
      </c>
      <c r="U23" s="5">
        <f t="shared" si="0"/>
        <v>0</v>
      </c>
    </row>
    <row r="24" spans="1:21" x14ac:dyDescent="0.25">
      <c r="A24" s="24" t="s">
        <v>20</v>
      </c>
      <c r="B24" s="25">
        <v>1.7307999999999999</v>
      </c>
      <c r="C24" s="39">
        <v>-1312.2</v>
      </c>
      <c r="D24" s="39">
        <v>3.8919000000000001</v>
      </c>
      <c r="E24" s="25">
        <v>-120.17</v>
      </c>
      <c r="F24" s="24">
        <f>0</f>
        <v>0</v>
      </c>
      <c r="G24" s="26">
        <f>(B24+(C24*F24))</f>
        <v>1.7307999999999999</v>
      </c>
      <c r="H24" s="24">
        <f>D24*F24</f>
        <v>0</v>
      </c>
      <c r="I24" s="25">
        <v>1.6816</v>
      </c>
      <c r="J24" s="39">
        <v>685.2</v>
      </c>
      <c r="K24" s="39">
        <v>81.186000000000007</v>
      </c>
      <c r="L24" s="25">
        <v>-117.83</v>
      </c>
      <c r="M24" s="26">
        <f>(I24+J24*F24)</f>
        <v>1.6816</v>
      </c>
      <c r="N24" s="24">
        <f>K24*F24</f>
        <v>0</v>
      </c>
      <c r="T24" s="27">
        <f>(8.5-9.8)/9.8</f>
        <v>-0.13265306122448986</v>
      </c>
      <c r="U24" s="5">
        <f t="shared" si="0"/>
        <v>0.13265306122448986</v>
      </c>
    </row>
    <row r="25" spans="1:21" ht="15.75" thickBot="1" x14ac:dyDescent="0.3">
      <c r="A25" s="27"/>
      <c r="B25" s="25">
        <v>34.308999999999997</v>
      </c>
      <c r="C25" s="25">
        <v>252.24</v>
      </c>
      <c r="D25" s="25">
        <v>103.51</v>
      </c>
      <c r="E25" s="25">
        <v>-241.27</v>
      </c>
      <c r="F25" s="27">
        <f>(8.5-9.8)/9.8</f>
        <v>-0.13265306122448986</v>
      </c>
      <c r="G25" s="28">
        <f t="shared" ref="G25:G40" si="5">(B25+(C25*F25))</f>
        <v>0.84859183673467697</v>
      </c>
      <c r="H25" s="27">
        <f t="shared" ref="H25:H40" si="6">D25*F25</f>
        <v>-13.730918367346947</v>
      </c>
      <c r="I25" s="25">
        <v>-6.6444000000000001</v>
      </c>
      <c r="J25" s="25">
        <v>-56.286000000000001</v>
      </c>
      <c r="K25" s="25">
        <v>111.2</v>
      </c>
      <c r="L25" s="25">
        <v>-221.35</v>
      </c>
      <c r="M25" s="28">
        <f t="shared" ref="M25:M40" si="7">(I25+J25*F25)</f>
        <v>0.82211020408163638</v>
      </c>
      <c r="N25" s="27">
        <f t="shared" ref="N25:N40" si="8">K25*F25</f>
        <v>-14.751020408163273</v>
      </c>
      <c r="T25" s="27">
        <f>(7.8-9.8)/9.8</f>
        <v>-0.20408163265306131</v>
      </c>
      <c r="U25" s="5">
        <f t="shared" si="0"/>
        <v>0.20408163265306131</v>
      </c>
    </row>
    <row r="26" spans="1:21" ht="15.75" thickBot="1" x14ac:dyDescent="0.3">
      <c r="A26" s="27"/>
      <c r="B26" s="25">
        <v>24.077999999999999</v>
      </c>
      <c r="C26" s="25">
        <v>115.38</v>
      </c>
      <c r="D26" s="25">
        <v>137.63999999999999</v>
      </c>
      <c r="E26" s="25">
        <v>-227.89</v>
      </c>
      <c r="F26" s="27">
        <f>(7.8-9.8)/9.8</f>
        <v>-0.20408163265306131</v>
      </c>
      <c r="G26" s="28">
        <f t="shared" si="5"/>
        <v>0.5310612244897861</v>
      </c>
      <c r="H26" s="27">
        <f t="shared" si="6"/>
        <v>-28.089795918367358</v>
      </c>
      <c r="I26" s="25">
        <v>2.7886000000000002</v>
      </c>
      <c r="J26" s="25">
        <v>11.275</v>
      </c>
      <c r="K26" s="25">
        <v>73.433999999999997</v>
      </c>
      <c r="L26" s="25">
        <v>-210.14</v>
      </c>
      <c r="M26" s="28">
        <f t="shared" si="7"/>
        <v>0.48757959183673361</v>
      </c>
      <c r="N26" s="27">
        <f t="shared" si="8"/>
        <v>-14.986530612244904</v>
      </c>
      <c r="T26" s="24">
        <v>0</v>
      </c>
      <c r="U26" s="5">
        <f t="shared" si="0"/>
        <v>0</v>
      </c>
    </row>
    <row r="27" spans="1:21" x14ac:dyDescent="0.25">
      <c r="A27" s="24" t="s">
        <v>21</v>
      </c>
      <c r="B27" s="26">
        <v>1.8329</v>
      </c>
      <c r="C27" s="40">
        <v>-841.25</v>
      </c>
      <c r="D27" s="40">
        <v>-2.9765999999999999</v>
      </c>
      <c r="E27" s="29">
        <v>-73.956000000000003</v>
      </c>
      <c r="F27" s="24">
        <v>0</v>
      </c>
      <c r="G27" s="26">
        <f t="shared" si="5"/>
        <v>1.8329</v>
      </c>
      <c r="H27" s="24">
        <f t="shared" si="6"/>
        <v>0</v>
      </c>
      <c r="I27" s="29">
        <v>1.7966</v>
      </c>
      <c r="J27" s="40">
        <v>77.501999999999995</v>
      </c>
      <c r="K27" s="40">
        <v>41.11</v>
      </c>
      <c r="L27" s="30">
        <v>-78.972999999999999</v>
      </c>
      <c r="M27" s="26">
        <f t="shared" si="7"/>
        <v>1.7966</v>
      </c>
      <c r="N27" s="24">
        <f t="shared" si="8"/>
        <v>0</v>
      </c>
      <c r="T27" s="27">
        <f>(11-12)/12</f>
        <v>-8.3333333333333329E-2</v>
      </c>
      <c r="U27" s="5">
        <f t="shared" si="0"/>
        <v>8.3333333333333329E-2</v>
      </c>
    </row>
    <row r="28" spans="1:21" ht="15.75" thickBot="1" x14ac:dyDescent="0.3">
      <c r="A28" s="27"/>
      <c r="B28" s="28">
        <v>-26.149000000000001</v>
      </c>
      <c r="C28" s="31">
        <v>-329.57</v>
      </c>
      <c r="D28" s="31">
        <v>95.840999999999994</v>
      </c>
      <c r="E28" s="31">
        <v>-220.19</v>
      </c>
      <c r="F28" s="27">
        <f>(11-12)/12</f>
        <v>-8.3333333333333329E-2</v>
      </c>
      <c r="G28" s="28">
        <f t="shared" si="5"/>
        <v>1.3151666666666628</v>
      </c>
      <c r="H28" s="27">
        <f t="shared" si="6"/>
        <v>-7.9867499999999989</v>
      </c>
      <c r="I28" s="31">
        <v>-18.748000000000001</v>
      </c>
      <c r="J28" s="31">
        <v>-240.68</v>
      </c>
      <c r="K28" s="31">
        <v>270.58999999999997</v>
      </c>
      <c r="L28" s="32">
        <v>-201.52</v>
      </c>
      <c r="M28" s="28">
        <f t="shared" si="7"/>
        <v>1.3086666666666638</v>
      </c>
      <c r="N28" s="27">
        <f t="shared" si="8"/>
        <v>-22.549166666666665</v>
      </c>
      <c r="T28" s="33">
        <f>(10-12)/12</f>
        <v>-0.16666666666666666</v>
      </c>
      <c r="U28" s="5">
        <f t="shared" si="0"/>
        <v>0.16666666666666666</v>
      </c>
    </row>
    <row r="29" spans="1:21" ht="15.75" thickBot="1" x14ac:dyDescent="0.3">
      <c r="A29" s="33"/>
      <c r="B29" s="34">
        <v>20.027999999999999</v>
      </c>
      <c r="C29" s="35">
        <v>114.79</v>
      </c>
      <c r="D29" s="35">
        <v>114.95</v>
      </c>
      <c r="E29" s="35">
        <v>-227.65</v>
      </c>
      <c r="F29" s="33">
        <f>(10-12)/12</f>
        <v>-0.16666666666666666</v>
      </c>
      <c r="G29" s="34">
        <f t="shared" si="5"/>
        <v>0.89633333333333098</v>
      </c>
      <c r="H29" s="33">
        <f t="shared" si="6"/>
        <v>-19.158333333333331</v>
      </c>
      <c r="I29" s="35">
        <v>58.508000000000003</v>
      </c>
      <c r="J29" s="35">
        <v>345.88</v>
      </c>
      <c r="K29" s="35">
        <v>129.57</v>
      </c>
      <c r="L29" s="36">
        <v>-203.65</v>
      </c>
      <c r="M29" s="28">
        <f t="shared" si="7"/>
        <v>0.8613333333333415</v>
      </c>
      <c r="N29" s="27">
        <f t="shared" si="8"/>
        <v>-21.594999999999999</v>
      </c>
      <c r="T29" s="27">
        <v>0</v>
      </c>
      <c r="U29" s="5">
        <f t="shared" si="0"/>
        <v>0</v>
      </c>
    </row>
    <row r="30" spans="1:21" x14ac:dyDescent="0.25">
      <c r="A30" s="26" t="s">
        <v>22</v>
      </c>
      <c r="B30" s="28">
        <v>2.1844999999999999</v>
      </c>
      <c r="C30" s="41">
        <v>-910.8</v>
      </c>
      <c r="D30" s="41">
        <v>5.7714999999999996</v>
      </c>
      <c r="E30" s="32">
        <v>-193.11</v>
      </c>
      <c r="F30" s="27">
        <v>0</v>
      </c>
      <c r="G30" s="28">
        <f t="shared" si="5"/>
        <v>2.1844999999999999</v>
      </c>
      <c r="H30" s="27">
        <f t="shared" si="6"/>
        <v>0</v>
      </c>
      <c r="I30" s="25">
        <v>2.1497999999999999</v>
      </c>
      <c r="J30" s="39">
        <v>-2579.8000000000002</v>
      </c>
      <c r="K30" s="39">
        <v>-76.227000000000004</v>
      </c>
      <c r="L30" s="25">
        <v>-181.01</v>
      </c>
      <c r="M30" s="26">
        <f t="shared" si="7"/>
        <v>2.1497999999999999</v>
      </c>
      <c r="N30" s="24">
        <f t="shared" si="8"/>
        <v>0</v>
      </c>
      <c r="T30" s="27">
        <f>(21.9-22.5)/22.5</f>
        <v>-2.6666666666666731E-2</v>
      </c>
      <c r="U30" s="5">
        <f t="shared" si="0"/>
        <v>2.6666666666666731E-2</v>
      </c>
    </row>
    <row r="31" spans="1:21" ht="15.75" thickBot="1" x14ac:dyDescent="0.3">
      <c r="A31" s="28"/>
      <c r="B31" s="28">
        <v>-60.94</v>
      </c>
      <c r="C31" s="31">
        <v>-2354.6</v>
      </c>
      <c r="D31" s="31">
        <v>168.87</v>
      </c>
      <c r="E31" s="32">
        <v>-281.02999999999997</v>
      </c>
      <c r="F31" s="27">
        <f>(21.9-22.5)/22.5</f>
        <v>-2.6666666666666731E-2</v>
      </c>
      <c r="G31" s="28">
        <f t="shared" si="5"/>
        <v>1.8493333333334832</v>
      </c>
      <c r="H31" s="27">
        <f t="shared" si="6"/>
        <v>-4.5032000000000112</v>
      </c>
      <c r="I31" s="25">
        <v>-49.665999999999997</v>
      </c>
      <c r="J31" s="25">
        <v>-1930.1</v>
      </c>
      <c r="K31" s="25">
        <v>183.27</v>
      </c>
      <c r="L31" s="25">
        <v>-258</v>
      </c>
      <c r="M31" s="28">
        <f t="shared" si="7"/>
        <v>1.8033333333334554</v>
      </c>
      <c r="N31" s="27">
        <f t="shared" si="8"/>
        <v>-4.8872000000000124</v>
      </c>
      <c r="T31" s="27">
        <f>(20.9-22.5)/22.5</f>
        <v>-7.111111111111118E-2</v>
      </c>
      <c r="U31" s="5">
        <f t="shared" si="0"/>
        <v>7.111111111111118E-2</v>
      </c>
    </row>
    <row r="32" spans="1:21" ht="15.75" thickBot="1" x14ac:dyDescent="0.3">
      <c r="A32" s="28"/>
      <c r="B32" s="28">
        <v>-25.206</v>
      </c>
      <c r="C32" s="31">
        <v>-375.7</v>
      </c>
      <c r="D32" s="31">
        <v>210.12</v>
      </c>
      <c r="E32" s="32">
        <v>-284.70999999999998</v>
      </c>
      <c r="F32" s="27">
        <f>(20.9-22.5)/22.5</f>
        <v>-7.111111111111118E-2</v>
      </c>
      <c r="G32" s="28">
        <f t="shared" si="5"/>
        <v>1.5104444444444702</v>
      </c>
      <c r="H32" s="27">
        <f t="shared" si="6"/>
        <v>-14.941866666666682</v>
      </c>
      <c r="I32" s="25">
        <v>-4.859</v>
      </c>
      <c r="J32" s="25">
        <v>-88.891999999999996</v>
      </c>
      <c r="K32" s="25">
        <v>109.49</v>
      </c>
      <c r="L32" s="25">
        <v>-265.62</v>
      </c>
      <c r="M32" s="28">
        <f t="shared" si="7"/>
        <v>1.4622088888888944</v>
      </c>
      <c r="N32" s="27">
        <f t="shared" si="8"/>
        <v>-7.7859555555555628</v>
      </c>
      <c r="T32" s="24">
        <v>0</v>
      </c>
      <c r="U32" s="5">
        <f t="shared" si="0"/>
        <v>0</v>
      </c>
    </row>
    <row r="33" spans="1:21" x14ac:dyDescent="0.25">
      <c r="A33" s="26" t="s">
        <v>23</v>
      </c>
      <c r="B33" s="26">
        <v>2.3146</v>
      </c>
      <c r="C33" s="40">
        <v>-96.174999999999997</v>
      </c>
      <c r="D33" s="40">
        <v>20.965</v>
      </c>
      <c r="E33" s="30">
        <v>-138.41999999999999</v>
      </c>
      <c r="F33" s="24">
        <v>0</v>
      </c>
      <c r="G33" s="26">
        <f t="shared" si="5"/>
        <v>2.3146</v>
      </c>
      <c r="H33" s="24">
        <f t="shared" si="6"/>
        <v>0</v>
      </c>
      <c r="I33" s="26">
        <v>2.2915999999999999</v>
      </c>
      <c r="J33" s="40">
        <v>811.64</v>
      </c>
      <c r="K33" s="40">
        <v>-36.811</v>
      </c>
      <c r="L33" s="30">
        <v>-132.66999999999999</v>
      </c>
      <c r="M33" s="26">
        <f t="shared" si="7"/>
        <v>2.2915999999999999</v>
      </c>
      <c r="N33" s="24">
        <f t="shared" si="8"/>
        <v>0</v>
      </c>
      <c r="T33" s="27">
        <f>(26.1-27.4)/27.4</f>
        <v>-4.7445255474452455E-2</v>
      </c>
      <c r="U33" s="5">
        <f t="shared" si="0"/>
        <v>4.7445255474452455E-2</v>
      </c>
    </row>
    <row r="34" spans="1:21" x14ac:dyDescent="0.25">
      <c r="A34" s="28"/>
      <c r="B34" s="28">
        <v>41.417000000000002</v>
      </c>
      <c r="C34" s="31">
        <v>829.62</v>
      </c>
      <c r="D34" s="31">
        <v>-220.88</v>
      </c>
      <c r="E34" s="32">
        <v>-294.95</v>
      </c>
      <c r="F34" s="27">
        <f>(26.1-27.4)/27.4</f>
        <v>-4.7445255474452455E-2</v>
      </c>
      <c r="G34" s="28">
        <f t="shared" si="5"/>
        <v>2.0554671532847522</v>
      </c>
      <c r="H34" s="27">
        <f t="shared" si="6"/>
        <v>10.479708029197058</v>
      </c>
      <c r="I34" s="28">
        <v>-124.31</v>
      </c>
      <c r="J34" s="31">
        <v>-2662.7</v>
      </c>
      <c r="K34" s="31">
        <v>907.22</v>
      </c>
      <c r="L34" s="32">
        <v>-226.89</v>
      </c>
      <c r="M34" s="28">
        <f t="shared" si="7"/>
        <v>2.022481751824543</v>
      </c>
      <c r="N34" s="27">
        <f t="shared" si="8"/>
        <v>-43.04328467153276</v>
      </c>
      <c r="T34" s="27">
        <f>(25.2-27.4)/27.4</f>
        <v>-8.0291970802919679E-2</v>
      </c>
      <c r="U34" s="5">
        <f t="shared" si="0"/>
        <v>8.0291970802919679E-2</v>
      </c>
    </row>
    <row r="35" spans="1:21" ht="15.75" thickBot="1" x14ac:dyDescent="0.3">
      <c r="A35" s="28"/>
      <c r="B35" s="28">
        <v>20.596</v>
      </c>
      <c r="C35" s="31">
        <v>233.15</v>
      </c>
      <c r="D35" s="31">
        <v>187.15</v>
      </c>
      <c r="E35" s="32">
        <v>-294.76</v>
      </c>
      <c r="F35" s="27">
        <f>(25.2-27.4)/27.4</f>
        <v>-8.0291970802919679E-2</v>
      </c>
      <c r="G35" s="28">
        <f t="shared" si="5"/>
        <v>1.8759270072992749</v>
      </c>
      <c r="H35" s="27">
        <f t="shared" si="6"/>
        <v>-15.026642335766418</v>
      </c>
      <c r="I35" s="28">
        <v>35.29</v>
      </c>
      <c r="J35" s="31">
        <v>416.63</v>
      </c>
      <c r="K35" s="31">
        <v>73.953999999999994</v>
      </c>
      <c r="L35" s="32">
        <v>-285.04000000000002</v>
      </c>
      <c r="M35" s="28">
        <f t="shared" si="7"/>
        <v>1.837956204379573</v>
      </c>
      <c r="N35" s="27">
        <f t="shared" si="8"/>
        <v>-5.9379124087591215</v>
      </c>
      <c r="T35" s="33">
        <f>(24.1-27.4)/27.4</f>
        <v>-0.12043795620437947</v>
      </c>
      <c r="U35" s="5">
        <f t="shared" si="0"/>
        <v>0.12043795620437947</v>
      </c>
    </row>
    <row r="36" spans="1:21" ht="15.75" thickBot="1" x14ac:dyDescent="0.3">
      <c r="A36" s="34"/>
      <c r="B36" s="34">
        <v>-63.758000000000003</v>
      </c>
      <c r="C36" s="35">
        <v>-541.62</v>
      </c>
      <c r="D36" s="35">
        <v>273.35000000000002</v>
      </c>
      <c r="E36" s="36">
        <v>-298.25</v>
      </c>
      <c r="F36" s="33">
        <f>(24.1-27.4)/27.4</f>
        <v>-0.12043795620437947</v>
      </c>
      <c r="G36" s="34">
        <f t="shared" si="5"/>
        <v>1.4736058394160025</v>
      </c>
      <c r="H36" s="33">
        <f t="shared" si="6"/>
        <v>-32.92171532846713</v>
      </c>
      <c r="I36" s="34">
        <v>27.135000000000002</v>
      </c>
      <c r="J36" s="35">
        <v>213.49</v>
      </c>
      <c r="K36" s="35">
        <v>147.08000000000001</v>
      </c>
      <c r="L36" s="36">
        <v>-286.63</v>
      </c>
      <c r="M36" s="34">
        <f t="shared" si="7"/>
        <v>1.4227007299270262</v>
      </c>
      <c r="N36" s="33">
        <f t="shared" si="8"/>
        <v>-17.714014598540135</v>
      </c>
      <c r="T36" s="27">
        <v>0</v>
      </c>
      <c r="U36" s="5">
        <f t="shared" si="0"/>
        <v>0</v>
      </c>
    </row>
    <row r="37" spans="1:21" x14ac:dyDescent="0.25">
      <c r="A37" s="24" t="s">
        <v>24</v>
      </c>
      <c r="B37" s="28">
        <v>2.2906</v>
      </c>
      <c r="C37" s="41">
        <v>1009.5</v>
      </c>
      <c r="D37" s="41">
        <v>-36.643999999999998</v>
      </c>
      <c r="E37" s="32">
        <v>-162.54</v>
      </c>
      <c r="F37" s="27">
        <v>0</v>
      </c>
      <c r="G37" s="26">
        <f t="shared" si="5"/>
        <v>2.2906</v>
      </c>
      <c r="H37" s="27">
        <f t="shared" si="6"/>
        <v>0</v>
      </c>
      <c r="I37" s="26">
        <v>2.2618999999999998</v>
      </c>
      <c r="J37" s="40">
        <v>-1335.1</v>
      </c>
      <c r="K37" s="40">
        <v>-5.7336999999999998</v>
      </c>
      <c r="L37" s="30">
        <v>-153.32</v>
      </c>
      <c r="M37" s="28">
        <f t="shared" si="7"/>
        <v>2.2618999999999998</v>
      </c>
      <c r="N37" s="27">
        <f t="shared" si="8"/>
        <v>0</v>
      </c>
      <c r="T37" s="27">
        <f>(36.2-39.8)/39.8</f>
        <v>-9.0452261306532528E-2</v>
      </c>
      <c r="U37" s="5">
        <f t="shared" si="0"/>
        <v>9.0452261306532528E-2</v>
      </c>
    </row>
    <row r="38" spans="1:21" x14ac:dyDescent="0.25">
      <c r="A38" s="27" t="s">
        <v>12</v>
      </c>
      <c r="B38" s="28">
        <v>-19.529</v>
      </c>
      <c r="C38" s="31">
        <v>-235.66</v>
      </c>
      <c r="D38" s="31">
        <v>556.80999999999995</v>
      </c>
      <c r="E38" s="32">
        <v>-290.29000000000002</v>
      </c>
      <c r="F38" s="27">
        <f>(36.2-39.8)/39.8</f>
        <v>-9.0452261306532528E-2</v>
      </c>
      <c r="G38" s="28">
        <f t="shared" si="5"/>
        <v>1.7869798994974566</v>
      </c>
      <c r="H38" s="27">
        <f t="shared" si="6"/>
        <v>-50.364723618090373</v>
      </c>
      <c r="I38" s="28">
        <v>8.4263999999999992</v>
      </c>
      <c r="J38" s="31">
        <v>73.897000000000006</v>
      </c>
      <c r="K38" s="31">
        <v>42.28</v>
      </c>
      <c r="L38" s="32">
        <v>-315.08</v>
      </c>
      <c r="M38" s="28">
        <f t="shared" si="7"/>
        <v>1.7422492462311645</v>
      </c>
      <c r="N38" s="27">
        <f t="shared" si="8"/>
        <v>-3.8243216080401954</v>
      </c>
      <c r="T38" s="27">
        <f>(35.1-39.8)/39.8</f>
        <v>-0.11809045226130643</v>
      </c>
      <c r="U38" s="5">
        <f t="shared" si="0"/>
        <v>0.11809045226130643</v>
      </c>
    </row>
    <row r="39" spans="1:21" ht="15.75" thickBot="1" x14ac:dyDescent="0.3">
      <c r="A39" s="27"/>
      <c r="B39" s="28">
        <v>32.628</v>
      </c>
      <c r="C39" s="31">
        <v>263.19</v>
      </c>
      <c r="D39" s="31">
        <v>25.510999999999999</v>
      </c>
      <c r="E39" s="32">
        <v>-341.22</v>
      </c>
      <c r="F39" s="27">
        <f>(35.1-39.8)/39.8</f>
        <v>-0.11809045226130643</v>
      </c>
      <c r="G39" s="28">
        <f t="shared" si="5"/>
        <v>1.5477738693467593</v>
      </c>
      <c r="H39" s="27">
        <f t="shared" si="6"/>
        <v>-3.0126055276381885</v>
      </c>
      <c r="I39" s="28">
        <v>80.347999999999999</v>
      </c>
      <c r="J39" s="31">
        <v>667.72</v>
      </c>
      <c r="K39" s="31">
        <v>82.83</v>
      </c>
      <c r="L39" s="32">
        <v>-309.61</v>
      </c>
      <c r="M39" s="28">
        <f t="shared" si="7"/>
        <v>1.4966432160804573</v>
      </c>
      <c r="N39" s="27">
        <f t="shared" si="8"/>
        <v>-9.7814321608040125</v>
      </c>
      <c r="T39" s="33">
        <f>(32.8-39.8)/39.8</f>
        <v>-0.17587939698492464</v>
      </c>
      <c r="U39" s="5">
        <f t="shared" si="0"/>
        <v>0.17587939698492464</v>
      </c>
    </row>
    <row r="40" spans="1:21" ht="15.75" thickBot="1" x14ac:dyDescent="0.3">
      <c r="A40" s="33"/>
      <c r="B40" s="34">
        <v>28.164000000000001</v>
      </c>
      <c r="C40" s="35">
        <v>153.84</v>
      </c>
      <c r="D40" s="35">
        <v>261.05</v>
      </c>
      <c r="E40" s="36">
        <v>-309.38</v>
      </c>
      <c r="F40" s="33">
        <f>(32.8-39.8)/39.8</f>
        <v>-0.17587939698492464</v>
      </c>
      <c r="G40" s="34">
        <f t="shared" si="5"/>
        <v>1.1067135678391935</v>
      </c>
      <c r="H40" s="33">
        <f t="shared" si="6"/>
        <v>-45.913316582914575</v>
      </c>
      <c r="I40" s="34">
        <v>63.173000000000002</v>
      </c>
      <c r="J40" s="35">
        <v>353.29</v>
      </c>
      <c r="K40" s="35">
        <v>130.25</v>
      </c>
      <c r="L40" s="36">
        <v>-298.29000000000002</v>
      </c>
      <c r="M40" s="34">
        <f t="shared" si="7"/>
        <v>1.0365678391959747</v>
      </c>
      <c r="N40" s="33">
        <f t="shared" si="8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2A33-C292-428D-AE8B-D5449C6ECBAA}">
  <dimension ref="A1:S66"/>
  <sheetViews>
    <sheetView workbookViewId="0">
      <selection sqref="A1:S66"/>
    </sheetView>
  </sheetViews>
  <sheetFormatPr defaultRowHeight="15" x14ac:dyDescent="0.25"/>
  <sheetData>
    <row r="1" spans="1:19" ht="15.75" thickBot="1" x14ac:dyDescent="0.3">
      <c r="A1" t="s">
        <v>13</v>
      </c>
      <c r="B1" t="s">
        <v>95</v>
      </c>
      <c r="F1" t="s">
        <v>96</v>
      </c>
      <c r="M1" s="217" t="s">
        <v>92</v>
      </c>
      <c r="N1" s="217"/>
      <c r="O1" s="218" t="s">
        <v>93</v>
      </c>
      <c r="P1" s="218"/>
    </row>
    <row r="2" spans="1:19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04" t="s">
        <v>85</v>
      </c>
      <c r="K2" s="204" t="s">
        <v>88</v>
      </c>
      <c r="L2" s="204" t="s">
        <v>87</v>
      </c>
      <c r="M2" s="205" t="s">
        <v>89</v>
      </c>
      <c r="N2" s="206" t="s">
        <v>90</v>
      </c>
      <c r="O2" s="118" t="s">
        <v>89</v>
      </c>
      <c r="P2" s="120" t="s">
        <v>91</v>
      </c>
      <c r="R2" s="116" t="s">
        <v>27</v>
      </c>
      <c r="S2" s="116" t="s">
        <v>94</v>
      </c>
    </row>
    <row r="3" spans="1:19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6">
        <f>B3*C3</f>
        <v>0</v>
      </c>
      <c r="L3" s="6">
        <f>B3*F3</f>
        <v>12</v>
      </c>
      <c r="M3" s="6">
        <v>0.47239999999999999</v>
      </c>
      <c r="N3" s="174">
        <v>0.18609999999999999</v>
      </c>
      <c r="O3" s="143">
        <v>-357.3562</v>
      </c>
      <c r="P3" s="120">
        <v>290.52769999999998</v>
      </c>
    </row>
    <row r="4" spans="1:19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6">
        <f t="shared" ref="K4:K66" si="3">B4*C4</f>
        <v>0.40000000000000036</v>
      </c>
      <c r="L4" s="6">
        <f t="shared" ref="L4:L66" si="4">B4*F4</f>
        <v>9.5999999999999979</v>
      </c>
      <c r="M4" s="6"/>
      <c r="N4" s="174"/>
      <c r="O4" s="145"/>
      <c r="P4" s="133"/>
    </row>
    <row r="5" spans="1:19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6">
        <f t="shared" si="3"/>
        <v>0.80000000000000071</v>
      </c>
      <c r="L5" s="6">
        <f t="shared" si="4"/>
        <v>7.1999999999999957</v>
      </c>
      <c r="M5" s="6"/>
      <c r="N5" s="174"/>
      <c r="O5" s="145"/>
      <c r="P5" s="133"/>
    </row>
    <row r="6" spans="1:19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6">
        <f t="shared" si="3"/>
        <v>1.1999999999999993</v>
      </c>
      <c r="L6" s="6">
        <f t="shared" si="4"/>
        <v>4.8000000000000043</v>
      </c>
      <c r="M6" s="6"/>
      <c r="N6" s="174"/>
      <c r="O6" s="147"/>
      <c r="P6" s="135"/>
    </row>
    <row r="7" spans="1:19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88">
        <f t="shared" si="3"/>
        <v>0</v>
      </c>
      <c r="L7" s="188">
        <f t="shared" si="4"/>
        <v>12</v>
      </c>
      <c r="M7" s="189">
        <v>0.33850000000000002</v>
      </c>
      <c r="N7" s="189">
        <v>0.2999</v>
      </c>
      <c r="O7" s="143">
        <v>-257.36439999999999</v>
      </c>
      <c r="P7" s="189">
        <v>194.2296</v>
      </c>
    </row>
    <row r="8" spans="1:19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1">
        <f t="shared" si="3"/>
        <v>0.40000000000000036</v>
      </c>
      <c r="L8" s="191">
        <f t="shared" si="4"/>
        <v>9.5999999999999979</v>
      </c>
      <c r="M8" s="192"/>
      <c r="N8" s="192"/>
      <c r="O8" s="145"/>
      <c r="P8" s="133"/>
    </row>
    <row r="9" spans="1:19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1">
        <f t="shared" si="3"/>
        <v>0.80000000000000071</v>
      </c>
      <c r="L9" s="191">
        <f t="shared" si="4"/>
        <v>7.1999999999999957</v>
      </c>
      <c r="M9" s="192"/>
      <c r="N9" s="192"/>
      <c r="O9" s="145"/>
      <c r="P9" s="133"/>
    </row>
    <row r="10" spans="1:19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6">
        <f t="shared" si="3"/>
        <v>1.1999999999999993</v>
      </c>
      <c r="L10" s="196">
        <f t="shared" si="4"/>
        <v>4.8000000000000043</v>
      </c>
      <c r="M10" s="197"/>
      <c r="N10" s="197"/>
      <c r="O10" s="147"/>
      <c r="P10" s="135"/>
    </row>
    <row r="11" spans="1:19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6">
        <f t="shared" si="3"/>
        <v>0</v>
      </c>
      <c r="L11" s="6">
        <f t="shared" si="4"/>
        <v>22</v>
      </c>
      <c r="M11" s="146">
        <v>0.58960000000000001</v>
      </c>
      <c r="N11" s="133">
        <v>0.1191</v>
      </c>
      <c r="O11" s="143">
        <v>-397.22070000000002</v>
      </c>
      <c r="P11" s="141">
        <v>312.85579999999999</v>
      </c>
    </row>
    <row r="12" spans="1:19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6">
        <f t="shared" si="3"/>
        <v>1.5</v>
      </c>
      <c r="L12" s="6">
        <f t="shared" si="4"/>
        <v>12.571428571428571</v>
      </c>
      <c r="M12" s="146"/>
      <c r="N12" s="133"/>
      <c r="O12" s="145"/>
      <c r="P12" s="133"/>
    </row>
    <row r="13" spans="1:19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6">
        <f t="shared" si="3"/>
        <v>3.1000000000000014</v>
      </c>
      <c r="L13" s="6">
        <f t="shared" si="4"/>
        <v>2.5142857142857027</v>
      </c>
      <c r="M13" s="146"/>
      <c r="N13" s="133"/>
      <c r="O13" s="145"/>
      <c r="P13" s="133"/>
    </row>
    <row r="14" spans="1:19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88">
        <f t="shared" si="3"/>
        <v>0</v>
      </c>
      <c r="L14" s="188">
        <f t="shared" si="4"/>
        <v>22</v>
      </c>
      <c r="M14" s="189">
        <v>0.41749999999999998</v>
      </c>
      <c r="N14" s="189">
        <v>0.26550000000000001</v>
      </c>
      <c r="O14" s="143">
        <v>-274.73809999999997</v>
      </c>
      <c r="P14" s="189">
        <v>195.40119999999999</v>
      </c>
    </row>
    <row r="15" spans="1:19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1">
        <f t="shared" si="3"/>
        <v>1.5</v>
      </c>
      <c r="L15" s="191">
        <f t="shared" si="4"/>
        <v>12.571428571428571</v>
      </c>
      <c r="M15" s="192"/>
      <c r="N15" s="192"/>
      <c r="O15" s="145"/>
      <c r="P15" s="133"/>
    </row>
    <row r="16" spans="1:19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6">
        <f t="shared" si="3"/>
        <v>3.1000000000000014</v>
      </c>
      <c r="L16" s="196">
        <f t="shared" si="4"/>
        <v>2.5142857142857027</v>
      </c>
      <c r="M16" s="197"/>
      <c r="N16" s="197"/>
      <c r="O16" s="147"/>
      <c r="P16" s="135"/>
    </row>
    <row r="17" spans="1:16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6">
        <f t="shared" si="3"/>
        <v>0</v>
      </c>
      <c r="L17" s="6">
        <f t="shared" si="4"/>
        <v>25.7</v>
      </c>
      <c r="M17" s="146">
        <v>0.56379999999999997</v>
      </c>
      <c r="N17" s="133">
        <v>0.1628</v>
      </c>
      <c r="O17" s="145">
        <v>-384.07470000000001</v>
      </c>
      <c r="P17" s="133">
        <v>284.18220000000002</v>
      </c>
    </row>
    <row r="18" spans="1:16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6">
        <f t="shared" si="3"/>
        <v>0.69999999999999929</v>
      </c>
      <c r="L18" s="6">
        <f t="shared" si="4"/>
        <v>21.08717948717949</v>
      </c>
      <c r="M18" s="146"/>
      <c r="N18" s="133"/>
      <c r="O18" s="145"/>
      <c r="P18" s="133"/>
    </row>
    <row r="19" spans="1:16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6">
        <f t="shared" si="3"/>
        <v>1.5</v>
      </c>
      <c r="L19" s="6">
        <f t="shared" si="4"/>
        <v>15.815384615384611</v>
      </c>
      <c r="M19" s="146"/>
      <c r="N19" s="133"/>
      <c r="O19" s="145"/>
      <c r="P19" s="133"/>
    </row>
    <row r="20" spans="1:16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6">
        <f t="shared" si="3"/>
        <v>3.0999999999999979</v>
      </c>
      <c r="L20" s="6">
        <f t="shared" si="4"/>
        <v>5.2717948717948815</v>
      </c>
      <c r="M20" s="146"/>
      <c r="N20" s="133"/>
      <c r="O20" s="145"/>
      <c r="P20" s="133"/>
    </row>
    <row r="21" spans="1:16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1">
        <f t="shared" si="3"/>
        <v>0</v>
      </c>
      <c r="L21" s="191">
        <f t="shared" si="4"/>
        <v>25.7</v>
      </c>
      <c r="M21" s="192">
        <v>0.41549999999999998</v>
      </c>
      <c r="N21" s="192">
        <v>0.26140000000000002</v>
      </c>
      <c r="O21" s="143">
        <v>-277.52809999999999</v>
      </c>
      <c r="P21" s="189">
        <v>199.70609999999999</v>
      </c>
    </row>
    <row r="22" spans="1:16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1">
        <f t="shared" si="3"/>
        <v>0.69999999999999929</v>
      </c>
      <c r="L22" s="191">
        <f t="shared" si="4"/>
        <v>21.08717948717949</v>
      </c>
      <c r="M22" s="192"/>
      <c r="N22" s="192"/>
      <c r="O22" s="145"/>
      <c r="P22" s="133"/>
    </row>
    <row r="23" spans="1:16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1">
        <f t="shared" si="3"/>
        <v>1.5</v>
      </c>
      <c r="L23" s="191">
        <f t="shared" si="4"/>
        <v>15.815384615384611</v>
      </c>
      <c r="M23" s="192"/>
      <c r="N23" s="192"/>
      <c r="O23" s="145"/>
      <c r="P23" s="133"/>
    </row>
    <row r="24" spans="1:16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6">
        <f t="shared" si="3"/>
        <v>3.0999999999999979</v>
      </c>
      <c r="L24" s="196">
        <f t="shared" si="4"/>
        <v>5.2717948717948815</v>
      </c>
      <c r="M24" s="197"/>
      <c r="N24" s="197"/>
      <c r="O24" s="145"/>
      <c r="P24" s="133"/>
    </row>
    <row r="25" spans="1:16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6">
        <f t="shared" si="3"/>
        <v>0</v>
      </c>
      <c r="L25" s="6">
        <f t="shared" si="4"/>
        <v>28.1</v>
      </c>
      <c r="M25" s="146">
        <v>0.60819999999999996</v>
      </c>
      <c r="N25" s="133">
        <v>0.13639999999999999</v>
      </c>
      <c r="O25" s="143">
        <v>-409.43799999999999</v>
      </c>
      <c r="P25" s="141">
        <v>323.42239999999998</v>
      </c>
    </row>
    <row r="26" spans="1:16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6">
        <f t="shared" si="3"/>
        <v>1.2000000000000028</v>
      </c>
      <c r="L26" s="6">
        <f t="shared" si="4"/>
        <v>19.875609756097546</v>
      </c>
      <c r="M26" s="146"/>
      <c r="N26" s="133"/>
      <c r="O26" s="145"/>
      <c r="P26" s="133"/>
    </row>
    <row r="27" spans="1:16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6">
        <f t="shared" si="3"/>
        <v>2.2000000000000028</v>
      </c>
      <c r="L27" s="6">
        <f t="shared" si="4"/>
        <v>13.021951219512179</v>
      </c>
      <c r="M27" s="146"/>
      <c r="N27" s="133"/>
      <c r="O27" s="145"/>
      <c r="P27" s="133"/>
    </row>
    <row r="28" spans="1:16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6">
        <f t="shared" si="3"/>
        <v>3.3000000000000007</v>
      </c>
      <c r="L28" s="6">
        <f t="shared" si="4"/>
        <v>5.4829268292682913</v>
      </c>
      <c r="M28" s="146"/>
      <c r="N28" s="133"/>
      <c r="O28" s="145"/>
      <c r="P28" s="133"/>
    </row>
    <row r="29" spans="1:16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198">
        <f t="shared" si="3"/>
        <v>0</v>
      </c>
      <c r="L29" s="191">
        <f t="shared" si="4"/>
        <v>28.1</v>
      </c>
      <c r="M29" s="192">
        <v>0.49730000000000002</v>
      </c>
      <c r="N29" s="211">
        <v>0.19550000000000001</v>
      </c>
      <c r="O29" s="143">
        <v>-322.26589999999999</v>
      </c>
      <c r="P29" s="141">
        <v>254.06049999999999</v>
      </c>
    </row>
    <row r="30" spans="1:16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198">
        <f t="shared" si="3"/>
        <v>1.2000000000000028</v>
      </c>
      <c r="L30" s="191">
        <f t="shared" si="4"/>
        <v>19.875609756097546</v>
      </c>
      <c r="M30" s="192"/>
      <c r="N30" s="211"/>
      <c r="O30" s="145"/>
      <c r="P30" s="133"/>
    </row>
    <row r="31" spans="1:16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198">
        <f t="shared" si="3"/>
        <v>2.2000000000000028</v>
      </c>
      <c r="L31" s="191">
        <f t="shared" si="4"/>
        <v>13.021951219512179</v>
      </c>
      <c r="M31" s="192"/>
      <c r="N31" s="211"/>
      <c r="O31" s="145"/>
      <c r="P31" s="133"/>
    </row>
    <row r="32" spans="1:16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199">
        <f t="shared" si="3"/>
        <v>3.3000000000000007</v>
      </c>
      <c r="L32" s="196">
        <f t="shared" si="4"/>
        <v>5.4829268292682913</v>
      </c>
      <c r="M32" s="197"/>
      <c r="N32" s="213"/>
      <c r="O32" s="145"/>
      <c r="P32" s="133"/>
    </row>
    <row r="33" spans="1:16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6">
        <f t="shared" si="3"/>
        <v>0</v>
      </c>
      <c r="L33" s="6">
        <f t="shared" si="4"/>
        <v>9.8000000000000007</v>
      </c>
      <c r="M33" s="146">
        <v>0.36670000000000003</v>
      </c>
      <c r="N33" s="133">
        <v>1.3407</v>
      </c>
      <c r="O33" s="143">
        <v>-290.04399999999998</v>
      </c>
      <c r="P33" s="141">
        <v>159.3253</v>
      </c>
    </row>
    <row r="34" spans="1:16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6">
        <f t="shared" si="3"/>
        <v>1.3000000000000007</v>
      </c>
      <c r="L34" s="6">
        <f t="shared" si="4"/>
        <v>4.0090909090909088</v>
      </c>
      <c r="M34" s="146"/>
      <c r="N34" s="133"/>
      <c r="O34" s="145"/>
      <c r="P34" s="133"/>
    </row>
    <row r="35" spans="1:16" ht="15.75" thickBot="1" x14ac:dyDescent="0.3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6">
        <f t="shared" si="3"/>
        <v>2.0000000000000009</v>
      </c>
      <c r="L35" s="6">
        <f t="shared" si="4"/>
        <v>0.89090909090909021</v>
      </c>
      <c r="M35" s="146"/>
      <c r="N35" s="133"/>
      <c r="O35" s="145"/>
      <c r="P35" s="133"/>
    </row>
    <row r="36" spans="1:16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00">
        <f t="shared" si="3"/>
        <v>0</v>
      </c>
      <c r="L36" s="31">
        <f t="shared" si="4"/>
        <v>9.8000000000000007</v>
      </c>
      <c r="M36" s="31">
        <v>0.33150000000000002</v>
      </c>
      <c r="N36" s="32">
        <v>1.3311999999999999</v>
      </c>
      <c r="O36" s="143">
        <v>-257.21719999999999</v>
      </c>
      <c r="P36" s="30">
        <v>128.39340000000001</v>
      </c>
    </row>
    <row r="37" spans="1:16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00">
        <f t="shared" si="3"/>
        <v>1.3000000000000007</v>
      </c>
      <c r="L37" s="31">
        <f t="shared" si="4"/>
        <v>4.0090909090909088</v>
      </c>
      <c r="M37" s="31"/>
      <c r="N37" s="32"/>
      <c r="O37" s="145"/>
      <c r="P37" s="133"/>
    </row>
    <row r="38" spans="1:16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01">
        <f t="shared" si="3"/>
        <v>2.0000000000000009</v>
      </c>
      <c r="L38" s="35">
        <f t="shared" si="4"/>
        <v>0.89090909090909021</v>
      </c>
      <c r="M38" s="35"/>
      <c r="N38" s="36"/>
      <c r="O38" s="145"/>
      <c r="P38" s="133"/>
    </row>
    <row r="39" spans="1:16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6">
        <f t="shared" si="3"/>
        <v>0</v>
      </c>
      <c r="L39" s="6">
        <f t="shared" si="4"/>
        <v>12</v>
      </c>
      <c r="M39" s="146">
        <v>0.45800000000000002</v>
      </c>
      <c r="N39" s="133">
        <v>1.3584000000000001</v>
      </c>
      <c r="O39" s="143">
        <v>-347.19529999999997</v>
      </c>
      <c r="P39" s="141">
        <v>250.64109999999999</v>
      </c>
    </row>
    <row r="40" spans="1:16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6">
        <f t="shared" si="3"/>
        <v>1</v>
      </c>
      <c r="L40" s="6">
        <f t="shared" si="4"/>
        <v>7.862068965517242</v>
      </c>
      <c r="M40" s="146"/>
      <c r="N40" s="133"/>
      <c r="O40" s="145"/>
      <c r="P40" s="133"/>
    </row>
    <row r="41" spans="1:16" ht="15.75" thickBot="1" x14ac:dyDescent="0.3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6">
        <f t="shared" si="3"/>
        <v>2</v>
      </c>
      <c r="L41" s="6">
        <f t="shared" si="4"/>
        <v>3.7241379310344849</v>
      </c>
      <c r="M41" s="146"/>
      <c r="N41" s="133"/>
      <c r="O41" s="147"/>
      <c r="P41" s="135"/>
    </row>
    <row r="42" spans="1:16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31">
        <f t="shared" si="3"/>
        <v>0</v>
      </c>
      <c r="L42" s="31">
        <f t="shared" si="4"/>
        <v>12</v>
      </c>
      <c r="M42" s="31">
        <v>0.433</v>
      </c>
      <c r="N42" s="32">
        <v>1.3569</v>
      </c>
      <c r="O42" s="145">
        <v>-315.05840000000001</v>
      </c>
      <c r="P42" s="32">
        <v>212.0993</v>
      </c>
    </row>
    <row r="43" spans="1:16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31">
        <f t="shared" si="3"/>
        <v>1</v>
      </c>
      <c r="L43" s="31">
        <f t="shared" si="4"/>
        <v>7.862068965517242</v>
      </c>
      <c r="M43" s="31"/>
      <c r="N43" s="32"/>
      <c r="O43" s="145"/>
      <c r="P43" s="133"/>
    </row>
    <row r="44" spans="1:16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5">
        <f t="shared" si="3"/>
        <v>2</v>
      </c>
      <c r="L44" s="35">
        <f t="shared" si="4"/>
        <v>3.7241379310344849</v>
      </c>
      <c r="M44" s="35"/>
      <c r="N44" s="36"/>
      <c r="O44" s="147"/>
      <c r="P44" s="135"/>
    </row>
    <row r="45" spans="1:16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6">
        <f t="shared" si="3"/>
        <v>0</v>
      </c>
      <c r="L45" s="6">
        <f t="shared" si="4"/>
        <v>22.8</v>
      </c>
      <c r="M45" s="146">
        <v>-0.1192</v>
      </c>
      <c r="N45" s="133">
        <v>2.2696000000000001</v>
      </c>
      <c r="O45" s="145">
        <v>-551.28949999999998</v>
      </c>
      <c r="P45" s="133">
        <v>336.7595</v>
      </c>
    </row>
    <row r="46" spans="1:16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6">
        <f t="shared" si="3"/>
        <v>0.90000000000000224</v>
      </c>
      <c r="L46" s="6">
        <f t="shared" si="4"/>
        <v>19.262068965517233</v>
      </c>
      <c r="M46" s="146"/>
      <c r="N46" s="133"/>
      <c r="O46" s="145"/>
      <c r="P46" s="133"/>
    </row>
    <row r="47" spans="1:16" ht="15.75" thickBot="1" x14ac:dyDescent="0.3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6">
        <f t="shared" si="3"/>
        <v>1.9000000000000021</v>
      </c>
      <c r="L47" s="6">
        <f t="shared" si="4"/>
        <v>15.331034482758614</v>
      </c>
      <c r="M47" s="146"/>
      <c r="N47" s="133"/>
      <c r="O47" s="147"/>
      <c r="P47" s="135"/>
    </row>
    <row r="48" spans="1:16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31">
        <f t="shared" si="3"/>
        <v>0</v>
      </c>
      <c r="L48" s="31">
        <f t="shared" si="4"/>
        <v>22.8</v>
      </c>
      <c r="M48" s="31">
        <v>-0.2001</v>
      </c>
      <c r="N48" s="32">
        <v>2.3140999999999998</v>
      </c>
      <c r="O48" s="145">
        <v>-491.37849999999997</v>
      </c>
      <c r="P48" s="32">
        <v>291.09039999999999</v>
      </c>
    </row>
    <row r="49" spans="1:16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31">
        <f t="shared" si="3"/>
        <v>0.90000000000000224</v>
      </c>
      <c r="L49" s="31">
        <f t="shared" si="4"/>
        <v>19.262068965517233</v>
      </c>
      <c r="M49" s="31"/>
      <c r="N49" s="32"/>
      <c r="O49" s="145"/>
      <c r="P49" s="133"/>
    </row>
    <row r="50" spans="1:16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5">
        <f t="shared" si="3"/>
        <v>1.9000000000000021</v>
      </c>
      <c r="L50" s="35">
        <f t="shared" si="4"/>
        <v>15.331034482758614</v>
      </c>
      <c r="M50" s="35"/>
      <c r="N50" s="36"/>
      <c r="O50" s="147"/>
      <c r="P50" s="135"/>
    </row>
    <row r="51" spans="1:16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6">
        <f t="shared" si="3"/>
        <v>0</v>
      </c>
      <c r="L51" s="6">
        <f t="shared" si="4"/>
        <v>27.5</v>
      </c>
      <c r="M51" s="116">
        <v>0.68340000000000001</v>
      </c>
      <c r="N51" s="123">
        <v>1.6705000000000001</v>
      </c>
      <c r="O51" s="145">
        <v>-552.36500000000001</v>
      </c>
      <c r="P51" s="123">
        <v>383.78359999999998</v>
      </c>
    </row>
    <row r="52" spans="1:16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6">
        <f t="shared" si="3"/>
        <v>1.3999999999999986</v>
      </c>
      <c r="L52" s="6">
        <f t="shared" si="4"/>
        <v>21.838235294117656</v>
      </c>
      <c r="M52" s="116"/>
      <c r="N52" s="123"/>
      <c r="O52" s="145"/>
      <c r="P52" s="133"/>
    </row>
    <row r="53" spans="1:16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6">
        <f t="shared" si="3"/>
        <v>2.3000000000000007</v>
      </c>
      <c r="L53" s="6">
        <f t="shared" si="4"/>
        <v>18.198529411764703</v>
      </c>
      <c r="M53" s="116"/>
      <c r="N53" s="123"/>
      <c r="O53" s="145"/>
      <c r="P53" s="133"/>
    </row>
    <row r="54" spans="1:16" ht="15.75" thickBot="1" x14ac:dyDescent="0.3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6">
        <f t="shared" si="3"/>
        <v>3.3999999999999986</v>
      </c>
      <c r="L54" s="6">
        <f t="shared" si="4"/>
        <v>13.750000000000005</v>
      </c>
      <c r="M54" s="116"/>
      <c r="N54" s="123"/>
      <c r="O54" s="147"/>
      <c r="P54" s="135"/>
    </row>
    <row r="55" spans="1:16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31">
        <f t="shared" si="3"/>
        <v>0</v>
      </c>
      <c r="L55" s="31">
        <f t="shared" si="4"/>
        <v>27.5</v>
      </c>
      <c r="M55" s="31">
        <v>0.60519999999999996</v>
      </c>
      <c r="N55" s="32">
        <v>1.7274</v>
      </c>
      <c r="O55" s="145">
        <v>-504.54610000000002</v>
      </c>
      <c r="P55" s="32">
        <v>341.78800000000001</v>
      </c>
    </row>
    <row r="56" spans="1:16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31">
        <f t="shared" si="3"/>
        <v>1.3999999999999986</v>
      </c>
      <c r="L56" s="31">
        <f t="shared" si="4"/>
        <v>21.838235294117656</v>
      </c>
      <c r="M56" s="31"/>
      <c r="N56" s="32"/>
      <c r="O56" s="145"/>
      <c r="P56" s="133"/>
    </row>
    <row r="57" spans="1:16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31">
        <f t="shared" si="3"/>
        <v>2.3000000000000007</v>
      </c>
      <c r="L57" s="31">
        <f t="shared" si="4"/>
        <v>18.198529411764703</v>
      </c>
      <c r="M57" s="31"/>
      <c r="N57" s="32"/>
      <c r="O57" s="145"/>
      <c r="P57" s="133"/>
    </row>
    <row r="58" spans="1:16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31">
        <f t="shared" si="3"/>
        <v>3.3999999999999986</v>
      </c>
      <c r="L58" s="31">
        <f t="shared" si="4"/>
        <v>13.750000000000005</v>
      </c>
      <c r="M58" s="31"/>
      <c r="N58" s="32"/>
      <c r="O58" s="147"/>
      <c r="P58" s="135"/>
    </row>
    <row r="59" spans="1:16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6">
        <f t="shared" si="3"/>
        <v>0</v>
      </c>
      <c r="L59" s="6">
        <f t="shared" si="4"/>
        <v>39.700000000000003</v>
      </c>
      <c r="M59" s="146">
        <v>0.66</v>
      </c>
      <c r="N59" s="133">
        <v>1.6665000000000001</v>
      </c>
      <c r="O59" s="145">
        <v>-474.61579999999998</v>
      </c>
      <c r="P59" s="133">
        <v>283.44880000000001</v>
      </c>
    </row>
    <row r="60" spans="1:16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6">
        <f t="shared" si="3"/>
        <v>3.5</v>
      </c>
      <c r="L60" s="6">
        <f t="shared" si="4"/>
        <v>25.521428571428579</v>
      </c>
      <c r="M60" s="146"/>
      <c r="N60" s="133"/>
      <c r="O60" s="145"/>
      <c r="P60" s="133"/>
    </row>
    <row r="61" spans="1:16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6">
        <f t="shared" si="3"/>
        <v>4.6000000000000014</v>
      </c>
      <c r="L61" s="6">
        <f t="shared" si="4"/>
        <v>21.065306122448984</v>
      </c>
      <c r="M61" s="146"/>
      <c r="N61" s="133"/>
      <c r="O61" s="145"/>
      <c r="P61" s="133"/>
    </row>
    <row r="62" spans="1:16" ht="15.75" thickBot="1" x14ac:dyDescent="0.3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6">
        <f t="shared" si="3"/>
        <v>6.9000000000000057</v>
      </c>
      <c r="L62" s="6">
        <f t="shared" si="4"/>
        <v>11.747959183673457</v>
      </c>
      <c r="M62" s="146"/>
      <c r="N62" s="133"/>
      <c r="O62" s="147"/>
      <c r="P62" s="135"/>
    </row>
    <row r="63" spans="1:16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31">
        <f t="shared" si="3"/>
        <v>0</v>
      </c>
      <c r="L63" s="31">
        <f t="shared" si="4"/>
        <v>39.700000000000003</v>
      </c>
      <c r="M63" s="31">
        <v>0.57609999999999995</v>
      </c>
      <c r="N63" s="32">
        <v>1.724</v>
      </c>
      <c r="O63" s="145">
        <v>-430.76330000000002</v>
      </c>
      <c r="P63" s="32">
        <v>248.6174</v>
      </c>
    </row>
    <row r="64" spans="1:16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31">
        <f t="shared" si="3"/>
        <v>3.5</v>
      </c>
      <c r="L64" s="31">
        <f t="shared" si="4"/>
        <v>25.521428571428579</v>
      </c>
      <c r="M64" s="31"/>
      <c r="N64" s="32"/>
      <c r="O64" s="145"/>
      <c r="P64" s="133"/>
    </row>
    <row r="65" spans="1:16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31">
        <f t="shared" si="3"/>
        <v>4.6000000000000014</v>
      </c>
      <c r="L65" s="31">
        <f t="shared" si="4"/>
        <v>21.065306122448984</v>
      </c>
      <c r="M65" s="31"/>
      <c r="N65" s="32"/>
      <c r="O65" s="145"/>
      <c r="P65" s="133"/>
    </row>
    <row r="66" spans="1:16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5">
        <f t="shared" si="3"/>
        <v>6.9000000000000057</v>
      </c>
      <c r="L66" s="35">
        <f t="shared" si="4"/>
        <v>11.747959183673457</v>
      </c>
      <c r="M66" s="35"/>
      <c r="N66" s="36"/>
      <c r="O66" s="147"/>
      <c r="P66" s="135"/>
    </row>
  </sheetData>
  <mergeCells count="2">
    <mergeCell ref="M1:N1"/>
    <mergeCell ref="O1:P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1E921-389A-450D-834A-09BDE35E6AD8}">
  <dimension ref="A1:S66"/>
  <sheetViews>
    <sheetView tabSelected="1" workbookViewId="0">
      <selection activeCell="U9" sqref="U9"/>
    </sheetView>
  </sheetViews>
  <sheetFormatPr defaultRowHeight="15" x14ac:dyDescent="0.25"/>
  <sheetData>
    <row r="1" spans="1:19" ht="15.75" thickBot="1" x14ac:dyDescent="0.3">
      <c r="A1" t="s">
        <v>13</v>
      </c>
      <c r="B1" t="s">
        <v>95</v>
      </c>
      <c r="F1" t="s">
        <v>96</v>
      </c>
      <c r="M1" s="217" t="s">
        <v>92</v>
      </c>
      <c r="N1" s="217"/>
      <c r="O1" s="218" t="s">
        <v>93</v>
      </c>
      <c r="P1" s="218"/>
    </row>
    <row r="2" spans="1:19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04" t="s">
        <v>85</v>
      </c>
      <c r="K2" s="204" t="s">
        <v>88</v>
      </c>
      <c r="L2" s="204" t="s">
        <v>87</v>
      </c>
      <c r="M2" s="205" t="s">
        <v>89</v>
      </c>
      <c r="N2" s="206" t="s">
        <v>90</v>
      </c>
      <c r="O2" s="118" t="s">
        <v>89</v>
      </c>
      <c r="P2" s="120" t="s">
        <v>91</v>
      </c>
      <c r="R2" s="116" t="s">
        <v>27</v>
      </c>
      <c r="S2" s="116" t="s">
        <v>94</v>
      </c>
    </row>
    <row r="3" spans="1:19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6">
        <f>B3*C3</f>
        <v>0</v>
      </c>
      <c r="L3" s="6">
        <f>B3*F3</f>
        <v>12</v>
      </c>
      <c r="M3" s="6">
        <v>0.47239999999999999</v>
      </c>
      <c r="N3" s="174">
        <v>0.18609999999999999</v>
      </c>
      <c r="O3" s="143">
        <v>-357.3562</v>
      </c>
      <c r="P3" s="120">
        <v>290.52769999999998</v>
      </c>
    </row>
    <row r="4" spans="1:19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6">
        <f t="shared" ref="K4:K66" si="3">B4*C4</f>
        <v>0.40000000000000036</v>
      </c>
      <c r="L4" s="6">
        <f t="shared" ref="L4:L66" si="4">B4*F4</f>
        <v>9.5999999999999979</v>
      </c>
      <c r="M4" s="6"/>
      <c r="N4" s="174"/>
      <c r="O4" s="145"/>
      <c r="P4" s="133"/>
    </row>
    <row r="5" spans="1:19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6">
        <f t="shared" si="3"/>
        <v>0.80000000000000071</v>
      </c>
      <c r="L5" s="6">
        <f t="shared" si="4"/>
        <v>7.1999999999999957</v>
      </c>
      <c r="M5" s="6"/>
      <c r="N5" s="174"/>
      <c r="O5" s="145"/>
      <c r="P5" s="133"/>
    </row>
    <row r="6" spans="1:19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6">
        <f t="shared" si="3"/>
        <v>1.1999999999999993</v>
      </c>
      <c r="L6" s="6">
        <f t="shared" si="4"/>
        <v>4.8000000000000043</v>
      </c>
      <c r="M6" s="6"/>
      <c r="N6" s="174"/>
      <c r="O6" s="147"/>
      <c r="P6" s="135"/>
    </row>
    <row r="7" spans="1:19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88">
        <f t="shared" si="3"/>
        <v>0</v>
      </c>
      <c r="L7" s="188">
        <f t="shared" si="4"/>
        <v>12</v>
      </c>
      <c r="M7" s="189">
        <v>0.33850000000000002</v>
      </c>
      <c r="N7" s="189">
        <v>0.2999</v>
      </c>
      <c r="O7" s="143">
        <v>-257.36439999999999</v>
      </c>
      <c r="P7" s="189">
        <v>194.2296</v>
      </c>
    </row>
    <row r="8" spans="1:19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1">
        <f t="shared" si="3"/>
        <v>0.40000000000000036</v>
      </c>
      <c r="L8" s="191">
        <f t="shared" si="4"/>
        <v>9.5999999999999979</v>
      </c>
      <c r="M8" s="192"/>
      <c r="N8" s="192"/>
      <c r="O8" s="145"/>
      <c r="P8" s="133"/>
    </row>
    <row r="9" spans="1:19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1">
        <f t="shared" si="3"/>
        <v>0.80000000000000071</v>
      </c>
      <c r="L9" s="191">
        <f t="shared" si="4"/>
        <v>7.1999999999999957</v>
      </c>
      <c r="M9" s="192"/>
      <c r="N9" s="192"/>
      <c r="O9" s="145"/>
      <c r="P9" s="133"/>
    </row>
    <row r="10" spans="1:19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6">
        <f t="shared" si="3"/>
        <v>1.1999999999999993</v>
      </c>
      <c r="L10" s="196">
        <f t="shared" si="4"/>
        <v>4.8000000000000043</v>
      </c>
      <c r="M10" s="197"/>
      <c r="N10" s="197"/>
      <c r="O10" s="147"/>
      <c r="P10" s="135"/>
    </row>
    <row r="11" spans="1:19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6">
        <f t="shared" si="3"/>
        <v>0</v>
      </c>
      <c r="L11" s="6">
        <f t="shared" si="4"/>
        <v>22</v>
      </c>
      <c r="M11" s="146">
        <v>0.58960000000000001</v>
      </c>
      <c r="N11" s="133">
        <v>0.1191</v>
      </c>
      <c r="O11" s="143">
        <v>-397.22070000000002</v>
      </c>
      <c r="P11" s="141">
        <v>312.85579999999999</v>
      </c>
    </row>
    <row r="12" spans="1:19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6">
        <f t="shared" si="3"/>
        <v>1.5</v>
      </c>
      <c r="L12" s="6">
        <f t="shared" si="4"/>
        <v>12.571428571428571</v>
      </c>
      <c r="M12" s="146"/>
      <c r="N12" s="133"/>
      <c r="O12" s="145"/>
      <c r="P12" s="133"/>
    </row>
    <row r="13" spans="1:19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6">
        <f t="shared" si="3"/>
        <v>3.1000000000000014</v>
      </c>
      <c r="L13" s="6">
        <f t="shared" si="4"/>
        <v>2.5142857142857027</v>
      </c>
      <c r="M13" s="146"/>
      <c r="N13" s="133"/>
      <c r="O13" s="145"/>
      <c r="P13" s="133"/>
    </row>
    <row r="14" spans="1:19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88">
        <f t="shared" si="3"/>
        <v>0</v>
      </c>
      <c r="L14" s="188">
        <f t="shared" si="4"/>
        <v>22</v>
      </c>
      <c r="M14" s="189">
        <v>0.41749999999999998</v>
      </c>
      <c r="N14" s="189">
        <v>0.26550000000000001</v>
      </c>
      <c r="O14" s="143">
        <v>-274.73809999999997</v>
      </c>
      <c r="P14" s="189">
        <v>195.40119999999999</v>
      </c>
    </row>
    <row r="15" spans="1:19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1">
        <f t="shared" si="3"/>
        <v>1.5</v>
      </c>
      <c r="L15" s="191">
        <f t="shared" si="4"/>
        <v>12.571428571428571</v>
      </c>
      <c r="M15" s="192"/>
      <c r="N15" s="192"/>
      <c r="O15" s="145"/>
      <c r="P15" s="133"/>
    </row>
    <row r="16" spans="1:19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6">
        <f t="shared" si="3"/>
        <v>3.1000000000000014</v>
      </c>
      <c r="L16" s="196">
        <f t="shared" si="4"/>
        <v>2.5142857142857027</v>
      </c>
      <c r="M16" s="197"/>
      <c r="N16" s="197"/>
      <c r="O16" s="147"/>
      <c r="P16" s="135"/>
    </row>
    <row r="17" spans="1:16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6">
        <f t="shared" si="3"/>
        <v>0</v>
      </c>
      <c r="L17" s="6">
        <f t="shared" si="4"/>
        <v>25.7</v>
      </c>
      <c r="M17" s="146">
        <v>0.56379999999999997</v>
      </c>
      <c r="N17" s="133">
        <v>0.1628</v>
      </c>
      <c r="O17" s="145">
        <v>-384.07470000000001</v>
      </c>
      <c r="P17" s="133">
        <v>284.18220000000002</v>
      </c>
    </row>
    <row r="18" spans="1:16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6">
        <f t="shared" si="3"/>
        <v>0.69999999999999929</v>
      </c>
      <c r="L18" s="6">
        <f t="shared" si="4"/>
        <v>21.08717948717949</v>
      </c>
      <c r="M18" s="146"/>
      <c r="N18" s="133"/>
      <c r="O18" s="145"/>
      <c r="P18" s="133"/>
    </row>
    <row r="19" spans="1:16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6">
        <f t="shared" si="3"/>
        <v>1.5</v>
      </c>
      <c r="L19" s="6">
        <f t="shared" si="4"/>
        <v>15.815384615384611</v>
      </c>
      <c r="M19" s="146"/>
      <c r="N19" s="133"/>
      <c r="O19" s="145"/>
      <c r="P19" s="133"/>
    </row>
    <row r="20" spans="1:16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6">
        <f t="shared" si="3"/>
        <v>3.0999999999999979</v>
      </c>
      <c r="L20" s="6">
        <f t="shared" si="4"/>
        <v>5.2717948717948815</v>
      </c>
      <c r="M20" s="146"/>
      <c r="N20" s="133"/>
      <c r="O20" s="145"/>
      <c r="P20" s="133"/>
    </row>
    <row r="21" spans="1:16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1">
        <f t="shared" si="3"/>
        <v>0</v>
      </c>
      <c r="L21" s="191">
        <f t="shared" si="4"/>
        <v>25.7</v>
      </c>
      <c r="M21" s="192">
        <v>0.41549999999999998</v>
      </c>
      <c r="N21" s="192">
        <v>0.26140000000000002</v>
      </c>
      <c r="O21" s="143">
        <v>-277.52809999999999</v>
      </c>
      <c r="P21" s="189">
        <v>199.70609999999999</v>
      </c>
    </row>
    <row r="22" spans="1:16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1">
        <f t="shared" si="3"/>
        <v>0.69999999999999929</v>
      </c>
      <c r="L22" s="191">
        <f t="shared" si="4"/>
        <v>21.08717948717949</v>
      </c>
      <c r="M22" s="192"/>
      <c r="N22" s="192"/>
      <c r="O22" s="145"/>
      <c r="P22" s="133"/>
    </row>
    <row r="23" spans="1:16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1">
        <f t="shared" si="3"/>
        <v>1.5</v>
      </c>
      <c r="L23" s="191">
        <f t="shared" si="4"/>
        <v>15.815384615384611</v>
      </c>
      <c r="M23" s="192"/>
      <c r="N23" s="192"/>
      <c r="O23" s="145"/>
      <c r="P23" s="133"/>
    </row>
    <row r="24" spans="1:16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6">
        <f t="shared" si="3"/>
        <v>3.0999999999999979</v>
      </c>
      <c r="L24" s="196">
        <f t="shared" si="4"/>
        <v>5.2717948717948815</v>
      </c>
      <c r="M24" s="197"/>
      <c r="N24" s="197"/>
      <c r="O24" s="145"/>
      <c r="P24" s="133"/>
    </row>
    <row r="25" spans="1:16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6">
        <f t="shared" si="3"/>
        <v>0</v>
      </c>
      <c r="L25" s="6">
        <f t="shared" si="4"/>
        <v>28.1</v>
      </c>
      <c r="M25" s="146">
        <v>0.60819999999999996</v>
      </c>
      <c r="N25" s="133">
        <v>0.13639999999999999</v>
      </c>
      <c r="O25" s="143">
        <v>-409.43799999999999</v>
      </c>
      <c r="P25" s="141">
        <v>323.42239999999998</v>
      </c>
    </row>
    <row r="26" spans="1:16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6">
        <f t="shared" si="3"/>
        <v>1.2000000000000028</v>
      </c>
      <c r="L26" s="6">
        <f t="shared" si="4"/>
        <v>19.875609756097546</v>
      </c>
      <c r="M26" s="146"/>
      <c r="N26" s="133"/>
      <c r="O26" s="145"/>
      <c r="P26" s="133"/>
    </row>
    <row r="27" spans="1:16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6">
        <f t="shared" si="3"/>
        <v>2.2000000000000028</v>
      </c>
      <c r="L27" s="6">
        <f t="shared" si="4"/>
        <v>13.021951219512179</v>
      </c>
      <c r="M27" s="146"/>
      <c r="N27" s="133"/>
      <c r="O27" s="145"/>
      <c r="P27" s="133"/>
    </row>
    <row r="28" spans="1:16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6">
        <f t="shared" si="3"/>
        <v>3.3000000000000007</v>
      </c>
      <c r="L28" s="6">
        <f t="shared" si="4"/>
        <v>5.4829268292682913</v>
      </c>
      <c r="M28" s="146"/>
      <c r="N28" s="133"/>
      <c r="O28" s="145"/>
      <c r="P28" s="133"/>
    </row>
    <row r="29" spans="1:16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198">
        <f t="shared" si="3"/>
        <v>0</v>
      </c>
      <c r="L29" s="191">
        <f t="shared" si="4"/>
        <v>28.1</v>
      </c>
      <c r="M29" s="192">
        <v>0.49730000000000002</v>
      </c>
      <c r="N29" s="211">
        <v>0.19550000000000001</v>
      </c>
      <c r="O29" s="143">
        <v>-322.26589999999999</v>
      </c>
      <c r="P29" s="141">
        <v>254.06049999999999</v>
      </c>
    </row>
    <row r="30" spans="1:16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198">
        <f t="shared" si="3"/>
        <v>1.2000000000000028</v>
      </c>
      <c r="L30" s="191">
        <f t="shared" si="4"/>
        <v>19.875609756097546</v>
      </c>
      <c r="M30" s="192"/>
      <c r="N30" s="211"/>
      <c r="O30" s="145"/>
      <c r="P30" s="133"/>
    </row>
    <row r="31" spans="1:16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198">
        <f t="shared" si="3"/>
        <v>2.2000000000000028</v>
      </c>
      <c r="L31" s="191">
        <f t="shared" si="4"/>
        <v>13.021951219512179</v>
      </c>
      <c r="M31" s="192"/>
      <c r="N31" s="211"/>
      <c r="O31" s="145"/>
      <c r="P31" s="133"/>
    </row>
    <row r="32" spans="1:16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199">
        <f t="shared" si="3"/>
        <v>3.3000000000000007</v>
      </c>
      <c r="L32" s="196">
        <f t="shared" si="4"/>
        <v>5.4829268292682913</v>
      </c>
      <c r="M32" s="197"/>
      <c r="N32" s="213"/>
      <c r="O32" s="145"/>
      <c r="P32" s="133"/>
    </row>
    <row r="33" spans="1:16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6">
        <f t="shared" si="3"/>
        <v>0</v>
      </c>
      <c r="L33" s="6">
        <f t="shared" si="4"/>
        <v>9.8000000000000007</v>
      </c>
      <c r="M33" s="146">
        <v>0.36670000000000003</v>
      </c>
      <c r="N33" s="133">
        <v>1.3407</v>
      </c>
      <c r="O33" s="143">
        <v>-290.04399999999998</v>
      </c>
      <c r="P33" s="141">
        <v>159.3253</v>
      </c>
    </row>
    <row r="34" spans="1:16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6">
        <f t="shared" si="3"/>
        <v>1.3000000000000007</v>
      </c>
      <c r="L34" s="6">
        <f t="shared" si="4"/>
        <v>4.0090909090909088</v>
      </c>
      <c r="M34" s="146"/>
      <c r="N34" s="133"/>
      <c r="O34" s="145"/>
      <c r="P34" s="133"/>
    </row>
    <row r="35" spans="1:16" ht="15.75" thickBot="1" x14ac:dyDescent="0.3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6">
        <f t="shared" si="3"/>
        <v>2.0000000000000009</v>
      </c>
      <c r="L35" s="6">
        <f t="shared" si="4"/>
        <v>0.89090909090909021</v>
      </c>
      <c r="M35" s="146"/>
      <c r="N35" s="133"/>
      <c r="O35" s="145"/>
      <c r="P35" s="133"/>
    </row>
    <row r="36" spans="1:16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00">
        <f t="shared" si="3"/>
        <v>0</v>
      </c>
      <c r="L36" s="31">
        <f t="shared" si="4"/>
        <v>9.8000000000000007</v>
      </c>
      <c r="M36" s="31">
        <v>0.33150000000000002</v>
      </c>
      <c r="N36" s="32">
        <v>1.3311999999999999</v>
      </c>
      <c r="O36" s="143">
        <v>-257.21719999999999</v>
      </c>
      <c r="P36" s="30">
        <v>128.39340000000001</v>
      </c>
    </row>
    <row r="37" spans="1:16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00">
        <f t="shared" si="3"/>
        <v>1.3000000000000007</v>
      </c>
      <c r="L37" s="31">
        <f t="shared" si="4"/>
        <v>4.0090909090909088</v>
      </c>
      <c r="M37" s="31"/>
      <c r="N37" s="32"/>
      <c r="O37" s="145"/>
      <c r="P37" s="133"/>
    </row>
    <row r="38" spans="1:16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01">
        <f t="shared" si="3"/>
        <v>2.0000000000000009</v>
      </c>
      <c r="L38" s="35">
        <f t="shared" si="4"/>
        <v>0.89090909090909021</v>
      </c>
      <c r="M38" s="35"/>
      <c r="N38" s="36"/>
      <c r="O38" s="145"/>
      <c r="P38" s="133"/>
    </row>
    <row r="39" spans="1:16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6">
        <f t="shared" si="3"/>
        <v>0</v>
      </c>
      <c r="L39" s="6">
        <f t="shared" si="4"/>
        <v>12</v>
      </c>
      <c r="M39" s="146">
        <v>0.45800000000000002</v>
      </c>
      <c r="N39" s="133">
        <v>1.3584000000000001</v>
      </c>
      <c r="O39" s="143">
        <v>-347.19529999999997</v>
      </c>
      <c r="P39" s="141">
        <v>250.64109999999999</v>
      </c>
    </row>
    <row r="40" spans="1:16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6">
        <f t="shared" si="3"/>
        <v>1</v>
      </c>
      <c r="L40" s="6">
        <f t="shared" si="4"/>
        <v>7.862068965517242</v>
      </c>
      <c r="M40" s="146"/>
      <c r="N40" s="133"/>
      <c r="O40" s="145"/>
      <c r="P40" s="133"/>
    </row>
    <row r="41" spans="1:16" ht="15.75" thickBot="1" x14ac:dyDescent="0.3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6">
        <f t="shared" si="3"/>
        <v>2</v>
      </c>
      <c r="L41" s="6">
        <f t="shared" si="4"/>
        <v>3.7241379310344849</v>
      </c>
      <c r="M41" s="146"/>
      <c r="N41" s="133"/>
      <c r="O41" s="147"/>
      <c r="P41" s="135"/>
    </row>
    <row r="42" spans="1:16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31">
        <f t="shared" si="3"/>
        <v>0</v>
      </c>
      <c r="L42" s="31">
        <f t="shared" si="4"/>
        <v>12</v>
      </c>
      <c r="M42" s="31">
        <v>0.433</v>
      </c>
      <c r="N42" s="32">
        <v>1.3569</v>
      </c>
      <c r="O42" s="145">
        <v>-315.05840000000001</v>
      </c>
      <c r="P42" s="32">
        <v>212.0993</v>
      </c>
    </row>
    <row r="43" spans="1:16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31">
        <f t="shared" si="3"/>
        <v>1</v>
      </c>
      <c r="L43" s="31">
        <f t="shared" si="4"/>
        <v>7.862068965517242</v>
      </c>
      <c r="M43" s="31"/>
      <c r="N43" s="32"/>
      <c r="O43" s="145"/>
      <c r="P43" s="133"/>
    </row>
    <row r="44" spans="1:16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5">
        <f t="shared" si="3"/>
        <v>2</v>
      </c>
      <c r="L44" s="35">
        <f t="shared" si="4"/>
        <v>3.7241379310344849</v>
      </c>
      <c r="M44" s="35"/>
      <c r="N44" s="36"/>
      <c r="O44" s="147"/>
      <c r="P44" s="135"/>
    </row>
    <row r="45" spans="1:16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6">
        <f t="shared" si="3"/>
        <v>0</v>
      </c>
      <c r="L45" s="6">
        <f t="shared" si="4"/>
        <v>22.8</v>
      </c>
      <c r="M45" s="146">
        <v>-0.1192</v>
      </c>
      <c r="N45" s="133">
        <v>2.2696000000000001</v>
      </c>
      <c r="O45" s="145">
        <v>-551.28949999999998</v>
      </c>
      <c r="P45" s="133">
        <v>336.7595</v>
      </c>
    </row>
    <row r="46" spans="1:16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6">
        <f t="shared" si="3"/>
        <v>0.90000000000000224</v>
      </c>
      <c r="L46" s="6">
        <f t="shared" si="4"/>
        <v>19.262068965517233</v>
      </c>
      <c r="M46" s="146"/>
      <c r="N46" s="133"/>
      <c r="O46" s="145"/>
      <c r="P46" s="133"/>
    </row>
    <row r="47" spans="1:16" ht="15.75" thickBot="1" x14ac:dyDescent="0.3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6">
        <f t="shared" si="3"/>
        <v>1.9000000000000021</v>
      </c>
      <c r="L47" s="6">
        <f t="shared" si="4"/>
        <v>15.331034482758614</v>
      </c>
      <c r="M47" s="146"/>
      <c r="N47" s="133"/>
      <c r="O47" s="147"/>
      <c r="P47" s="135"/>
    </row>
    <row r="48" spans="1:16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31">
        <f t="shared" si="3"/>
        <v>0</v>
      </c>
      <c r="L48" s="31">
        <f t="shared" si="4"/>
        <v>22.8</v>
      </c>
      <c r="M48" s="31">
        <v>-0.2001</v>
      </c>
      <c r="N48" s="32">
        <v>2.3140999999999998</v>
      </c>
      <c r="O48" s="145">
        <v>-491.37849999999997</v>
      </c>
      <c r="P48" s="32">
        <v>291.09039999999999</v>
      </c>
    </row>
    <row r="49" spans="1:16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31">
        <f t="shared" si="3"/>
        <v>0.90000000000000224</v>
      </c>
      <c r="L49" s="31">
        <f t="shared" si="4"/>
        <v>19.262068965517233</v>
      </c>
      <c r="M49" s="31"/>
      <c r="N49" s="32"/>
      <c r="O49" s="145"/>
      <c r="P49" s="133"/>
    </row>
    <row r="50" spans="1:16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5">
        <f t="shared" si="3"/>
        <v>1.9000000000000021</v>
      </c>
      <c r="L50" s="35">
        <f t="shared" si="4"/>
        <v>15.331034482758614</v>
      </c>
      <c r="M50" s="35"/>
      <c r="N50" s="36"/>
      <c r="O50" s="147"/>
      <c r="P50" s="135"/>
    </row>
    <row r="51" spans="1:16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6">
        <f t="shared" si="3"/>
        <v>0</v>
      </c>
      <c r="L51" s="6">
        <f t="shared" si="4"/>
        <v>27.5</v>
      </c>
      <c r="M51" s="116">
        <v>0.68340000000000001</v>
      </c>
      <c r="N51" s="123">
        <v>1.6705000000000001</v>
      </c>
      <c r="O51" s="145">
        <v>-552.36500000000001</v>
      </c>
      <c r="P51" s="123">
        <v>383.78359999999998</v>
      </c>
    </row>
    <row r="52" spans="1:16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6">
        <f t="shared" si="3"/>
        <v>1.3999999999999986</v>
      </c>
      <c r="L52" s="6">
        <f t="shared" si="4"/>
        <v>21.838235294117656</v>
      </c>
      <c r="M52" s="116"/>
      <c r="N52" s="123"/>
      <c r="O52" s="145"/>
      <c r="P52" s="133"/>
    </row>
    <row r="53" spans="1:16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6">
        <f t="shared" si="3"/>
        <v>2.3000000000000007</v>
      </c>
      <c r="L53" s="6">
        <f t="shared" si="4"/>
        <v>18.198529411764703</v>
      </c>
      <c r="M53" s="116"/>
      <c r="N53" s="123"/>
      <c r="O53" s="145"/>
      <c r="P53" s="133"/>
    </row>
    <row r="54" spans="1:16" ht="15.75" thickBot="1" x14ac:dyDescent="0.3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6">
        <f t="shared" si="3"/>
        <v>3.3999999999999986</v>
      </c>
      <c r="L54" s="6">
        <f t="shared" si="4"/>
        <v>13.750000000000005</v>
      </c>
      <c r="M54" s="116"/>
      <c r="N54" s="123"/>
      <c r="O54" s="147"/>
      <c r="P54" s="135"/>
    </row>
    <row r="55" spans="1:16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31">
        <f t="shared" si="3"/>
        <v>0</v>
      </c>
      <c r="L55" s="31">
        <f t="shared" si="4"/>
        <v>27.5</v>
      </c>
      <c r="M55" s="31">
        <v>0.60519999999999996</v>
      </c>
      <c r="N55" s="32">
        <v>1.7274</v>
      </c>
      <c r="O55" s="145">
        <v>-504.54610000000002</v>
      </c>
      <c r="P55" s="32">
        <v>341.78800000000001</v>
      </c>
    </row>
    <row r="56" spans="1:16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31">
        <f t="shared" si="3"/>
        <v>1.3999999999999986</v>
      </c>
      <c r="L56" s="31">
        <f t="shared" si="4"/>
        <v>21.838235294117656</v>
      </c>
      <c r="M56" s="31"/>
      <c r="N56" s="32"/>
      <c r="O56" s="145"/>
      <c r="P56" s="133"/>
    </row>
    <row r="57" spans="1:16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31">
        <f t="shared" si="3"/>
        <v>2.3000000000000007</v>
      </c>
      <c r="L57" s="31">
        <f t="shared" si="4"/>
        <v>18.198529411764703</v>
      </c>
      <c r="M57" s="31"/>
      <c r="N57" s="32"/>
      <c r="O57" s="145"/>
      <c r="P57" s="133"/>
    </row>
    <row r="58" spans="1:16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31">
        <f t="shared" si="3"/>
        <v>3.3999999999999986</v>
      </c>
      <c r="L58" s="31">
        <f t="shared" si="4"/>
        <v>13.750000000000005</v>
      </c>
      <c r="M58" s="31"/>
      <c r="N58" s="32"/>
      <c r="O58" s="147"/>
      <c r="P58" s="135"/>
    </row>
    <row r="59" spans="1:16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6">
        <f t="shared" si="3"/>
        <v>0</v>
      </c>
      <c r="L59" s="6">
        <f t="shared" si="4"/>
        <v>39.700000000000003</v>
      </c>
      <c r="M59" s="146">
        <v>0.66</v>
      </c>
      <c r="N59" s="133">
        <v>1.6665000000000001</v>
      </c>
      <c r="O59" s="145">
        <v>-474.61579999999998</v>
      </c>
      <c r="P59" s="133">
        <v>283.44880000000001</v>
      </c>
    </row>
    <row r="60" spans="1:16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6">
        <f t="shared" si="3"/>
        <v>3.5</v>
      </c>
      <c r="L60" s="6">
        <f t="shared" si="4"/>
        <v>25.521428571428579</v>
      </c>
      <c r="M60" s="146"/>
      <c r="N60" s="133"/>
      <c r="O60" s="145"/>
      <c r="P60" s="133"/>
    </row>
    <row r="61" spans="1:16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6">
        <f t="shared" si="3"/>
        <v>4.6000000000000014</v>
      </c>
      <c r="L61" s="6">
        <f t="shared" si="4"/>
        <v>21.065306122448984</v>
      </c>
      <c r="M61" s="146"/>
      <c r="N61" s="133"/>
      <c r="O61" s="145"/>
      <c r="P61" s="133"/>
    </row>
    <row r="62" spans="1:16" ht="15.75" thickBot="1" x14ac:dyDescent="0.3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6">
        <f t="shared" si="3"/>
        <v>6.9000000000000057</v>
      </c>
      <c r="L62" s="6">
        <f t="shared" si="4"/>
        <v>11.747959183673457</v>
      </c>
      <c r="M62" s="146"/>
      <c r="N62" s="133"/>
      <c r="O62" s="147"/>
      <c r="P62" s="135"/>
    </row>
    <row r="63" spans="1:16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31">
        <f t="shared" si="3"/>
        <v>0</v>
      </c>
      <c r="L63" s="31">
        <f t="shared" si="4"/>
        <v>39.700000000000003</v>
      </c>
      <c r="M63" s="31">
        <v>0.57609999999999995</v>
      </c>
      <c r="N63" s="32">
        <v>1.724</v>
      </c>
      <c r="O63" s="145">
        <v>-430.76330000000002</v>
      </c>
      <c r="P63" s="32">
        <v>248.6174</v>
      </c>
    </row>
    <row r="64" spans="1:16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31">
        <f t="shared" si="3"/>
        <v>3.5</v>
      </c>
      <c r="L64" s="31">
        <f t="shared" si="4"/>
        <v>25.521428571428579</v>
      </c>
      <c r="M64" s="31"/>
      <c r="N64" s="32"/>
      <c r="O64" s="145"/>
      <c r="P64" s="133"/>
    </row>
    <row r="65" spans="1:16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31">
        <f t="shared" si="3"/>
        <v>4.6000000000000014</v>
      </c>
      <c r="L65" s="31">
        <f t="shared" si="4"/>
        <v>21.065306122448984</v>
      </c>
      <c r="M65" s="31"/>
      <c r="N65" s="32"/>
      <c r="O65" s="145"/>
      <c r="P65" s="133"/>
    </row>
    <row r="66" spans="1:16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5">
        <f t="shared" si="3"/>
        <v>6.9000000000000057</v>
      </c>
      <c r="L66" s="35">
        <f t="shared" si="4"/>
        <v>11.747959183673457</v>
      </c>
      <c r="M66" s="35"/>
      <c r="N66" s="36"/>
      <c r="O66" s="147"/>
      <c r="P66" s="135"/>
    </row>
  </sheetData>
  <mergeCells count="2">
    <mergeCell ref="M1:N1"/>
    <mergeCell ref="O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T40"/>
  <sheetViews>
    <sheetView zoomScale="87" zoomScaleNormal="87" workbookViewId="0">
      <selection activeCell="A12" sqref="A12:C15"/>
    </sheetView>
  </sheetViews>
  <sheetFormatPr defaultRowHeight="15" x14ac:dyDescent="0.25"/>
  <cols>
    <col min="1" max="1" width="19.7109375" style="1" bestFit="1" customWidth="1"/>
    <col min="2" max="2" width="15.7109375" style="1" customWidth="1"/>
    <col min="3" max="3" width="17" style="1" bestFit="1" customWidth="1"/>
    <col min="4" max="5" width="9.140625" style="1"/>
    <col min="6" max="6" width="14.140625" style="1" bestFit="1" customWidth="1"/>
    <col min="7" max="7" width="15.42578125" style="1" bestFit="1" customWidth="1"/>
    <col min="8" max="8" width="14.140625" style="1" bestFit="1" customWidth="1"/>
    <col min="9" max="9" width="15.42578125" style="1" bestFit="1" customWidth="1"/>
    <col min="10" max="10" width="10.42578125" style="1" bestFit="1" customWidth="1"/>
    <col min="11" max="13" width="9.140625" style="1"/>
    <col min="14" max="14" width="14.85546875" style="1" bestFit="1" customWidth="1"/>
    <col min="15" max="15" width="10.42578125" style="1" bestFit="1" customWidth="1"/>
    <col min="16" max="16" width="14.85546875" style="1" bestFit="1" customWidth="1"/>
    <col min="17" max="17" width="10.42578125" style="1" bestFit="1" customWidth="1"/>
    <col min="18" max="18" width="14.85546875" style="1" bestFit="1" customWidth="1"/>
    <col min="19" max="20" width="14.42578125" style="1" bestFit="1" customWidth="1"/>
    <col min="21" max="16384" width="9.140625" style="1"/>
  </cols>
  <sheetData>
    <row r="1" spans="1:20" x14ac:dyDescent="0.25">
      <c r="A1" s="1" t="s">
        <v>26</v>
      </c>
      <c r="B1" s="2" t="s">
        <v>29</v>
      </c>
      <c r="C1" s="2"/>
    </row>
    <row r="3" spans="1:20" ht="15.75" thickBot="1" x14ac:dyDescent="0.3">
      <c r="A3" s="1" t="s">
        <v>5</v>
      </c>
      <c r="D3" s="1" t="s">
        <v>34</v>
      </c>
      <c r="I3" s="3"/>
      <c r="J3" s="3" t="s">
        <v>6</v>
      </c>
      <c r="Q3" s="3"/>
      <c r="S3" s="3"/>
    </row>
    <row r="4" spans="1:20" ht="15.75" thickBot="1" x14ac:dyDescent="0.3">
      <c r="A4" s="11" t="s">
        <v>0</v>
      </c>
      <c r="B4" s="22" t="s">
        <v>32</v>
      </c>
      <c r="C4" s="23" t="s">
        <v>33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30</v>
      </c>
      <c r="I4" s="23" t="s">
        <v>31</v>
      </c>
      <c r="J4" s="16" t="s">
        <v>1</v>
      </c>
      <c r="K4" s="22" t="s">
        <v>2</v>
      </c>
      <c r="L4" s="22" t="s">
        <v>3</v>
      </c>
      <c r="M4" s="22" t="s">
        <v>4</v>
      </c>
      <c r="N4" s="22" t="s">
        <v>30</v>
      </c>
      <c r="O4" s="22" t="s">
        <v>31</v>
      </c>
      <c r="P4" s="110" t="s">
        <v>35</v>
      </c>
      <c r="Q4" s="110" t="s">
        <v>36</v>
      </c>
      <c r="R4" s="111" t="s">
        <v>35</v>
      </c>
      <c r="S4" s="111" t="s">
        <v>36</v>
      </c>
      <c r="T4" s="1" t="s">
        <v>37</v>
      </c>
    </row>
    <row r="5" spans="1:20" x14ac:dyDescent="0.25">
      <c r="A5" s="16" t="s">
        <v>7</v>
      </c>
      <c r="B5" s="51">
        <v>0</v>
      </c>
      <c r="C5" s="58">
        <v>0.16666666666666666</v>
      </c>
      <c r="D5" s="60">
        <v>2.8856999999999999</v>
      </c>
      <c r="E5" s="60">
        <v>-178.04</v>
      </c>
      <c r="F5" s="60">
        <v>-0.22445000000000001</v>
      </c>
      <c r="G5" s="60">
        <v>-5.9924999999999997</v>
      </c>
      <c r="H5" s="60">
        <v>13.238</v>
      </c>
      <c r="I5" s="61">
        <v>0.88083</v>
      </c>
      <c r="J5" s="66">
        <v>0.49153999999999998</v>
      </c>
      <c r="K5" s="67">
        <v>-112.58</v>
      </c>
      <c r="L5" s="67">
        <v>1.231E-2</v>
      </c>
      <c r="M5" s="67">
        <v>-5.1444999999999999</v>
      </c>
      <c r="N5" s="67">
        <v>24.702999999999999</v>
      </c>
      <c r="O5" s="68">
        <v>-0.56857999999999997</v>
      </c>
      <c r="P5" s="43">
        <f>(D5+E5*(B5/C5) + F5*10)</f>
        <v>0.64119999999999999</v>
      </c>
      <c r="Q5" s="44">
        <f>G5*10 +( H5*(B5/C5) )+I5</f>
        <v>-59.044169999999994</v>
      </c>
      <c r="R5" s="44">
        <f>(J5+K5*(B5/C5)+L5*10)</f>
        <v>0.61463999999999996</v>
      </c>
      <c r="S5" s="45">
        <f>M5*10 +N5*(B5/C5)+O5</f>
        <v>-52.013579999999997</v>
      </c>
      <c r="T5" s="1">
        <f>E5*B5/C5</f>
        <v>0</v>
      </c>
    </row>
    <row r="6" spans="1:20" x14ac:dyDescent="0.25">
      <c r="A6" s="13"/>
      <c r="B6" s="52">
        <v>3.3333333333333361E-2</v>
      </c>
      <c r="C6" s="54">
        <v>0.16666666666666666</v>
      </c>
      <c r="D6" s="62">
        <v>7.3114999999999997</v>
      </c>
      <c r="E6" s="62">
        <v>-668.91</v>
      </c>
      <c r="F6" s="62">
        <v>12.711</v>
      </c>
      <c r="G6" s="62">
        <v>-11.324999999999999</v>
      </c>
      <c r="H6" s="62">
        <v>-58.067</v>
      </c>
      <c r="I6" s="63">
        <v>-5.8662000000000001</v>
      </c>
      <c r="J6" s="69">
        <v>2.2031000000000001</v>
      </c>
      <c r="K6" s="70">
        <v>-171.45</v>
      </c>
      <c r="L6" s="70">
        <v>3.2685</v>
      </c>
      <c r="M6" s="70">
        <v>-10.737</v>
      </c>
      <c r="N6" s="70">
        <v>4.2229000000000001</v>
      </c>
      <c r="O6" s="71">
        <v>0.28238999999999997</v>
      </c>
      <c r="P6" s="46">
        <f t="shared" ref="P6:P23" si="0">(D6+E6*(B6/C6) + F6*10)</f>
        <v>0.63949999999987028</v>
      </c>
      <c r="Q6" s="3">
        <f t="shared" ref="Q6:Q23" si="1">G6*10 +( H6*(B6/C6) )+I6</f>
        <v>-130.7296</v>
      </c>
      <c r="R6" s="3">
        <f t="shared" ref="R6:R23" si="2">(J6+K6*(B6/C6)+L6*10)</f>
        <v>0.59809999999997387</v>
      </c>
      <c r="S6" s="47">
        <f t="shared" ref="S6:S23" si="3">M6*10 +N6*(B6/C6)+O6</f>
        <v>-106.24302999999999</v>
      </c>
      <c r="T6" s="1">
        <f t="shared" ref="T6:T40" si="4">E6*B6/C6</f>
        <v>-133.78200000000012</v>
      </c>
    </row>
    <row r="7" spans="1:20" x14ac:dyDescent="0.25">
      <c r="A7" s="13"/>
      <c r="B7" s="52">
        <v>6.6666666666666721E-2</v>
      </c>
      <c r="C7" s="54">
        <v>0.16666666666666666</v>
      </c>
      <c r="D7" s="62">
        <v>5.3417000000000003</v>
      </c>
      <c r="E7" s="62">
        <v>-73.347999999999999</v>
      </c>
      <c r="F7" s="62">
        <v>2.4586000000000001</v>
      </c>
      <c r="G7" s="62">
        <v>-19.417000000000002</v>
      </c>
      <c r="H7" s="62">
        <v>-9.2965</v>
      </c>
      <c r="I7" s="63">
        <v>3.0834999999999999</v>
      </c>
      <c r="J7" s="69">
        <v>3.1587999999999998</v>
      </c>
      <c r="K7" s="70">
        <v>-197.21</v>
      </c>
      <c r="L7" s="70">
        <v>7.6280000000000001</v>
      </c>
      <c r="M7" s="70">
        <v>-17.027000000000001</v>
      </c>
      <c r="N7" s="70">
        <v>-2.9765000000000001</v>
      </c>
      <c r="O7" s="71">
        <v>5.8014000000000001</v>
      </c>
      <c r="P7" s="46">
        <f t="shared" si="0"/>
        <v>0.58849999999997493</v>
      </c>
      <c r="Q7" s="3">
        <f t="shared" si="1"/>
        <v>-194.80510000000004</v>
      </c>
      <c r="R7" s="3">
        <f t="shared" si="2"/>
        <v>0.55479999999992913</v>
      </c>
      <c r="S7" s="47">
        <f t="shared" si="3"/>
        <v>-165.6592</v>
      </c>
      <c r="T7" s="1">
        <f t="shared" si="4"/>
        <v>-29.339200000000027</v>
      </c>
    </row>
    <row r="8" spans="1:20" ht="15.75" thickBot="1" x14ac:dyDescent="0.3">
      <c r="A8" s="19"/>
      <c r="B8" s="53">
        <v>9.9999999999999936E-2</v>
      </c>
      <c r="C8" s="57">
        <v>0.16666666666666666</v>
      </c>
      <c r="D8" s="62">
        <v>5.2830000000000004</v>
      </c>
      <c r="E8" s="62">
        <v>-185.62</v>
      </c>
      <c r="F8" s="62">
        <v>10.663</v>
      </c>
      <c r="G8" s="62">
        <v>-23.437999999999999</v>
      </c>
      <c r="H8" s="62">
        <v>3.9352999999999998</v>
      </c>
      <c r="I8" s="63">
        <v>0.64295000000000002</v>
      </c>
      <c r="J8" s="69">
        <v>2.9357000000000002</v>
      </c>
      <c r="K8" s="70">
        <v>-139.31</v>
      </c>
      <c r="L8" s="70">
        <v>8.1082000000000001</v>
      </c>
      <c r="M8" s="70">
        <v>-16.724</v>
      </c>
      <c r="N8" s="70">
        <v>7.6962000000000002</v>
      </c>
      <c r="O8" s="71">
        <v>0.92266000000000004</v>
      </c>
      <c r="P8" s="48">
        <f t="shared" si="0"/>
        <v>0.54100000000005366</v>
      </c>
      <c r="Q8" s="49">
        <f t="shared" si="1"/>
        <v>-231.37586999999999</v>
      </c>
      <c r="R8" s="49">
        <f t="shared" si="2"/>
        <v>0.43170000000003483</v>
      </c>
      <c r="S8" s="50">
        <f t="shared" si="3"/>
        <v>-161.69962000000001</v>
      </c>
      <c r="T8" s="1">
        <f t="shared" si="4"/>
        <v>-111.37199999999993</v>
      </c>
    </row>
    <row r="9" spans="1:20" x14ac:dyDescent="0.25">
      <c r="A9" s="16" t="s">
        <v>8</v>
      </c>
      <c r="B9" s="51">
        <v>0</v>
      </c>
      <c r="C9" s="58">
        <v>0.15909090909090909</v>
      </c>
      <c r="D9" s="60">
        <v>0.65</v>
      </c>
      <c r="E9" s="60">
        <v>20.486000000000001</v>
      </c>
      <c r="F9" s="60">
        <v>4.8640999999999997E-3</v>
      </c>
      <c r="G9" s="60">
        <v>-6.7224000000000004</v>
      </c>
      <c r="H9" s="60">
        <v>4.8491</v>
      </c>
      <c r="I9" s="61">
        <v>9.1216000000000008</v>
      </c>
      <c r="J9" s="66">
        <v>2.1084999999999998</v>
      </c>
      <c r="K9" s="67">
        <v>-304.25</v>
      </c>
      <c r="L9" s="67">
        <v>-0.14491999999999999</v>
      </c>
      <c r="M9" s="67">
        <v>-4.5014000000000003</v>
      </c>
      <c r="N9" s="67">
        <v>19.812999999999999</v>
      </c>
      <c r="O9" s="68">
        <v>-3.6313</v>
      </c>
      <c r="P9" s="44">
        <f t="shared" si="0"/>
        <v>0.69864100000000007</v>
      </c>
      <c r="Q9" s="44">
        <f t="shared" si="1"/>
        <v>-58.102400000000003</v>
      </c>
      <c r="R9" s="44">
        <f t="shared" si="2"/>
        <v>0.6593</v>
      </c>
      <c r="S9" s="45">
        <f t="shared" si="3"/>
        <v>-48.645300000000006</v>
      </c>
      <c r="T9" s="1">
        <f t="shared" si="4"/>
        <v>0</v>
      </c>
    </row>
    <row r="10" spans="1:20" x14ac:dyDescent="0.25">
      <c r="A10" s="13"/>
      <c r="B10" s="52">
        <v>6.8181818181818177E-2</v>
      </c>
      <c r="C10" s="54">
        <v>0.15909090909090909</v>
      </c>
      <c r="D10" s="62">
        <v>3.6627000000000001</v>
      </c>
      <c r="E10" s="62">
        <v>-473.81</v>
      </c>
      <c r="F10" s="62">
        <v>20.007999999999999</v>
      </c>
      <c r="G10" s="62">
        <v>-26.257999999999999</v>
      </c>
      <c r="H10" s="62">
        <v>-2.8525999999999998</v>
      </c>
      <c r="I10" s="63">
        <v>-5.5293999999999999</v>
      </c>
      <c r="J10" s="69">
        <v>5.1580000000000004</v>
      </c>
      <c r="K10" s="70">
        <v>-471.82</v>
      </c>
      <c r="L10" s="70">
        <v>19.766999999999999</v>
      </c>
      <c r="M10" s="70">
        <v>-19.596</v>
      </c>
      <c r="N10" s="70">
        <v>-14.929</v>
      </c>
      <c r="O10" s="71">
        <v>-20.184999999999999</v>
      </c>
      <c r="P10" s="3">
        <f t="shared" si="0"/>
        <v>0.68127142857142076</v>
      </c>
      <c r="Q10" s="3">
        <f t="shared" si="1"/>
        <v>-269.33194285714285</v>
      </c>
      <c r="R10" s="3">
        <f t="shared" si="2"/>
        <v>0.61942857142855701</v>
      </c>
      <c r="S10" s="47">
        <f t="shared" si="3"/>
        <v>-222.54314285714287</v>
      </c>
      <c r="T10" s="1">
        <f t="shared" si="4"/>
        <v>-203.06142857142856</v>
      </c>
    </row>
    <row r="11" spans="1:20" ht="15.75" thickBot="1" x14ac:dyDescent="0.3">
      <c r="A11" s="19"/>
      <c r="B11" s="53">
        <v>0.14090909090909098</v>
      </c>
      <c r="C11" s="57">
        <v>0.15909090909090909</v>
      </c>
      <c r="D11" s="64">
        <v>4.3758999999999997</v>
      </c>
      <c r="E11" s="64">
        <v>-161.57</v>
      </c>
      <c r="F11" s="64">
        <v>13.932</v>
      </c>
      <c r="G11" s="64">
        <v>-34.631999999999998</v>
      </c>
      <c r="H11" s="64">
        <v>8.8775999999999993</v>
      </c>
      <c r="I11" s="65">
        <v>1.6105</v>
      </c>
      <c r="J11" s="72">
        <v>-15.894</v>
      </c>
      <c r="K11" s="73">
        <v>-72.111999999999995</v>
      </c>
      <c r="L11" s="73">
        <v>8.0190000000000001</v>
      </c>
      <c r="M11" s="73">
        <v>-20.731999999999999</v>
      </c>
      <c r="N11" s="73">
        <v>-47.225000000000001</v>
      </c>
      <c r="O11" s="74">
        <v>25.515000000000001</v>
      </c>
      <c r="P11" s="49">
        <f t="shared" si="0"/>
        <v>0.59104285714278149</v>
      </c>
      <c r="Q11" s="49">
        <f t="shared" si="1"/>
        <v>-336.84648285714286</v>
      </c>
      <c r="R11" s="49">
        <f t="shared" si="2"/>
        <v>0.42537142857139543</v>
      </c>
      <c r="S11" s="50">
        <f t="shared" si="3"/>
        <v>-223.63285714285718</v>
      </c>
      <c r="T11" s="1">
        <f t="shared" si="4"/>
        <v>-143.10485714285721</v>
      </c>
    </row>
    <row r="12" spans="1:20" x14ac:dyDescent="0.25">
      <c r="A12" s="13" t="s">
        <v>9</v>
      </c>
      <c r="B12" s="52">
        <v>0</v>
      </c>
      <c r="C12" s="54">
        <v>0.15175097276264587</v>
      </c>
      <c r="D12" s="62">
        <v>-0.43946000000000002</v>
      </c>
      <c r="E12" s="62">
        <v>78.742999999999995</v>
      </c>
      <c r="F12" s="62">
        <v>0.11287</v>
      </c>
      <c r="G12" s="62">
        <v>-5.5712000000000002</v>
      </c>
      <c r="H12" s="62">
        <v>13.643000000000001</v>
      </c>
      <c r="I12" s="63">
        <v>9.0867000000000004</v>
      </c>
      <c r="J12" s="69">
        <v>1.6597</v>
      </c>
      <c r="K12" s="70">
        <v>-101.4</v>
      </c>
      <c r="L12" s="70">
        <v>-0.10287</v>
      </c>
      <c r="M12" s="70">
        <v>-2.6374</v>
      </c>
      <c r="N12" s="70">
        <v>6.7766999999999999</v>
      </c>
      <c r="O12" s="71">
        <v>-0.86192000000000002</v>
      </c>
      <c r="P12" s="3">
        <f t="shared" si="0"/>
        <v>0.68924000000000007</v>
      </c>
      <c r="Q12" s="3">
        <f t="shared" si="1"/>
        <v>-46.625300000000003</v>
      </c>
      <c r="R12" s="3">
        <f t="shared" si="2"/>
        <v>0.63100000000000001</v>
      </c>
      <c r="S12" s="47">
        <f t="shared" si="3"/>
        <v>-27.23592</v>
      </c>
      <c r="T12" s="1">
        <f t="shared" si="4"/>
        <v>0</v>
      </c>
    </row>
    <row r="13" spans="1:20" x14ac:dyDescent="0.25">
      <c r="A13" s="13"/>
      <c r="B13" s="52">
        <v>2.7237354085603085E-2</v>
      </c>
      <c r="C13" s="54">
        <v>0.15175097276264587</v>
      </c>
      <c r="D13" s="62">
        <v>4.657</v>
      </c>
      <c r="E13" s="62">
        <v>-207.33</v>
      </c>
      <c r="F13" s="62">
        <v>3.3283999999999998</v>
      </c>
      <c r="G13" s="62">
        <v>-19.568999999999999</v>
      </c>
      <c r="H13" s="62">
        <v>6.8341000000000003</v>
      </c>
      <c r="I13" s="63">
        <v>-1.8080000000000001</v>
      </c>
      <c r="J13" s="69">
        <v>2.1597</v>
      </c>
      <c r="K13" s="70">
        <v>-619.97</v>
      </c>
      <c r="L13" s="70">
        <v>10.978</v>
      </c>
      <c r="M13" s="70">
        <v>-15.856</v>
      </c>
      <c r="N13" s="70">
        <v>68.585999999999999</v>
      </c>
      <c r="O13" s="71">
        <v>-8.8175000000000008</v>
      </c>
      <c r="P13" s="3">
        <f t="shared" si="0"/>
        <v>0.72792307692309777</v>
      </c>
      <c r="Q13" s="3">
        <f t="shared" si="1"/>
        <v>-196.27136666666667</v>
      </c>
      <c r="R13" s="3">
        <f t="shared" si="2"/>
        <v>0.66303333333341641</v>
      </c>
      <c r="S13" s="47">
        <f t="shared" si="3"/>
        <v>-155.06719230769232</v>
      </c>
      <c r="T13" s="1">
        <f t="shared" si="4"/>
        <v>-37.213076923076898</v>
      </c>
    </row>
    <row r="14" spans="1:20" x14ac:dyDescent="0.25">
      <c r="A14" s="13"/>
      <c r="B14" s="52">
        <v>5.8365758754863814E-2</v>
      </c>
      <c r="C14" s="54">
        <v>0.15175097276264587</v>
      </c>
      <c r="D14" s="62">
        <v>7.1231999999999998</v>
      </c>
      <c r="E14" s="62">
        <v>-145.84</v>
      </c>
      <c r="F14" s="62">
        <v>4.9660000000000002</v>
      </c>
      <c r="G14" s="62">
        <v>-24.398</v>
      </c>
      <c r="H14" s="62">
        <v>-11.259</v>
      </c>
      <c r="I14" s="63">
        <v>3.9706999999999999</v>
      </c>
      <c r="J14" s="69">
        <v>4.1239999999999997</v>
      </c>
      <c r="K14" s="70">
        <v>168.96</v>
      </c>
      <c r="L14" s="70">
        <v>-6.8498999999999999</v>
      </c>
      <c r="M14" s="70">
        <v>-21.398</v>
      </c>
      <c r="N14" s="70">
        <v>21.05</v>
      </c>
      <c r="O14" s="71">
        <v>15.353</v>
      </c>
      <c r="P14" s="3">
        <f t="shared" si="0"/>
        <v>0.69089230769228749</v>
      </c>
      <c r="Q14" s="3">
        <f t="shared" si="1"/>
        <v>-244.33968461538461</v>
      </c>
      <c r="R14" s="3">
        <f t="shared" si="2"/>
        <v>0.60961538461540954</v>
      </c>
      <c r="S14" s="47">
        <f t="shared" si="3"/>
        <v>-190.53084615384614</v>
      </c>
      <c r="T14" s="1">
        <f t="shared" si="4"/>
        <v>-56.092307692307706</v>
      </c>
    </row>
    <row r="15" spans="1:20" ht="15.75" thickBot="1" x14ac:dyDescent="0.3">
      <c r="A15" s="13"/>
      <c r="B15" s="52">
        <v>0.12062256809338513</v>
      </c>
      <c r="C15" s="54">
        <v>0.15175097276264587</v>
      </c>
      <c r="D15" s="64">
        <v>-8.8211999999999993</v>
      </c>
      <c r="E15" s="64">
        <v>-34.265000000000001</v>
      </c>
      <c r="F15" s="64">
        <v>3.6636000000000002</v>
      </c>
      <c r="G15" s="64">
        <v>-38.011000000000003</v>
      </c>
      <c r="H15" s="64">
        <v>96.168999999999997</v>
      </c>
      <c r="I15" s="65">
        <v>5.1401000000000003</v>
      </c>
      <c r="J15" s="72">
        <v>-5.9847000000000001</v>
      </c>
      <c r="K15" s="73">
        <v>-10.656000000000001</v>
      </c>
      <c r="L15" s="73">
        <v>1.4899</v>
      </c>
      <c r="M15" s="73">
        <v>-27.561</v>
      </c>
      <c r="N15" s="73">
        <v>78.322000000000003</v>
      </c>
      <c r="O15" s="74">
        <v>3.5152999999999999</v>
      </c>
      <c r="P15" s="3">
        <f t="shared" si="0"/>
        <v>0.57851794871796614</v>
      </c>
      <c r="Q15" s="3">
        <f t="shared" si="1"/>
        <v>-298.52787435897437</v>
      </c>
      <c r="R15" s="3">
        <f t="shared" si="2"/>
        <v>0.44414615384615885</v>
      </c>
      <c r="S15" s="47">
        <f t="shared" si="3"/>
        <v>-209.83875128205133</v>
      </c>
      <c r="T15" s="1">
        <f t="shared" si="4"/>
        <v>-27.236282051282039</v>
      </c>
    </row>
    <row r="16" spans="1:20" x14ac:dyDescent="0.25">
      <c r="A16" s="16" t="s">
        <v>10</v>
      </c>
      <c r="B16" s="51">
        <v>0</v>
      </c>
      <c r="C16" s="58">
        <v>0.16370106761565842</v>
      </c>
      <c r="D16" s="62">
        <v>1.1889000000000001</v>
      </c>
      <c r="E16" s="62">
        <v>-116.77</v>
      </c>
      <c r="F16" s="62">
        <v>-4.7905000000000003E-2</v>
      </c>
      <c r="G16" s="62">
        <v>-2.3704000000000001</v>
      </c>
      <c r="H16" s="62">
        <v>0.84694000000000003</v>
      </c>
      <c r="I16" s="63">
        <v>0.56333</v>
      </c>
      <c r="J16" s="69">
        <v>0.97106000000000003</v>
      </c>
      <c r="K16" s="70">
        <v>138.69999999999999</v>
      </c>
      <c r="L16" s="70">
        <v>-3.0831000000000001E-2</v>
      </c>
      <c r="M16" s="70">
        <v>-1.9084000000000001</v>
      </c>
      <c r="N16" s="70">
        <v>-11.401999999999999</v>
      </c>
      <c r="O16" s="71">
        <v>8.4321000000000002</v>
      </c>
      <c r="P16" s="43">
        <f t="shared" si="0"/>
        <v>0.70985000000000009</v>
      </c>
      <c r="Q16" s="44">
        <f t="shared" si="1"/>
        <v>-23.14067</v>
      </c>
      <c r="R16" s="44">
        <f t="shared" si="2"/>
        <v>0.66274999999999995</v>
      </c>
      <c r="S16" s="45">
        <f t="shared" si="3"/>
        <v>-10.651899999999999</v>
      </c>
      <c r="T16" s="1">
        <f t="shared" si="4"/>
        <v>0</v>
      </c>
    </row>
    <row r="17" spans="1:20" x14ac:dyDescent="0.25">
      <c r="A17" s="13"/>
      <c r="B17" s="52">
        <v>6.0498220640569492E-2</v>
      </c>
      <c r="C17" s="54">
        <v>0.16370106761565842</v>
      </c>
      <c r="D17" s="62">
        <v>1.5434000000000001</v>
      </c>
      <c r="E17" s="62">
        <v>-117.15</v>
      </c>
      <c r="F17" s="62">
        <v>4.2472000000000003</v>
      </c>
      <c r="G17" s="62">
        <v>-24.257000000000001</v>
      </c>
      <c r="H17" s="62">
        <v>44.405999999999999</v>
      </c>
      <c r="I17" s="63">
        <v>-4.3498000000000001</v>
      </c>
      <c r="J17" s="69">
        <v>-0.23557</v>
      </c>
      <c r="K17" s="70">
        <v>15.003</v>
      </c>
      <c r="L17" s="70">
        <v>-0.46516999999999997</v>
      </c>
      <c r="M17" s="70">
        <v>-20.556999999999999</v>
      </c>
      <c r="N17" s="70">
        <v>41.558999999999997</v>
      </c>
      <c r="O17" s="71">
        <v>1.8993</v>
      </c>
      <c r="P17" s="46">
        <f t="shared" si="0"/>
        <v>0.72083478260864098</v>
      </c>
      <c r="Q17" s="3">
        <f t="shared" si="1"/>
        <v>-230.50888695652174</v>
      </c>
      <c r="R17" s="3">
        <f t="shared" si="2"/>
        <v>0.65731695652174604</v>
      </c>
      <c r="S17" s="47">
        <f t="shared" si="3"/>
        <v>-188.31193913043475</v>
      </c>
      <c r="T17" s="1">
        <f t="shared" si="4"/>
        <v>-43.294565217391359</v>
      </c>
    </row>
    <row r="18" spans="1:20" x14ac:dyDescent="0.25">
      <c r="A18" s="13"/>
      <c r="B18" s="52">
        <v>9.964412811387903E-2</v>
      </c>
      <c r="C18" s="54">
        <v>0.16370106761565842</v>
      </c>
      <c r="D18" s="62">
        <v>6.6928999999999998</v>
      </c>
      <c r="E18" s="62">
        <v>-207.14</v>
      </c>
      <c r="F18" s="62">
        <v>12.000999999999999</v>
      </c>
      <c r="G18" s="62">
        <v>-27.869</v>
      </c>
      <c r="H18" s="62">
        <v>8.4513999999999996</v>
      </c>
      <c r="I18" s="63">
        <v>2.8125</v>
      </c>
      <c r="J18" s="69">
        <v>2.6791999999999998</v>
      </c>
      <c r="K18" s="70">
        <v>-79.869</v>
      </c>
      <c r="L18" s="70">
        <v>4.6462000000000003</v>
      </c>
      <c r="M18" s="70">
        <v>-22.701000000000001</v>
      </c>
      <c r="N18" s="70">
        <v>18.175999999999998</v>
      </c>
      <c r="O18" s="71">
        <v>3.9940000000000002</v>
      </c>
      <c r="P18" s="46">
        <f t="shared" si="0"/>
        <v>0.6176826086956595</v>
      </c>
      <c r="Q18" s="3">
        <f t="shared" si="1"/>
        <v>-270.73316956521739</v>
      </c>
      <c r="R18" s="3">
        <f t="shared" si="2"/>
        <v>0.52528695652174662</v>
      </c>
      <c r="S18" s="47">
        <f t="shared" si="3"/>
        <v>-211.95234782608694</v>
      </c>
      <c r="T18" s="1">
        <f t="shared" si="4"/>
        <v>-126.08521739130433</v>
      </c>
    </row>
    <row r="19" spans="1:20" ht="15.75" thickBot="1" x14ac:dyDescent="0.3">
      <c r="A19" s="19"/>
      <c r="B19" s="53">
        <v>0.14590747330960857</v>
      </c>
      <c r="C19" s="57">
        <v>0.16370106761565842</v>
      </c>
      <c r="D19" s="62">
        <v>-5.6593</v>
      </c>
      <c r="E19" s="62">
        <v>28.763999999999999</v>
      </c>
      <c r="F19" s="62">
        <v>-1.9401999999999999</v>
      </c>
      <c r="G19" s="62">
        <v>-31.417999999999999</v>
      </c>
      <c r="H19" s="62">
        <v>-30.94</v>
      </c>
      <c r="I19" s="63">
        <v>15.372999999999999</v>
      </c>
      <c r="J19" s="69">
        <v>0.63602000000000003</v>
      </c>
      <c r="K19" s="70">
        <v>-28.007999999999999</v>
      </c>
      <c r="L19" s="70">
        <v>2.4312999999999998</v>
      </c>
      <c r="M19" s="70">
        <v>3.2366000000000001</v>
      </c>
      <c r="N19" s="70">
        <v>5.1806000000000001</v>
      </c>
      <c r="O19" s="71">
        <v>1.2727999999999999</v>
      </c>
      <c r="P19" s="48">
        <f t="shared" si="0"/>
        <v>0.57617826086956114</v>
      </c>
      <c r="Q19" s="49">
        <f t="shared" si="1"/>
        <v>-326.38395652173915</v>
      </c>
      <c r="R19" s="49">
        <f t="shared" si="2"/>
        <v>-1.4632173913042834E-2</v>
      </c>
      <c r="S19" s="50">
        <f t="shared" si="3"/>
        <v>38.256291304347819</v>
      </c>
      <c r="T19" s="1">
        <f t="shared" si="4"/>
        <v>25.63747826086956</v>
      </c>
    </row>
    <row r="20" spans="1:20" x14ac:dyDescent="0.25">
      <c r="A20" s="13" t="s">
        <v>11</v>
      </c>
      <c r="B20" s="52">
        <v>0</v>
      </c>
      <c r="C20" s="54">
        <v>0.14590747330960857</v>
      </c>
      <c r="D20" s="60">
        <v>0.70784999999999998</v>
      </c>
      <c r="E20" s="60">
        <v>-64.296000000000006</v>
      </c>
      <c r="F20" s="60">
        <v>8.1026000000000004E-4</v>
      </c>
      <c r="G20" s="60">
        <v>-5.0206999999999997</v>
      </c>
      <c r="H20" s="60">
        <v>-6.0395000000000003</v>
      </c>
      <c r="I20" s="61">
        <v>11.218</v>
      </c>
      <c r="J20" s="75">
        <v>-0.17765</v>
      </c>
      <c r="K20" s="76">
        <v>-134.07</v>
      </c>
      <c r="L20" s="76">
        <v>8.3946999999999994E-2</v>
      </c>
      <c r="M20" s="76">
        <v>-2.67</v>
      </c>
      <c r="N20" s="76">
        <v>18.956</v>
      </c>
      <c r="O20" s="77">
        <v>0.88380000000000003</v>
      </c>
      <c r="P20" s="3">
        <f t="shared" si="0"/>
        <v>0.71595259999999994</v>
      </c>
      <c r="Q20" s="3">
        <f t="shared" si="1"/>
        <v>-38.98899999999999</v>
      </c>
      <c r="R20" s="3">
        <f t="shared" si="2"/>
        <v>0.66181999999999996</v>
      </c>
      <c r="S20" s="47">
        <f t="shared" si="3"/>
        <v>-25.816199999999998</v>
      </c>
      <c r="T20" s="1">
        <f t="shared" si="4"/>
        <v>0</v>
      </c>
    </row>
    <row r="21" spans="1:20" x14ac:dyDescent="0.25">
      <c r="A21" s="13" t="s">
        <v>12</v>
      </c>
      <c r="B21" s="52">
        <v>4.2704626334519671E-2</v>
      </c>
      <c r="C21" s="54">
        <v>0.14590747330960857</v>
      </c>
      <c r="D21" s="62">
        <v>-2.9558</v>
      </c>
      <c r="E21" s="62">
        <v>-620.17999999999995</v>
      </c>
      <c r="F21" s="62">
        <v>18.521999999999998</v>
      </c>
      <c r="G21" s="62">
        <v>-23.119</v>
      </c>
      <c r="H21" s="62">
        <v>1.9795</v>
      </c>
      <c r="I21" s="63">
        <v>-13.042999999999999</v>
      </c>
      <c r="J21" s="78">
        <v>8.6055000000000006E-2</v>
      </c>
      <c r="K21" s="79">
        <v>-242.03</v>
      </c>
      <c r="L21" s="79">
        <v>7.1421999999999999</v>
      </c>
      <c r="M21" s="79">
        <v>-20.125</v>
      </c>
      <c r="N21" s="79">
        <v>18.036999999999999</v>
      </c>
      <c r="O21" s="80">
        <v>1.3367</v>
      </c>
      <c r="P21" s="3">
        <f t="shared" si="0"/>
        <v>0.7481024390239952</v>
      </c>
      <c r="Q21" s="3">
        <f t="shared" si="1"/>
        <v>-243.65363414634146</v>
      </c>
      <c r="R21" s="3">
        <f t="shared" si="2"/>
        <v>0.67000621951204664</v>
      </c>
      <c r="S21" s="47">
        <f t="shared" si="3"/>
        <v>-194.63417804878048</v>
      </c>
      <c r="T21" s="1">
        <f t="shared" si="4"/>
        <v>-181.51609756097596</v>
      </c>
    </row>
    <row r="22" spans="1:20" x14ac:dyDescent="0.25">
      <c r="A22" s="13"/>
      <c r="B22" s="52">
        <v>7.8291814946619312E-2</v>
      </c>
      <c r="C22" s="54">
        <v>0.14590747330960857</v>
      </c>
      <c r="D22" s="62">
        <v>-3.2244999999999999</v>
      </c>
      <c r="E22" s="62">
        <v>42.768000000000001</v>
      </c>
      <c r="F22" s="62">
        <v>-1.9041999999999999</v>
      </c>
      <c r="G22" s="62">
        <v>-21.841000000000001</v>
      </c>
      <c r="H22" s="62">
        <v>-35.185000000000002</v>
      </c>
      <c r="I22" s="63">
        <v>-43.125999999999998</v>
      </c>
      <c r="J22" s="78">
        <v>6.2008000000000001</v>
      </c>
      <c r="K22" s="79">
        <v>-78.206000000000003</v>
      </c>
      <c r="L22" s="79">
        <v>3.6379999999999999</v>
      </c>
      <c r="M22" s="79">
        <v>-22.768999999999998</v>
      </c>
      <c r="N22" s="79">
        <v>-13.82</v>
      </c>
      <c r="O22" s="80">
        <v>2.8050999999999999</v>
      </c>
      <c r="P22" s="3">
        <f t="shared" si="0"/>
        <v>0.68218292682929516</v>
      </c>
      <c r="Q22" s="3">
        <f t="shared" si="1"/>
        <v>-280.41575609756103</v>
      </c>
      <c r="R22" s="3">
        <f t="shared" si="2"/>
        <v>0.61660487804872588</v>
      </c>
      <c r="S22" s="47">
        <f t="shared" si="3"/>
        <v>-232.30050975609757</v>
      </c>
      <c r="T22" s="1">
        <f t="shared" si="4"/>
        <v>22.948682926829292</v>
      </c>
    </row>
    <row r="23" spans="1:20" ht="15.75" thickBot="1" x14ac:dyDescent="0.3">
      <c r="A23" s="19"/>
      <c r="B23" s="53">
        <v>0.11743772241992885</v>
      </c>
      <c r="C23" s="57">
        <v>0.14590747330960857</v>
      </c>
      <c r="D23" s="64">
        <v>-0.19414000000000001</v>
      </c>
      <c r="E23" s="64">
        <v>-53.006</v>
      </c>
      <c r="F23" s="64">
        <v>4.3471000000000002</v>
      </c>
      <c r="G23" s="64">
        <v>-33.948999999999998</v>
      </c>
      <c r="H23" s="64">
        <v>37.658999999999999</v>
      </c>
      <c r="I23" s="65">
        <v>-0.35025000000000001</v>
      </c>
      <c r="J23" s="81">
        <v>1.4461999999999999</v>
      </c>
      <c r="K23" s="82">
        <v>-49.103000000000002</v>
      </c>
      <c r="L23" s="82">
        <v>3.8580000000000001</v>
      </c>
      <c r="M23" s="82">
        <v>-23.684999999999999</v>
      </c>
      <c r="N23" s="82">
        <v>-0.13729</v>
      </c>
      <c r="O23" s="83">
        <v>1.7125999999999999</v>
      </c>
      <c r="P23" s="3">
        <f t="shared" si="0"/>
        <v>0.61349414634146626</v>
      </c>
      <c r="Q23" s="3">
        <f t="shared" si="1"/>
        <v>-309.52934756097562</v>
      </c>
      <c r="R23" s="3">
        <f t="shared" si="2"/>
        <v>0.5042731707317003</v>
      </c>
      <c r="S23" s="47">
        <f t="shared" si="3"/>
        <v>-235.24790170731706</v>
      </c>
      <c r="T23" s="1">
        <f t="shared" si="4"/>
        <v>-42.663365853658533</v>
      </c>
    </row>
    <row r="24" spans="1:20" x14ac:dyDescent="0.25">
      <c r="A24" s="26" t="s">
        <v>20</v>
      </c>
      <c r="B24" s="51">
        <v>0</v>
      </c>
      <c r="C24" s="59">
        <v>0.22448979591836743</v>
      </c>
      <c r="D24" s="84">
        <v>2.1572</v>
      </c>
      <c r="E24" s="84">
        <v>-44.481999999999999</v>
      </c>
      <c r="F24" s="84">
        <v>-2.1323999999999999E-2</v>
      </c>
      <c r="G24" s="84">
        <v>-6.2950999999999997</v>
      </c>
      <c r="H24" s="84">
        <v>4.1364000000000001</v>
      </c>
      <c r="I24" s="85">
        <v>5.7298999999999998</v>
      </c>
      <c r="J24" s="93">
        <v>1.2194</v>
      </c>
      <c r="K24" s="94">
        <v>167.81</v>
      </c>
      <c r="L24" s="94">
        <v>2.3109000000000001E-2</v>
      </c>
      <c r="M24" s="94">
        <v>-6.5503</v>
      </c>
      <c r="N24" s="94">
        <v>-25.202000000000002</v>
      </c>
      <c r="O24" s="94">
        <v>13.175000000000001</v>
      </c>
      <c r="P24" s="112">
        <f>(D24+E24*(B24/C24) + F24*20)</f>
        <v>1.73072</v>
      </c>
      <c r="Q24" s="42">
        <f>G24*20 +( H24*(B24/C24) )+I24</f>
        <v>-120.17209999999999</v>
      </c>
      <c r="R24" s="42">
        <f>(J24+K24*(B24/C24)+L24*20)</f>
        <v>1.6815800000000001</v>
      </c>
      <c r="S24" s="113">
        <f>M24*20 +N24*(B24/C24)+O24</f>
        <v>-117.831</v>
      </c>
      <c r="T24" s="1">
        <f t="shared" si="4"/>
        <v>0</v>
      </c>
    </row>
    <row r="25" spans="1:20" x14ac:dyDescent="0.25">
      <c r="A25" s="28"/>
      <c r="B25" s="52">
        <v>0.13265306122448986</v>
      </c>
      <c r="C25" s="55">
        <v>0.22448979591836743</v>
      </c>
      <c r="D25" s="86">
        <v>0.61619000000000002</v>
      </c>
      <c r="E25" s="86">
        <v>-146.97999999999999</v>
      </c>
      <c r="F25" s="86">
        <v>4.3540999999999999</v>
      </c>
      <c r="G25" s="86">
        <v>-12.847</v>
      </c>
      <c r="H25" s="86">
        <v>0.38601000000000002</v>
      </c>
      <c r="I25" s="87">
        <v>1.714</v>
      </c>
      <c r="J25" s="95">
        <v>-1.2285999999999999</v>
      </c>
      <c r="K25" s="96">
        <v>-104.46</v>
      </c>
      <c r="L25" s="96">
        <v>3.1890000000000001</v>
      </c>
      <c r="M25" s="96">
        <v>-12.368</v>
      </c>
      <c r="N25" s="96">
        <v>15.09</v>
      </c>
      <c r="O25" s="96">
        <v>2.3451</v>
      </c>
      <c r="P25" s="114">
        <f t="shared" ref="P25:P40" si="5">(D25+E25*(B25/C25) + F25*20)</f>
        <v>0.84637181818182228</v>
      </c>
      <c r="Q25" s="3">
        <f t="shared" ref="Q25:Q40" si="6">G25*20 +( H25*(B25/C25) )+I25</f>
        <v>-254.99790318181817</v>
      </c>
      <c r="R25" s="3">
        <f t="shared" ref="R25:R40" si="7">(J25+K25*(B25/C25)+L25*20)</f>
        <v>0.82503636363636446</v>
      </c>
      <c r="S25" s="115">
        <f t="shared" ref="S25:S40" si="8">M25*20 +N25*(B25/C25)+O25</f>
        <v>-236.09808181818184</v>
      </c>
      <c r="T25" s="1">
        <f t="shared" si="4"/>
        <v>-86.851818181818189</v>
      </c>
    </row>
    <row r="26" spans="1:20" ht="15.75" thickBot="1" x14ac:dyDescent="0.3">
      <c r="A26" s="28"/>
      <c r="B26" s="52">
        <v>0.20408163265306131</v>
      </c>
      <c r="C26" s="55">
        <v>0.22448979591836743</v>
      </c>
      <c r="D26" s="86">
        <v>-4.4813999999999998</v>
      </c>
      <c r="E26" s="86">
        <v>-274.56</v>
      </c>
      <c r="F26" s="86">
        <v>12.731</v>
      </c>
      <c r="G26" s="86">
        <v>-12.606999999999999</v>
      </c>
      <c r="H26" s="86">
        <v>-4.5890000000000004</v>
      </c>
      <c r="I26" s="87">
        <v>0.34597</v>
      </c>
      <c r="J26" s="95">
        <v>-3.8342999999999998</v>
      </c>
      <c r="K26" s="96">
        <v>-248.28</v>
      </c>
      <c r="L26" s="96">
        <v>11.502000000000001</v>
      </c>
      <c r="M26" s="96">
        <v>-11.286</v>
      </c>
      <c r="N26" s="96">
        <v>0.42332999999999998</v>
      </c>
      <c r="O26" s="96">
        <v>0.20998</v>
      </c>
      <c r="P26" s="114">
        <f t="shared" si="5"/>
        <v>0.53859999999997399</v>
      </c>
      <c r="Q26" s="3">
        <f t="shared" si="6"/>
        <v>-255.96584818181819</v>
      </c>
      <c r="R26" s="3">
        <f t="shared" si="7"/>
        <v>0.49660909090908945</v>
      </c>
      <c r="S26" s="115">
        <f t="shared" si="8"/>
        <v>-225.12517454545454</v>
      </c>
      <c r="T26" s="1">
        <f t="shared" si="4"/>
        <v>-249.60000000000002</v>
      </c>
    </row>
    <row r="27" spans="1:20" x14ac:dyDescent="0.25">
      <c r="A27" s="26" t="s">
        <v>21</v>
      </c>
      <c r="B27" s="51">
        <v>0</v>
      </c>
      <c r="C27" s="59">
        <v>0.2416666666666667</v>
      </c>
      <c r="D27" s="90">
        <v>-1.321</v>
      </c>
      <c r="E27" s="90">
        <v>10.988</v>
      </c>
      <c r="F27" s="90">
        <v>0.15769</v>
      </c>
      <c r="G27" s="90">
        <v>-4.0895999999999999</v>
      </c>
      <c r="H27" s="84">
        <v>14.569000000000001</v>
      </c>
      <c r="I27" s="85">
        <v>7.8349000000000002</v>
      </c>
      <c r="J27" s="101">
        <v>0.51661999999999997</v>
      </c>
      <c r="K27" s="102">
        <v>-62.866</v>
      </c>
      <c r="L27" s="102">
        <v>6.3997999999999999E-2</v>
      </c>
      <c r="M27" s="102">
        <v>-4.2972999999999999</v>
      </c>
      <c r="N27" s="102">
        <v>11.321</v>
      </c>
      <c r="O27" s="103">
        <v>6.9728000000000003</v>
      </c>
      <c r="P27" s="43">
        <f t="shared" si="5"/>
        <v>1.8328</v>
      </c>
      <c r="Q27" s="44">
        <f t="shared" si="6"/>
        <v>-73.957099999999997</v>
      </c>
      <c r="R27" s="44">
        <f t="shared" si="7"/>
        <v>1.7965800000000001</v>
      </c>
      <c r="S27" s="45">
        <f t="shared" si="8"/>
        <v>-78.973199999999991</v>
      </c>
      <c r="T27" s="1">
        <f t="shared" si="4"/>
        <v>0</v>
      </c>
    </row>
    <row r="28" spans="1:20" x14ac:dyDescent="0.25">
      <c r="A28" s="28"/>
      <c r="B28" s="52">
        <v>8.3333333333333329E-2</v>
      </c>
      <c r="C28" s="55">
        <v>0.2416666666666667</v>
      </c>
      <c r="D28" s="91">
        <v>0.76805999999999996</v>
      </c>
      <c r="E28" s="91">
        <v>-547.72</v>
      </c>
      <c r="F28" s="91">
        <v>9.4709000000000003</v>
      </c>
      <c r="G28" s="91">
        <v>-12.868</v>
      </c>
      <c r="H28" s="86">
        <v>45.835000000000001</v>
      </c>
      <c r="I28" s="87">
        <v>13.367000000000001</v>
      </c>
      <c r="J28" s="104">
        <v>-1.1874</v>
      </c>
      <c r="K28" s="105">
        <v>-484.81</v>
      </c>
      <c r="L28" s="105">
        <v>8.4835999999999991</v>
      </c>
      <c r="M28" s="105">
        <v>-12.295999999999999</v>
      </c>
      <c r="N28" s="105">
        <v>14.547000000000001</v>
      </c>
      <c r="O28" s="106">
        <v>16.831</v>
      </c>
      <c r="P28" s="46">
        <f t="shared" si="5"/>
        <v>1.3170944827586482</v>
      </c>
      <c r="Q28" s="3">
        <f t="shared" si="6"/>
        <v>-228.18782758620694</v>
      </c>
      <c r="R28" s="3">
        <f t="shared" si="7"/>
        <v>1.3087379310345</v>
      </c>
      <c r="S28" s="47">
        <f t="shared" si="8"/>
        <v>-224.07279310344828</v>
      </c>
      <c r="T28" s="1">
        <f t="shared" si="4"/>
        <v>-188.86896551724135</v>
      </c>
    </row>
    <row r="29" spans="1:20" ht="15.75" thickBot="1" x14ac:dyDescent="0.3">
      <c r="A29" s="34"/>
      <c r="B29" s="53">
        <v>0.16666666666666666</v>
      </c>
      <c r="C29" s="56">
        <v>0.2416666666666667</v>
      </c>
      <c r="D29" s="92">
        <v>1.9333</v>
      </c>
      <c r="E29" s="92">
        <v>-155.99</v>
      </c>
      <c r="F29" s="92">
        <v>5.3272000000000004</v>
      </c>
      <c r="G29" s="92">
        <v>-14.849</v>
      </c>
      <c r="H29" s="88">
        <v>72.200999999999993</v>
      </c>
      <c r="I29" s="89">
        <v>0.38102000000000003</v>
      </c>
      <c r="J29" s="107">
        <v>-2.0988000000000002</v>
      </c>
      <c r="K29" s="108">
        <v>-114.5</v>
      </c>
      <c r="L29" s="108">
        <v>4.0963000000000003</v>
      </c>
      <c r="M29" s="108">
        <v>-10.342000000000001</v>
      </c>
      <c r="N29" s="108">
        <v>-43.709000000000003</v>
      </c>
      <c r="O29" s="109">
        <v>11.728999999999999</v>
      </c>
      <c r="P29" s="46">
        <f t="shared" si="5"/>
        <v>0.89798965517245222</v>
      </c>
      <c r="Q29" s="3">
        <f t="shared" si="6"/>
        <v>-246.80518689655176</v>
      </c>
      <c r="R29" s="3">
        <f t="shared" si="7"/>
        <v>0.86168275862071653</v>
      </c>
      <c r="S29" s="47">
        <f t="shared" si="8"/>
        <v>-225.25513793103448</v>
      </c>
      <c r="T29" s="1">
        <f t="shared" si="4"/>
        <v>-107.57931034482758</v>
      </c>
    </row>
    <row r="30" spans="1:20" x14ac:dyDescent="0.25">
      <c r="A30" s="28" t="s">
        <v>22</v>
      </c>
      <c r="B30" s="52">
        <v>0</v>
      </c>
      <c r="C30" s="55">
        <v>0.24444444444444444</v>
      </c>
      <c r="D30" s="91">
        <v>3.2982999999999998</v>
      </c>
      <c r="E30" s="91">
        <v>-208.33</v>
      </c>
      <c r="F30" s="91">
        <v>-5.5690000000000003E-2</v>
      </c>
      <c r="G30" s="91">
        <v>-9.4495000000000005</v>
      </c>
      <c r="H30" s="86">
        <v>8.7942999999999998</v>
      </c>
      <c r="I30" s="87">
        <v>-4.1233000000000004</v>
      </c>
      <c r="J30" s="95">
        <v>3.9163000000000001</v>
      </c>
      <c r="K30" s="96">
        <v>82.153999999999996</v>
      </c>
      <c r="L30" s="96">
        <v>-8.8328000000000004E-2</v>
      </c>
      <c r="M30" s="96">
        <v>-9.7835999999999999</v>
      </c>
      <c r="N30" s="96">
        <v>-34.344999999999999</v>
      </c>
      <c r="O30" s="97">
        <v>14.659000000000001</v>
      </c>
      <c r="P30" s="43">
        <f t="shared" si="5"/>
        <v>2.1844999999999999</v>
      </c>
      <c r="Q30" s="44">
        <f t="shared" si="6"/>
        <v>-193.11330000000001</v>
      </c>
      <c r="R30" s="44">
        <f t="shared" si="7"/>
        <v>2.14974</v>
      </c>
      <c r="S30" s="45">
        <f t="shared" si="8"/>
        <v>-181.01300000000001</v>
      </c>
      <c r="T30" s="1">
        <f t="shared" si="4"/>
        <v>0</v>
      </c>
    </row>
    <row r="31" spans="1:20" x14ac:dyDescent="0.25">
      <c r="A31" s="28"/>
      <c r="B31" s="52">
        <v>2.6666666666666731E-2</v>
      </c>
      <c r="C31" s="55">
        <v>0.24444444444444444</v>
      </c>
      <c r="D31" s="91">
        <v>-2.8809</v>
      </c>
      <c r="E31" s="91">
        <v>-772.85</v>
      </c>
      <c r="F31" s="91">
        <v>4.452</v>
      </c>
      <c r="G31" s="91">
        <v>-14.285</v>
      </c>
      <c r="H31" s="86">
        <v>-87.47</v>
      </c>
      <c r="I31" s="87">
        <v>9.7019000000000002</v>
      </c>
      <c r="J31" s="95">
        <v>-3.1850000000000001</v>
      </c>
      <c r="K31" s="96">
        <v>-765.31</v>
      </c>
      <c r="L31" s="96">
        <v>4.4238999999999997</v>
      </c>
      <c r="M31" s="96">
        <v>-13.186</v>
      </c>
      <c r="N31" s="96">
        <v>-84.834000000000003</v>
      </c>
      <c r="O31" s="97">
        <v>10.084</v>
      </c>
      <c r="P31" s="46">
        <f t="shared" si="5"/>
        <v>1.8481909090906896</v>
      </c>
      <c r="Q31" s="3">
        <f t="shared" si="6"/>
        <v>-285.54028181818182</v>
      </c>
      <c r="R31" s="3">
        <f t="shared" si="7"/>
        <v>1.8046363636361491</v>
      </c>
      <c r="S31" s="47">
        <f t="shared" si="8"/>
        <v>-262.89061818181824</v>
      </c>
      <c r="T31" s="1">
        <f t="shared" si="4"/>
        <v>-84.310909090909306</v>
      </c>
    </row>
    <row r="32" spans="1:20" ht="15.75" thickBot="1" x14ac:dyDescent="0.3">
      <c r="A32" s="28"/>
      <c r="B32" s="52">
        <v>7.111111111111118E-2</v>
      </c>
      <c r="C32" s="55">
        <v>0.24444444444444444</v>
      </c>
      <c r="D32" s="91">
        <v>1.5848</v>
      </c>
      <c r="E32" s="91">
        <v>118.7</v>
      </c>
      <c r="F32" s="91">
        <v>-1.7302999999999999</v>
      </c>
      <c r="G32" s="91">
        <v>-15.548</v>
      </c>
      <c r="H32" s="86">
        <v>58.555</v>
      </c>
      <c r="I32" s="87">
        <v>-5.7403000000000004</v>
      </c>
      <c r="J32" s="95">
        <v>-0.10642</v>
      </c>
      <c r="K32" s="96">
        <v>-60.106000000000002</v>
      </c>
      <c r="L32" s="96">
        <v>0.95269999999999999</v>
      </c>
      <c r="M32" s="96">
        <v>-14.26</v>
      </c>
      <c r="N32" s="96">
        <v>36.384</v>
      </c>
      <c r="O32" s="97">
        <v>1.2051000000000001</v>
      </c>
      <c r="P32" s="48">
        <f t="shared" si="5"/>
        <v>1.5097090909091264</v>
      </c>
      <c r="Q32" s="49">
        <f t="shared" si="6"/>
        <v>-299.66611818181815</v>
      </c>
      <c r="R32" s="49">
        <f t="shared" si="7"/>
        <v>1.4621981818181595</v>
      </c>
      <c r="S32" s="50">
        <f t="shared" si="8"/>
        <v>-273.4104636363636</v>
      </c>
      <c r="T32" s="1">
        <f t="shared" si="4"/>
        <v>34.530909090909127</v>
      </c>
    </row>
    <row r="33" spans="1:20" x14ac:dyDescent="0.25">
      <c r="A33" s="26" t="s">
        <v>23</v>
      </c>
      <c r="B33" s="51">
        <v>0</v>
      </c>
      <c r="C33" s="59">
        <v>0.24452554744525545</v>
      </c>
      <c r="D33" s="84">
        <v>2.0655000000000001</v>
      </c>
      <c r="E33" s="84">
        <v>-153.66999999999999</v>
      </c>
      <c r="F33" s="84">
        <v>1.2455000000000001E-2</v>
      </c>
      <c r="G33" s="84">
        <v>-6.9154999999999998</v>
      </c>
      <c r="H33" s="84">
        <v>-2.2528000000000001</v>
      </c>
      <c r="I33" s="85">
        <v>-0.10705000000000001</v>
      </c>
      <c r="J33" s="101">
        <v>1.5102</v>
      </c>
      <c r="K33" s="102">
        <v>-26.844000000000001</v>
      </c>
      <c r="L33" s="102">
        <v>3.9067999999999999E-2</v>
      </c>
      <c r="M33" s="102">
        <v>-6.9574999999999996</v>
      </c>
      <c r="N33" s="102">
        <v>10.144</v>
      </c>
      <c r="O33" s="103">
        <v>6.4831000000000003</v>
      </c>
      <c r="P33" s="46">
        <f t="shared" si="5"/>
        <v>2.3146</v>
      </c>
      <c r="Q33" s="3">
        <f t="shared" si="6"/>
        <v>-138.41704999999999</v>
      </c>
      <c r="R33" s="3">
        <f t="shared" si="7"/>
        <v>2.29156</v>
      </c>
      <c r="S33" s="47">
        <f t="shared" si="8"/>
        <v>-132.66689999999997</v>
      </c>
      <c r="T33" s="1">
        <f t="shared" si="4"/>
        <v>0</v>
      </c>
    </row>
    <row r="34" spans="1:20" x14ac:dyDescent="0.25">
      <c r="A34" s="28"/>
      <c r="B34" s="52">
        <v>4.7445255474452455E-2</v>
      </c>
      <c r="C34" s="55">
        <v>0.24452554744525545</v>
      </c>
      <c r="D34" s="86">
        <v>-5.9234999999999998</v>
      </c>
      <c r="E34" s="86">
        <v>-630.75</v>
      </c>
      <c r="F34" s="86">
        <v>6.5182000000000002</v>
      </c>
      <c r="G34" s="86">
        <v>-14.914999999999999</v>
      </c>
      <c r="H34" s="86">
        <v>29.056000000000001</v>
      </c>
      <c r="I34" s="87">
        <v>8.2053999999999991</v>
      </c>
      <c r="J34" s="104">
        <v>0.48388999999999999</v>
      </c>
      <c r="K34" s="105">
        <v>-269.74</v>
      </c>
      <c r="L34" s="105">
        <v>2.694</v>
      </c>
      <c r="M34" s="105">
        <v>-13.686999999999999</v>
      </c>
      <c r="N34" s="105">
        <v>10.519</v>
      </c>
      <c r="O34" s="106">
        <v>1.7613000000000001</v>
      </c>
      <c r="P34" s="46">
        <f t="shared" si="5"/>
        <v>2.0561716417912805</v>
      </c>
      <c r="Q34" s="3">
        <f t="shared" si="6"/>
        <v>-284.45686865671638</v>
      </c>
      <c r="R34" s="3">
        <f t="shared" si="7"/>
        <v>2.026278059701589</v>
      </c>
      <c r="S34" s="47">
        <f t="shared" si="8"/>
        <v>-269.93770000000001</v>
      </c>
      <c r="T34" s="1">
        <f t="shared" si="4"/>
        <v>-122.38432835820871</v>
      </c>
    </row>
    <row r="35" spans="1:20" x14ac:dyDescent="0.25">
      <c r="A35" s="28"/>
      <c r="B35" s="52">
        <v>8.0291970802919679E-2</v>
      </c>
      <c r="C35" s="55">
        <v>0.24452554744525545</v>
      </c>
      <c r="D35" s="86">
        <v>0.23874999999999999</v>
      </c>
      <c r="E35" s="86">
        <v>-515</v>
      </c>
      <c r="F35" s="86">
        <v>8.5371000000000006</v>
      </c>
      <c r="G35" s="86">
        <v>-15.965</v>
      </c>
      <c r="H35" s="86">
        <v>-13.3</v>
      </c>
      <c r="I35" s="87">
        <v>13.887</v>
      </c>
      <c r="J35" s="104">
        <v>-1.8734</v>
      </c>
      <c r="K35" s="105">
        <v>-907.74</v>
      </c>
      <c r="L35" s="105">
        <v>15.089</v>
      </c>
      <c r="M35" s="105">
        <v>-15.593</v>
      </c>
      <c r="N35" s="105">
        <v>-12.805</v>
      </c>
      <c r="O35" s="106">
        <v>25.082000000000001</v>
      </c>
      <c r="P35" s="46">
        <f t="shared" si="5"/>
        <v>1.8762723880597889</v>
      </c>
      <c r="Q35" s="3">
        <f t="shared" si="6"/>
        <v>-309.78016417910447</v>
      </c>
      <c r="R35" s="3">
        <f t="shared" si="7"/>
        <v>1.8427194029852103</v>
      </c>
      <c r="S35" s="47">
        <f t="shared" si="8"/>
        <v>-290.98262686567165</v>
      </c>
      <c r="T35" s="1">
        <f t="shared" si="4"/>
        <v>-169.10447761194027</v>
      </c>
    </row>
    <row r="36" spans="1:20" ht="15.75" thickBot="1" x14ac:dyDescent="0.3">
      <c r="A36" s="34"/>
      <c r="B36" s="53">
        <v>0.12043795620437947</v>
      </c>
      <c r="C36" s="56">
        <v>0.24452554744525545</v>
      </c>
      <c r="D36" s="88">
        <v>1.6337999999999999</v>
      </c>
      <c r="E36" s="88">
        <v>40.323</v>
      </c>
      <c r="F36" s="88">
        <v>-1.0009999999999999</v>
      </c>
      <c r="G36" s="88">
        <v>-16.773</v>
      </c>
      <c r="H36" s="88">
        <v>-0.98214000000000001</v>
      </c>
      <c r="I36" s="89">
        <v>4.7637999999999998</v>
      </c>
      <c r="J36" s="107">
        <v>-0.61090999999999995</v>
      </c>
      <c r="K36" s="108">
        <v>-277.69</v>
      </c>
      <c r="L36" s="108">
        <v>6.9404000000000003</v>
      </c>
      <c r="M36" s="108">
        <v>-15.148</v>
      </c>
      <c r="N36" s="108">
        <v>-4.4676999999999998</v>
      </c>
      <c r="O36" s="109">
        <v>0.81752000000000002</v>
      </c>
      <c r="P36" s="46">
        <f t="shared" si="5"/>
        <v>1.474382089552229</v>
      </c>
      <c r="Q36" s="3">
        <f t="shared" si="6"/>
        <v>-331.17994059701488</v>
      </c>
      <c r="R36" s="3">
        <f t="shared" si="7"/>
        <v>1.4244034328359305</v>
      </c>
      <c r="S36" s="47">
        <f t="shared" si="8"/>
        <v>-304.34298895522386</v>
      </c>
      <c r="T36" s="1">
        <f t="shared" si="4"/>
        <v>19.860582089552224</v>
      </c>
    </row>
    <row r="37" spans="1:20" ht="15.75" thickBot="1" x14ac:dyDescent="0.3">
      <c r="A37" s="34" t="s">
        <v>24</v>
      </c>
      <c r="B37" s="53">
        <v>0</v>
      </c>
      <c r="C37" s="56">
        <v>0.24874371859296482</v>
      </c>
      <c r="D37" s="88">
        <v>0.22861999999999999</v>
      </c>
      <c r="E37" s="88">
        <v>-27.027999999999999</v>
      </c>
      <c r="F37" s="88">
        <v>0.1031</v>
      </c>
      <c r="G37" s="88">
        <v>-8.3736999999999995</v>
      </c>
      <c r="H37" s="88">
        <v>23.407</v>
      </c>
      <c r="I37" s="89">
        <v>4.9283999999999999</v>
      </c>
      <c r="J37" s="98">
        <v>2.6471</v>
      </c>
      <c r="K37" s="99">
        <v>14.065</v>
      </c>
      <c r="L37" s="99">
        <v>-1.9262000000000001E-2</v>
      </c>
      <c r="M37" s="99">
        <v>-8.0183</v>
      </c>
      <c r="N37" s="99">
        <v>-8.1674000000000007</v>
      </c>
      <c r="O37" s="100">
        <v>7.0495000000000001</v>
      </c>
      <c r="P37" s="48">
        <f t="shared" si="5"/>
        <v>2.2906199999999997</v>
      </c>
      <c r="Q37" s="49">
        <f t="shared" si="6"/>
        <v>-162.54559999999998</v>
      </c>
      <c r="R37" s="49">
        <f t="shared" si="7"/>
        <v>2.26186</v>
      </c>
      <c r="S37" s="50">
        <f t="shared" si="8"/>
        <v>-153.31649999999999</v>
      </c>
      <c r="T37" s="1">
        <f t="shared" si="4"/>
        <v>0</v>
      </c>
    </row>
    <row r="38" spans="1:20" x14ac:dyDescent="0.25">
      <c r="A38" s="28" t="s">
        <v>12</v>
      </c>
      <c r="B38" s="52">
        <v>9.0452261306532528E-2</v>
      </c>
      <c r="C38" s="55">
        <v>0.24874371859296482</v>
      </c>
      <c r="D38" s="86">
        <v>1.6681999999999999</v>
      </c>
      <c r="E38" s="86">
        <v>-244.18</v>
      </c>
      <c r="F38" s="86">
        <v>4.4455</v>
      </c>
      <c r="G38" s="86">
        <v>-17.353000000000002</v>
      </c>
      <c r="H38" s="86">
        <v>3.9733000000000001</v>
      </c>
      <c r="I38" s="87">
        <v>4.9619</v>
      </c>
      <c r="J38" s="95">
        <v>1.4964</v>
      </c>
      <c r="K38" s="96">
        <v>-67.885000000000005</v>
      </c>
      <c r="L38" s="96">
        <v>1.2465999999999999</v>
      </c>
      <c r="M38" s="96">
        <v>-16.440999999999999</v>
      </c>
      <c r="N38" s="96">
        <v>28.65</v>
      </c>
      <c r="O38" s="97">
        <v>-0.50266999999999995</v>
      </c>
      <c r="P38" s="46">
        <f t="shared" si="5"/>
        <v>1.7854727272728468</v>
      </c>
      <c r="Q38" s="3">
        <f t="shared" si="6"/>
        <v>-340.6532636363637</v>
      </c>
      <c r="R38" s="3">
        <f t="shared" si="7"/>
        <v>1.7429454545454881</v>
      </c>
      <c r="S38" s="47">
        <f t="shared" si="8"/>
        <v>-318.90448818181824</v>
      </c>
      <c r="T38" s="1">
        <f t="shared" si="4"/>
        <v>-88.792727272727149</v>
      </c>
    </row>
    <row r="39" spans="1:20" x14ac:dyDescent="0.25">
      <c r="A39" s="28"/>
      <c r="B39" s="52">
        <v>0.11809045226130643</v>
      </c>
      <c r="C39" s="55">
        <v>0.24874371859296482</v>
      </c>
      <c r="D39" s="86">
        <v>8.4464000000000006</v>
      </c>
      <c r="E39" s="86">
        <v>176.02</v>
      </c>
      <c r="F39" s="86">
        <v>-4.5232999999999999</v>
      </c>
      <c r="G39" s="86">
        <v>-16.759</v>
      </c>
      <c r="H39" s="86">
        <v>-29.588000000000001</v>
      </c>
      <c r="I39" s="87">
        <v>4.9997999999999996</v>
      </c>
      <c r="J39" s="95">
        <v>4.5803000000000003</v>
      </c>
      <c r="K39" s="96">
        <v>36.128</v>
      </c>
      <c r="L39" s="96">
        <v>-1.0118</v>
      </c>
      <c r="M39" s="96">
        <v>-15.994</v>
      </c>
      <c r="N39" s="96">
        <v>-8.0814000000000004</v>
      </c>
      <c r="O39" s="97">
        <v>4.3227000000000002</v>
      </c>
      <c r="P39" s="46">
        <f t="shared" si="5"/>
        <v>1.5454505050504395</v>
      </c>
      <c r="Q39" s="3">
        <f t="shared" si="6"/>
        <v>-344.22702828282826</v>
      </c>
      <c r="R39" s="3">
        <f t="shared" si="7"/>
        <v>1.4959767676767548</v>
      </c>
      <c r="S39" s="47">
        <f t="shared" si="8"/>
        <v>-319.39392424242425</v>
      </c>
      <c r="T39" s="1">
        <f t="shared" si="4"/>
        <v>83.565050505050436</v>
      </c>
    </row>
    <row r="40" spans="1:20" ht="15.75" thickBot="1" x14ac:dyDescent="0.3">
      <c r="A40" s="34"/>
      <c r="B40" s="53">
        <v>0.17587939698492464</v>
      </c>
      <c r="C40" s="56">
        <v>0.24874371859296482</v>
      </c>
      <c r="D40" s="88">
        <v>-3.5436999999999999</v>
      </c>
      <c r="E40" s="88">
        <v>75.686999999999998</v>
      </c>
      <c r="F40" s="88">
        <v>-2.4432999999999998</v>
      </c>
      <c r="G40" s="88">
        <v>-19.321999999999999</v>
      </c>
      <c r="H40" s="88">
        <v>28.091000000000001</v>
      </c>
      <c r="I40" s="89">
        <v>11.29</v>
      </c>
      <c r="J40" s="98">
        <v>8.2227999999999996E-2</v>
      </c>
      <c r="K40" s="99">
        <v>-221.04</v>
      </c>
      <c r="L40" s="99">
        <v>7.8624000000000001</v>
      </c>
      <c r="M40" s="99">
        <v>-16.234999999999999</v>
      </c>
      <c r="N40" s="99">
        <v>6.9039000000000001</v>
      </c>
      <c r="O40" s="100">
        <v>-1.3651</v>
      </c>
      <c r="P40" s="48">
        <f t="shared" si="5"/>
        <v>1.1063606060606119</v>
      </c>
      <c r="Q40" s="49">
        <f t="shared" si="6"/>
        <v>-355.28767676767671</v>
      </c>
      <c r="R40" s="49">
        <f t="shared" si="7"/>
        <v>1.0393189090908663</v>
      </c>
      <c r="S40" s="50">
        <f t="shared" si="8"/>
        <v>-321.18355454545451</v>
      </c>
      <c r="T40" s="1">
        <f t="shared" si="4"/>
        <v>53.516060606060613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88F2-2C2B-4470-8C56-2D382F0DA6F3}">
  <dimension ref="A1:V55"/>
  <sheetViews>
    <sheetView topLeftCell="B1" workbookViewId="0">
      <selection activeCell="L52" sqref="L52"/>
    </sheetView>
  </sheetViews>
  <sheetFormatPr defaultRowHeight="15" x14ac:dyDescent="0.25"/>
  <cols>
    <col min="1" max="1" width="19.7109375" bestFit="1" customWidth="1"/>
    <col min="2" max="2" width="22.28515625" customWidth="1"/>
    <col min="3" max="3" width="17" bestFit="1" customWidth="1"/>
  </cols>
  <sheetData>
    <row r="1" spans="1:22" x14ac:dyDescent="0.25">
      <c r="A1" s="1" t="s">
        <v>38</v>
      </c>
      <c r="B1" s="2" t="s">
        <v>42</v>
      </c>
      <c r="C1" s="2" t="s">
        <v>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 ht="15.75" thickBot="1" x14ac:dyDescent="0.3">
      <c r="A3" s="1" t="s">
        <v>5</v>
      </c>
      <c r="B3" s="1"/>
      <c r="C3" s="1"/>
      <c r="D3" s="1" t="s">
        <v>34</v>
      </c>
      <c r="E3" s="1"/>
      <c r="F3" s="1"/>
      <c r="G3" s="1"/>
      <c r="H3" s="1"/>
      <c r="K3" s="1"/>
      <c r="L3" s="1"/>
      <c r="M3" s="3" t="s">
        <v>6</v>
      </c>
      <c r="N3" s="1"/>
      <c r="O3" s="1"/>
      <c r="P3" s="1"/>
      <c r="Q3" s="3"/>
      <c r="R3" s="1"/>
      <c r="S3" s="3"/>
      <c r="T3" s="1"/>
      <c r="V3" t="s">
        <v>47</v>
      </c>
    </row>
    <row r="4" spans="1:22" ht="15.75" thickBot="1" x14ac:dyDescent="0.3">
      <c r="A4" s="11" t="s">
        <v>0</v>
      </c>
      <c r="B4" s="22" t="s">
        <v>32</v>
      </c>
      <c r="C4" s="23" t="s">
        <v>33</v>
      </c>
      <c r="D4" s="129" t="s">
        <v>1</v>
      </c>
      <c r="E4" s="130" t="s">
        <v>2</v>
      </c>
      <c r="F4" s="130" t="s">
        <v>3</v>
      </c>
      <c r="G4" s="130" t="s">
        <v>4</v>
      </c>
      <c r="H4" s="130" t="s">
        <v>30</v>
      </c>
      <c r="I4" s="130" t="s">
        <v>31</v>
      </c>
      <c r="J4" s="130" t="s">
        <v>39</v>
      </c>
      <c r="K4" s="130" t="s">
        <v>40</v>
      </c>
      <c r="L4" s="131" t="s">
        <v>41</v>
      </c>
      <c r="M4" s="129" t="s">
        <v>1</v>
      </c>
      <c r="N4" s="130" t="s">
        <v>2</v>
      </c>
      <c r="O4" s="136" t="s">
        <v>3</v>
      </c>
      <c r="P4" s="136" t="s">
        <v>4</v>
      </c>
      <c r="Q4" s="136" t="s">
        <v>30</v>
      </c>
      <c r="R4" s="136" t="s">
        <v>31</v>
      </c>
      <c r="S4" s="137" t="s">
        <v>39</v>
      </c>
      <c r="T4" s="137" t="s">
        <v>40</v>
      </c>
      <c r="U4" s="138" t="s">
        <v>41</v>
      </c>
    </row>
    <row r="5" spans="1:22" x14ac:dyDescent="0.25">
      <c r="A5" s="16" t="s">
        <v>7</v>
      </c>
      <c r="B5" s="51">
        <v>0</v>
      </c>
      <c r="C5" s="58">
        <v>0.16666666666666666</v>
      </c>
      <c r="D5" s="143">
        <v>-0.14654</v>
      </c>
      <c r="E5" s="144">
        <v>-100.34</v>
      </c>
      <c r="F5" s="144">
        <v>-0.25108000000000003</v>
      </c>
      <c r="G5" s="144">
        <v>-4.0141999999999998</v>
      </c>
      <c r="H5" s="144">
        <v>3.0356999999999998</v>
      </c>
      <c r="I5" s="144">
        <v>-2.9142999999999999</v>
      </c>
      <c r="J5" s="144">
        <v>-6.9932999999999996</v>
      </c>
      <c r="K5" s="144">
        <v>10.099</v>
      </c>
      <c r="L5" s="141">
        <v>16.413</v>
      </c>
      <c r="M5" s="139">
        <v>-1.3574999999999999</v>
      </c>
      <c r="N5" s="132">
        <v>-97.218000000000004</v>
      </c>
      <c r="O5" s="132">
        <v>1.0496000000000001</v>
      </c>
      <c r="P5" s="132">
        <v>-5.0976999999999997</v>
      </c>
      <c r="Q5" s="132">
        <v>-1.9936</v>
      </c>
      <c r="R5" s="132">
        <v>0.12033000000000001</v>
      </c>
      <c r="S5" s="132">
        <v>1.74</v>
      </c>
      <c r="T5" s="44">
        <v>9.7834000000000003</v>
      </c>
      <c r="U5" s="141">
        <v>16.059999999999999</v>
      </c>
    </row>
    <row r="6" spans="1:22" x14ac:dyDescent="0.25">
      <c r="A6" s="13"/>
      <c r="B6" s="52">
        <v>3.3333333333333361E-2</v>
      </c>
      <c r="C6" s="54">
        <v>0.16666666666666666</v>
      </c>
      <c r="D6" s="145">
        <v>-3.2618999999999998</v>
      </c>
      <c r="E6" s="146">
        <v>-242.54</v>
      </c>
      <c r="F6" s="146">
        <v>-15.316000000000001</v>
      </c>
      <c r="G6" s="146">
        <v>4.8616000000000001</v>
      </c>
      <c r="H6" s="146">
        <v>-1.8576999999999999</v>
      </c>
      <c r="I6" s="146">
        <v>-4.8540000000000001</v>
      </c>
      <c r="J6" s="146">
        <v>-26.946999999999999</v>
      </c>
      <c r="K6" s="146">
        <v>24.318000000000001</v>
      </c>
      <c r="L6" s="133">
        <v>-10.513</v>
      </c>
      <c r="M6" s="121">
        <v>-0.17573</v>
      </c>
      <c r="N6" s="117">
        <v>-131.63999999999999</v>
      </c>
      <c r="O6" s="117">
        <v>-3.4184000000000001</v>
      </c>
      <c r="P6" s="117">
        <v>-5.5959000000000003</v>
      </c>
      <c r="Q6" s="117">
        <v>0.66727999999999998</v>
      </c>
      <c r="R6" s="117">
        <v>-3.7286999999999999</v>
      </c>
      <c r="S6" s="117">
        <v>12.596</v>
      </c>
      <c r="T6" s="3">
        <v>13.223000000000001</v>
      </c>
      <c r="U6" s="133">
        <v>-14.061999999999999</v>
      </c>
    </row>
    <row r="7" spans="1:22" x14ac:dyDescent="0.25">
      <c r="A7" s="13"/>
      <c r="B7" s="52">
        <v>6.6666666666666721E-2</v>
      </c>
      <c r="C7" s="54">
        <v>0.16666666666666666</v>
      </c>
      <c r="D7" s="145">
        <v>-1.0245</v>
      </c>
      <c r="E7" s="146">
        <v>-195</v>
      </c>
      <c r="F7" s="146">
        <v>-17.02</v>
      </c>
      <c r="G7" s="146">
        <v>-0.28097</v>
      </c>
      <c r="H7" s="146">
        <v>-8.6083999999999996</v>
      </c>
      <c r="I7" s="146">
        <v>0.39716000000000001</v>
      </c>
      <c r="J7" s="146">
        <v>-15.497</v>
      </c>
      <c r="K7" s="146">
        <v>19.559000000000001</v>
      </c>
      <c r="L7" s="133">
        <v>-14.164999999999999</v>
      </c>
      <c r="M7" s="121">
        <v>-0.15273999999999999</v>
      </c>
      <c r="N7" s="117">
        <v>-172.8</v>
      </c>
      <c r="O7" s="117">
        <v>-11.032999999999999</v>
      </c>
      <c r="P7" s="117">
        <v>-4.3224999999999998</v>
      </c>
      <c r="Q7" s="117">
        <v>-7.0297000000000001</v>
      </c>
      <c r="R7" s="117">
        <v>-1.2588999999999999</v>
      </c>
      <c r="S7" s="117">
        <v>10.14</v>
      </c>
      <c r="T7" s="3">
        <v>17.335000000000001</v>
      </c>
      <c r="U7" s="133">
        <v>-6.4264999999999999</v>
      </c>
    </row>
    <row r="8" spans="1:22" ht="15.75" thickBot="1" x14ac:dyDescent="0.3">
      <c r="A8" s="19"/>
      <c r="B8" s="53">
        <v>9.9999999999999936E-2</v>
      </c>
      <c r="C8" s="57">
        <v>0.16666666666666666</v>
      </c>
      <c r="D8" s="147">
        <v>-1.5396000000000001</v>
      </c>
      <c r="E8" s="148">
        <v>-203.32</v>
      </c>
      <c r="F8" s="148">
        <v>-13.372</v>
      </c>
      <c r="G8" s="148">
        <v>-6.0415999999999999</v>
      </c>
      <c r="H8" s="148">
        <v>-23.056999999999999</v>
      </c>
      <c r="I8" s="148">
        <v>-1.3548</v>
      </c>
      <c r="J8" s="148">
        <v>-11.930999999999999</v>
      </c>
      <c r="K8" s="148">
        <v>20.382999999999999</v>
      </c>
      <c r="L8" s="135">
        <v>0.39867999999999998</v>
      </c>
      <c r="M8" s="125">
        <v>-0.90824000000000005</v>
      </c>
      <c r="N8" s="126">
        <v>-189.97</v>
      </c>
      <c r="O8" s="126">
        <v>-4.5197000000000003</v>
      </c>
      <c r="P8" s="126">
        <v>-8.7174999999999994</v>
      </c>
      <c r="Q8" s="126">
        <v>-27.661000000000001</v>
      </c>
      <c r="R8" s="126">
        <v>-0.32386999999999999</v>
      </c>
      <c r="S8" s="126">
        <v>16.672000000000001</v>
      </c>
      <c r="T8" s="49">
        <v>19.042000000000002</v>
      </c>
      <c r="U8" s="135">
        <v>-26.968</v>
      </c>
    </row>
    <row r="9" spans="1:22" x14ac:dyDescent="0.25">
      <c r="A9" s="16" t="s">
        <v>8</v>
      </c>
      <c r="B9" s="51">
        <v>0</v>
      </c>
      <c r="C9" s="58">
        <v>0.15909090909090909</v>
      </c>
      <c r="D9" s="143">
        <v>0.11762</v>
      </c>
      <c r="E9" s="144">
        <v>-81.442999999999998</v>
      </c>
      <c r="F9" s="144">
        <v>0.24160000000000001</v>
      </c>
      <c r="G9" s="144">
        <v>-2.5825</v>
      </c>
      <c r="H9" s="144">
        <v>2.8748999999999998</v>
      </c>
      <c r="I9" s="144">
        <v>-2.1414</v>
      </c>
      <c r="J9" s="144">
        <v>-3.4134000000000002</v>
      </c>
      <c r="K9" s="144">
        <v>8.2142999999999997</v>
      </c>
      <c r="L9" s="144">
        <v>13.545</v>
      </c>
      <c r="M9" s="139">
        <v>-0.44779999999999998</v>
      </c>
      <c r="N9" s="132">
        <v>-52.439</v>
      </c>
      <c r="O9" s="132">
        <v>0.87909000000000004</v>
      </c>
      <c r="P9" s="132">
        <v>-2.5809000000000002</v>
      </c>
      <c r="Q9" s="132">
        <v>0.97331000000000001</v>
      </c>
      <c r="R9" s="132">
        <v>1.0592999999999999</v>
      </c>
      <c r="S9" s="132">
        <v>2.5495000000000001</v>
      </c>
      <c r="T9" s="44">
        <v>5.3098999999999998</v>
      </c>
      <c r="U9" s="141">
        <v>10.526</v>
      </c>
    </row>
    <row r="10" spans="1:22" x14ac:dyDescent="0.25">
      <c r="A10" s="13"/>
      <c r="B10" s="52">
        <v>6.8181818181818177E-2</v>
      </c>
      <c r="C10" s="54">
        <v>0.15909090909090909</v>
      </c>
      <c r="D10" s="145">
        <v>-2.0030999999999999</v>
      </c>
      <c r="E10" s="146">
        <v>-123.79</v>
      </c>
      <c r="F10" s="146">
        <v>2.2191999999999998</v>
      </c>
      <c r="G10" s="146">
        <v>-12.669</v>
      </c>
      <c r="H10" s="146">
        <v>-7.8507999999999996</v>
      </c>
      <c r="I10" s="146">
        <v>0.67681000000000002</v>
      </c>
      <c r="J10" s="146">
        <v>-10.558</v>
      </c>
      <c r="K10" s="146">
        <v>12.446999999999999</v>
      </c>
      <c r="L10" s="146">
        <v>-0.53522000000000003</v>
      </c>
      <c r="M10" s="121">
        <v>1.1259999999999999</v>
      </c>
      <c r="N10" s="117">
        <v>0.32716000000000001</v>
      </c>
      <c r="O10" s="117">
        <v>11.289</v>
      </c>
      <c r="P10" s="117">
        <v>-15.25</v>
      </c>
      <c r="Q10" s="117">
        <v>-7.1700999999999997</v>
      </c>
      <c r="R10" s="117">
        <v>1.2542</v>
      </c>
      <c r="S10" s="117">
        <v>17.850999999999999</v>
      </c>
      <c r="T10" s="3">
        <v>2.8497999999999999E-2</v>
      </c>
      <c r="U10" s="133">
        <v>2.1139999999999999</v>
      </c>
    </row>
    <row r="11" spans="1:22" ht="15.75" thickBot="1" x14ac:dyDescent="0.3">
      <c r="A11" s="19"/>
      <c r="B11" s="53">
        <v>0.14090909090909098</v>
      </c>
      <c r="C11" s="57">
        <v>0.15909090909090909</v>
      </c>
      <c r="D11" s="147">
        <v>0.34733000000000003</v>
      </c>
      <c r="E11" s="148">
        <v>-32.326000000000001</v>
      </c>
      <c r="F11" s="148">
        <v>12.788</v>
      </c>
      <c r="G11" s="148">
        <v>-20.943000000000001</v>
      </c>
      <c r="H11" s="148">
        <v>-11.566000000000001</v>
      </c>
      <c r="I11" s="148">
        <v>3.0844</v>
      </c>
      <c r="J11" s="148">
        <v>4.3314000000000004</v>
      </c>
      <c r="K11" s="148">
        <v>3.2915999999999999</v>
      </c>
      <c r="L11" s="148">
        <v>-5.0648999999999997</v>
      </c>
      <c r="M11" s="125">
        <v>0.61890999999999996</v>
      </c>
      <c r="N11" s="126">
        <v>-12.638999999999999</v>
      </c>
      <c r="O11" s="126">
        <v>2.2761</v>
      </c>
      <c r="P11" s="126">
        <v>2.8654999999999999</v>
      </c>
      <c r="Q11" s="126">
        <v>5.4404000000000003</v>
      </c>
      <c r="R11" s="126">
        <v>1.4087000000000001</v>
      </c>
      <c r="S11" s="126">
        <v>2.8153999999999999</v>
      </c>
      <c r="T11" s="49">
        <v>1.2542</v>
      </c>
      <c r="U11" s="135">
        <v>4.8281000000000001</v>
      </c>
    </row>
    <row r="12" spans="1:22" x14ac:dyDescent="0.25">
      <c r="A12" s="13" t="s">
        <v>9</v>
      </c>
      <c r="B12" s="52">
        <v>0</v>
      </c>
      <c r="C12" s="54">
        <v>0.15175097276264587</v>
      </c>
      <c r="D12" s="139">
        <v>0.30271999999999999</v>
      </c>
      <c r="E12" s="132">
        <v>-62.170999999999999</v>
      </c>
      <c r="F12" s="132">
        <v>2.2332000000000001</v>
      </c>
      <c r="G12" s="132">
        <v>-2.5506000000000002</v>
      </c>
      <c r="H12" s="132">
        <v>3.9817999999999998</v>
      </c>
      <c r="I12" s="132">
        <v>-1.4577</v>
      </c>
      <c r="J12" s="132">
        <v>-3.222</v>
      </c>
      <c r="K12" s="132">
        <v>6.2859999999999996</v>
      </c>
      <c r="L12" s="140">
        <v>12.503</v>
      </c>
      <c r="M12" s="139">
        <v>0.33611999999999997</v>
      </c>
      <c r="N12" s="132">
        <v>-18.817</v>
      </c>
      <c r="O12" s="132">
        <v>4.1753999999999998</v>
      </c>
      <c r="P12" s="132">
        <v>-2.7096</v>
      </c>
      <c r="Q12" s="132">
        <v>1.3839999999999999</v>
      </c>
      <c r="R12" s="132">
        <v>1.1386000000000001</v>
      </c>
      <c r="S12" s="132">
        <v>6.5682999999999998</v>
      </c>
      <c r="T12" s="44">
        <v>1.9449000000000001</v>
      </c>
      <c r="U12" s="141">
        <v>9.4631000000000007</v>
      </c>
    </row>
    <row r="13" spans="1:22" x14ac:dyDescent="0.25">
      <c r="A13" s="13"/>
      <c r="B13" s="52">
        <v>2.7237354085603085E-2</v>
      </c>
      <c r="C13" s="54">
        <v>0.15175097276264587</v>
      </c>
      <c r="D13" s="121">
        <v>-2.6251000000000002</v>
      </c>
      <c r="E13" s="117">
        <v>-122.19</v>
      </c>
      <c r="F13" s="117">
        <v>1.2003999999999999</v>
      </c>
      <c r="G13" s="117">
        <v>-7.4591000000000003</v>
      </c>
      <c r="H13" s="117">
        <v>5.9443999999999999</v>
      </c>
      <c r="I13" s="117">
        <v>-1.3875999999999999</v>
      </c>
      <c r="J13" s="117">
        <v>-10.829000000000001</v>
      </c>
      <c r="K13" s="117">
        <v>12.291</v>
      </c>
      <c r="L13" s="122">
        <v>-1.2983</v>
      </c>
      <c r="M13" s="121">
        <v>0.18279999999999999</v>
      </c>
      <c r="N13" s="117">
        <v>-20.390999999999998</v>
      </c>
      <c r="O13" s="117">
        <v>8.2360000000000007</v>
      </c>
      <c r="P13" s="117">
        <v>-9.1881000000000004</v>
      </c>
      <c r="Q13" s="117">
        <v>4.6184000000000003</v>
      </c>
      <c r="R13" s="117">
        <v>-0.92452000000000001</v>
      </c>
      <c r="S13" s="117">
        <v>15.913</v>
      </c>
      <c r="T13" s="3">
        <v>2.1057000000000001</v>
      </c>
      <c r="U13" s="133">
        <v>-7.1691000000000003</v>
      </c>
    </row>
    <row r="14" spans="1:22" x14ac:dyDescent="0.25">
      <c r="A14" s="13"/>
      <c r="B14" s="52">
        <v>5.8365758754863814E-2</v>
      </c>
      <c r="C14" s="54">
        <v>0.15175097276264587</v>
      </c>
      <c r="D14" s="121">
        <v>-4.4539999999999997</v>
      </c>
      <c r="E14" s="117">
        <v>-236.86</v>
      </c>
      <c r="F14" s="117">
        <v>-10.430999999999999</v>
      </c>
      <c r="G14" s="117">
        <v>-4.6643999999999997</v>
      </c>
      <c r="H14" s="117">
        <v>-11.074999999999999</v>
      </c>
      <c r="I14" s="117">
        <v>-3.0769000000000002</v>
      </c>
      <c r="J14" s="117">
        <v>-11.698</v>
      </c>
      <c r="K14" s="117">
        <v>23.754999999999999</v>
      </c>
      <c r="L14" s="122">
        <v>-2.9097</v>
      </c>
      <c r="M14" s="121">
        <v>-0.42759999999999998</v>
      </c>
      <c r="N14" s="117">
        <v>-191.15</v>
      </c>
      <c r="O14" s="117">
        <v>-8.1915999999999993</v>
      </c>
      <c r="P14" s="117">
        <v>-3.9922</v>
      </c>
      <c r="Q14" s="117">
        <v>-15.352</v>
      </c>
      <c r="R14" s="117">
        <v>-2.0750999999999999</v>
      </c>
      <c r="S14" s="117">
        <v>10.234</v>
      </c>
      <c r="T14" s="3">
        <v>19.177</v>
      </c>
      <c r="U14" s="133">
        <v>-14.769</v>
      </c>
    </row>
    <row r="15" spans="1:22" ht="15.75" thickBot="1" x14ac:dyDescent="0.3">
      <c r="A15" s="13"/>
      <c r="B15" s="52">
        <v>0.12062256809338513</v>
      </c>
      <c r="C15" s="54">
        <v>0.15175097276264587</v>
      </c>
      <c r="D15" s="125">
        <v>-2.7572000000000001</v>
      </c>
      <c r="E15" s="126">
        <v>-174.76</v>
      </c>
      <c r="F15" s="126">
        <v>-2.3965999999999998</v>
      </c>
      <c r="G15" s="126">
        <v>-9.8663000000000007</v>
      </c>
      <c r="H15" s="126">
        <v>-11.192</v>
      </c>
      <c r="I15" s="126">
        <v>-1.8243</v>
      </c>
      <c r="J15" s="126">
        <v>-0.51114000000000004</v>
      </c>
      <c r="K15" s="126">
        <v>17.533000000000001</v>
      </c>
      <c r="L15" s="142">
        <v>-18.893999999999998</v>
      </c>
      <c r="M15" s="125">
        <v>0.28503000000000001</v>
      </c>
      <c r="N15" s="126">
        <v>-34.679000000000002</v>
      </c>
      <c r="O15" s="126">
        <v>11.044</v>
      </c>
      <c r="P15" s="126">
        <v>-12.092000000000001</v>
      </c>
      <c r="Q15" s="126">
        <v>-2.2652000000000001</v>
      </c>
      <c r="R15" s="126">
        <v>0.23315</v>
      </c>
      <c r="S15" s="126">
        <v>13.01</v>
      </c>
      <c r="T15" s="49">
        <v>3.5118</v>
      </c>
      <c r="U15" s="135">
        <v>-8.4347999999999992</v>
      </c>
    </row>
    <row r="16" spans="1:22" x14ac:dyDescent="0.25">
      <c r="A16" s="16" t="s">
        <v>10</v>
      </c>
      <c r="B16" s="51">
        <v>0</v>
      </c>
      <c r="C16" s="58">
        <v>0.16370106761565842</v>
      </c>
      <c r="D16" s="121">
        <v>0.36532999999999999</v>
      </c>
      <c r="E16" s="117">
        <v>-52.441000000000003</v>
      </c>
      <c r="F16" s="117">
        <v>2.6497000000000002</v>
      </c>
      <c r="G16" s="117">
        <v>-1.6591</v>
      </c>
      <c r="H16" s="117">
        <v>6.5846999999999998</v>
      </c>
      <c r="I16" s="117">
        <v>-1.1065</v>
      </c>
      <c r="J16" s="117">
        <v>-2.3748</v>
      </c>
      <c r="K16" s="117">
        <v>5.3150000000000004</v>
      </c>
      <c r="L16" s="122">
        <v>11.352</v>
      </c>
      <c r="M16" s="121">
        <v>0.11663</v>
      </c>
      <c r="N16" s="117">
        <v>-11.324</v>
      </c>
      <c r="O16" s="117">
        <v>5.7057000000000002</v>
      </c>
      <c r="P16" s="117">
        <v>-2.4161000000000001</v>
      </c>
      <c r="Q16" s="117">
        <v>5.1359000000000004</v>
      </c>
      <c r="R16" s="117">
        <v>0.90820999999999996</v>
      </c>
      <c r="S16" s="117">
        <v>5.6952999999999996</v>
      </c>
      <c r="T16" s="3">
        <v>1.1987000000000001</v>
      </c>
      <c r="U16" s="133">
        <v>9.2192000000000007</v>
      </c>
    </row>
    <row r="17" spans="1:21" x14ac:dyDescent="0.25">
      <c r="A17" s="13"/>
      <c r="B17" s="52">
        <v>6.0498220640569492E-2</v>
      </c>
      <c r="C17" s="54">
        <v>0.16370106761565842</v>
      </c>
      <c r="D17" s="121">
        <v>-1.7504999999999999</v>
      </c>
      <c r="E17" s="117">
        <v>-46.872</v>
      </c>
      <c r="F17" s="117">
        <v>11.007</v>
      </c>
      <c r="G17" s="117">
        <v>-11.811</v>
      </c>
      <c r="H17" s="117">
        <v>5.3025000000000002</v>
      </c>
      <c r="I17" s="117">
        <v>2.6848000000000001</v>
      </c>
      <c r="J17" s="117">
        <v>-8.077</v>
      </c>
      <c r="K17" s="117">
        <v>4.7591999999999999</v>
      </c>
      <c r="L17" s="122">
        <v>4.6032000000000002</v>
      </c>
      <c r="M17" s="121">
        <v>7.7407000000000004E-2</v>
      </c>
      <c r="N17" s="117">
        <v>-78.685000000000002</v>
      </c>
      <c r="O17" s="117">
        <v>4.3616999999999999</v>
      </c>
      <c r="P17" s="117">
        <v>-7.9272999999999998</v>
      </c>
      <c r="Q17" s="117">
        <v>-13.618</v>
      </c>
      <c r="R17" s="117">
        <v>-1.5740000000000001</v>
      </c>
      <c r="S17" s="117">
        <v>22.798999999999999</v>
      </c>
      <c r="T17" s="3">
        <v>7.9340999999999999</v>
      </c>
      <c r="U17" s="133">
        <v>-21.030999999999999</v>
      </c>
    </row>
    <row r="18" spans="1:21" x14ac:dyDescent="0.25">
      <c r="A18" s="13"/>
      <c r="B18" s="52">
        <v>9.964412811387903E-2</v>
      </c>
      <c r="C18" s="54">
        <v>0.16370106761565842</v>
      </c>
      <c r="D18" s="121">
        <v>-1.1762999999999999</v>
      </c>
      <c r="E18" s="117">
        <v>-147.69999999999999</v>
      </c>
      <c r="F18" s="117">
        <v>0.57830999999999999</v>
      </c>
      <c r="G18" s="117">
        <v>-9.2867999999999995</v>
      </c>
      <c r="H18" s="117">
        <v>-9.2269000000000005</v>
      </c>
      <c r="I18" s="117">
        <v>-1.0376000000000001</v>
      </c>
      <c r="J18" s="117">
        <v>-14.173999999999999</v>
      </c>
      <c r="K18" s="117">
        <v>14.831</v>
      </c>
      <c r="L18" s="122">
        <v>-1.1712</v>
      </c>
      <c r="M18" s="121">
        <v>9.3332999999999999E-2</v>
      </c>
      <c r="N18" s="117">
        <v>-54.652999999999999</v>
      </c>
      <c r="O18" s="117">
        <v>3.2770999999999999</v>
      </c>
      <c r="P18" s="117">
        <v>-8.5608000000000004</v>
      </c>
      <c r="Q18" s="117">
        <v>-2.2042999999999999</v>
      </c>
      <c r="R18" s="117">
        <v>0.86284000000000005</v>
      </c>
      <c r="S18" s="117">
        <v>12.632</v>
      </c>
      <c r="T18" s="3">
        <v>5.5179</v>
      </c>
      <c r="U18" s="133">
        <v>-7.7309999999999999</v>
      </c>
    </row>
    <row r="19" spans="1:21" ht="15.75" thickBot="1" x14ac:dyDescent="0.3">
      <c r="A19" s="19"/>
      <c r="B19" s="53">
        <v>0.14590747330960857</v>
      </c>
      <c r="C19" s="57">
        <v>0.16370106761565842</v>
      </c>
      <c r="D19" s="125">
        <v>-2.1554000000000002</v>
      </c>
      <c r="E19" s="126">
        <v>-143.76</v>
      </c>
      <c r="F19" s="126">
        <v>9.0713000000000008</v>
      </c>
      <c r="G19" s="126">
        <v>-13.983000000000001</v>
      </c>
      <c r="H19" s="126">
        <v>-22.608000000000001</v>
      </c>
      <c r="I19" s="126">
        <v>-2.6248</v>
      </c>
      <c r="J19" s="126">
        <v>3.0617000000000001</v>
      </c>
      <c r="K19" s="126">
        <v>14.433999999999999</v>
      </c>
      <c r="L19" s="142">
        <v>-23.06</v>
      </c>
      <c r="M19" s="125">
        <v>0.61821999999999999</v>
      </c>
      <c r="N19" s="126">
        <v>-12.673</v>
      </c>
      <c r="O19" s="126">
        <v>2.2810000000000001</v>
      </c>
      <c r="P19" s="126">
        <v>2.8597000000000001</v>
      </c>
      <c r="Q19" s="126">
        <v>5.4363000000000001</v>
      </c>
      <c r="R19" s="126">
        <v>1.4076</v>
      </c>
      <c r="S19" s="126">
        <v>2.8153999999999999</v>
      </c>
      <c r="T19" s="49">
        <v>1.2543</v>
      </c>
      <c r="U19" s="135">
        <v>4.8289999999999997</v>
      </c>
    </row>
    <row r="20" spans="1:21" x14ac:dyDescent="0.25">
      <c r="A20" s="16" t="s">
        <v>11</v>
      </c>
      <c r="B20" s="51">
        <v>0</v>
      </c>
      <c r="C20" s="58">
        <v>0.14590747330960857</v>
      </c>
      <c r="D20" s="139">
        <v>2.0253E-2</v>
      </c>
      <c r="E20" s="132">
        <v>-96.725999999999999</v>
      </c>
      <c r="F20" s="132">
        <v>-1.9977</v>
      </c>
      <c r="G20" s="132">
        <v>-0.50956000000000001</v>
      </c>
      <c r="H20" s="132">
        <v>5.2313000000000001</v>
      </c>
      <c r="I20" s="132">
        <v>-2.6738</v>
      </c>
      <c r="J20" s="119">
        <v>-5.1687000000000003</v>
      </c>
      <c r="K20" s="119">
        <v>9.7445000000000004</v>
      </c>
      <c r="L20" s="120">
        <v>12.082000000000001</v>
      </c>
      <c r="M20" s="118">
        <v>6.3047000000000006E-2</v>
      </c>
      <c r="N20" s="119">
        <v>-17.193999999999999</v>
      </c>
      <c r="O20" s="119">
        <v>5.8102999999999998</v>
      </c>
      <c r="P20" s="132">
        <v>-3.0207999999999999</v>
      </c>
      <c r="Q20" s="132">
        <v>6.0452000000000004</v>
      </c>
      <c r="R20" s="132">
        <v>1.4394</v>
      </c>
      <c r="S20" s="132">
        <v>3.8174000000000001</v>
      </c>
      <c r="T20" s="44">
        <v>1.786</v>
      </c>
      <c r="U20" s="141">
        <v>8.3911999999999995</v>
      </c>
    </row>
    <row r="21" spans="1:21" x14ac:dyDescent="0.25">
      <c r="A21" s="13" t="s">
        <v>12</v>
      </c>
      <c r="B21" s="52">
        <v>4.2704626334519671E-2</v>
      </c>
      <c r="C21" s="54">
        <v>0.14590747330960857</v>
      </c>
      <c r="D21" s="121">
        <v>-2.7054999999999998</v>
      </c>
      <c r="E21" s="117">
        <v>-143.71</v>
      </c>
      <c r="F21" s="117">
        <v>0.61726999999999999</v>
      </c>
      <c r="G21" s="117">
        <v>-8.16</v>
      </c>
      <c r="H21" s="117">
        <v>0.71565000000000001</v>
      </c>
      <c r="I21" s="117">
        <v>9.1567999999999997E-2</v>
      </c>
      <c r="J21" s="116">
        <v>-15.417999999999999</v>
      </c>
      <c r="K21" s="116">
        <v>14.445</v>
      </c>
      <c r="L21" s="123">
        <v>-2.4670999999999998</v>
      </c>
      <c r="M21" s="124">
        <v>0.56972</v>
      </c>
      <c r="N21" s="116">
        <v>-74.608999999999995</v>
      </c>
      <c r="O21" s="116">
        <v>6.1196000000000002</v>
      </c>
      <c r="P21" s="117">
        <v>-8.9961000000000002</v>
      </c>
      <c r="Q21" s="117">
        <v>-12.542</v>
      </c>
      <c r="R21" s="117">
        <v>-0.18448999999999999</v>
      </c>
      <c r="S21" s="117">
        <v>14.624000000000001</v>
      </c>
      <c r="T21" s="3">
        <v>7.5279999999999996</v>
      </c>
      <c r="U21" s="133">
        <v>-11.696</v>
      </c>
    </row>
    <row r="22" spans="1:21" x14ac:dyDescent="0.25">
      <c r="A22" s="13"/>
      <c r="B22" s="52">
        <v>7.8291814946619312E-2</v>
      </c>
      <c r="C22" s="54">
        <v>0.14590747330960857</v>
      </c>
      <c r="D22" s="121">
        <v>-1.7605999999999999</v>
      </c>
      <c r="E22" s="117">
        <v>-110.76</v>
      </c>
      <c r="F22" s="117">
        <v>4.2702</v>
      </c>
      <c r="G22" s="117">
        <v>-11.15</v>
      </c>
      <c r="H22" s="117">
        <v>-3.0038999999999998</v>
      </c>
      <c r="I22" s="117">
        <v>2.2372999999999998</v>
      </c>
      <c r="J22" s="116">
        <v>-13.916</v>
      </c>
      <c r="K22" s="116">
        <v>11.145</v>
      </c>
      <c r="L22" s="123">
        <v>-0.36942999999999998</v>
      </c>
      <c r="M22" s="124">
        <v>0.61558000000000002</v>
      </c>
      <c r="N22" s="116">
        <v>-50.067</v>
      </c>
      <c r="O22" s="116">
        <v>5.4813999999999998</v>
      </c>
      <c r="P22" s="117">
        <v>-10.057</v>
      </c>
      <c r="Q22" s="117">
        <v>-1.9735</v>
      </c>
      <c r="R22" s="117">
        <v>0.51741999999999999</v>
      </c>
      <c r="S22" s="117">
        <v>12.984</v>
      </c>
      <c r="T22" s="3">
        <v>5.0679999999999996</v>
      </c>
      <c r="U22" s="133">
        <v>-6.3330000000000002</v>
      </c>
    </row>
    <row r="23" spans="1:21" ht="15.75" thickBot="1" x14ac:dyDescent="0.3">
      <c r="A23" s="19"/>
      <c r="B23" s="53">
        <v>0.11743772241992885</v>
      </c>
      <c r="C23" s="57">
        <v>0.14590747330960857</v>
      </c>
      <c r="D23" s="125">
        <v>-1.3996</v>
      </c>
      <c r="E23" s="126">
        <v>-25.449000000000002</v>
      </c>
      <c r="F23" s="126">
        <v>11.907999999999999</v>
      </c>
      <c r="G23" s="126">
        <v>-14.863</v>
      </c>
      <c r="H23" s="126">
        <v>4.2558999999999996</v>
      </c>
      <c r="I23" s="126">
        <v>3.4529999999999998</v>
      </c>
      <c r="J23" s="127">
        <v>4.6393000000000004</v>
      </c>
      <c r="K23" s="127">
        <v>2.6052</v>
      </c>
      <c r="L23" s="128">
        <v>-11.409000000000001</v>
      </c>
      <c r="M23" s="134">
        <v>0.48504999999999998</v>
      </c>
      <c r="N23" s="127">
        <v>-49.402000000000001</v>
      </c>
      <c r="O23" s="127">
        <v>4.8667999999999996</v>
      </c>
      <c r="P23" s="126">
        <v>-9.8699999999999992</v>
      </c>
      <c r="Q23" s="126">
        <v>-4.7282000000000002</v>
      </c>
      <c r="R23" s="126">
        <v>0.45667999999999997</v>
      </c>
      <c r="S23" s="126">
        <v>12.805999999999999</v>
      </c>
      <c r="T23" s="49">
        <v>4.9903000000000004</v>
      </c>
      <c r="U23" s="135">
        <v>-6.2267999999999999</v>
      </c>
    </row>
    <row r="24" spans="1:21" x14ac:dyDescent="0.25">
      <c r="A24" s="28" t="s">
        <v>20</v>
      </c>
      <c r="B24" s="52">
        <v>0</v>
      </c>
      <c r="C24" s="55">
        <v>0.22448979591836743</v>
      </c>
      <c r="D24" s="139">
        <v>4.1081000000000003</v>
      </c>
      <c r="E24" s="132">
        <v>-86.870999999999995</v>
      </c>
      <c r="F24" s="132">
        <v>-2.0537000000000001</v>
      </c>
      <c r="G24" s="132">
        <v>-7.7523</v>
      </c>
      <c r="H24" s="132">
        <v>7.6155999999999997</v>
      </c>
      <c r="I24" s="132">
        <v>4.0735000000000001</v>
      </c>
      <c r="J24" s="119">
        <v>-9.9522999999999993</v>
      </c>
      <c r="K24" s="119">
        <v>4.4302999999999999</v>
      </c>
      <c r="L24" s="120">
        <v>5.8593999999999999</v>
      </c>
      <c r="M24" s="118">
        <v>1.8922000000000001</v>
      </c>
      <c r="N24" s="119">
        <v>-75.656000000000006</v>
      </c>
      <c r="O24" s="119">
        <v>-8.9059000000000008</v>
      </c>
      <c r="P24" s="132">
        <v>6.1264000000000003</v>
      </c>
      <c r="Q24" s="132">
        <v>0.34098000000000001</v>
      </c>
      <c r="R24" s="132">
        <v>1.2392000000000001</v>
      </c>
      <c r="S24" s="132">
        <v>-0.11892999999999999</v>
      </c>
      <c r="T24" s="44">
        <v>3.8666999999999998</v>
      </c>
      <c r="U24" s="141">
        <v>-1.0390999999999999</v>
      </c>
    </row>
    <row r="25" spans="1:21" x14ac:dyDescent="0.25">
      <c r="A25" s="28"/>
      <c r="B25" s="52">
        <v>0.13265306122448986</v>
      </c>
      <c r="C25" s="55">
        <v>0.22448979591836743</v>
      </c>
      <c r="D25" s="121">
        <v>6.9478</v>
      </c>
      <c r="E25" s="117">
        <v>-56.582999999999998</v>
      </c>
      <c r="F25" s="117">
        <v>-38.71</v>
      </c>
      <c r="G25" s="117">
        <v>41.542000000000002</v>
      </c>
      <c r="H25" s="117">
        <v>-253.52</v>
      </c>
      <c r="I25" s="117">
        <v>4.1860999999999997</v>
      </c>
      <c r="J25" s="116">
        <v>24.507999999999999</v>
      </c>
      <c r="K25" s="116">
        <v>2.8713000000000002</v>
      </c>
      <c r="L25" s="123">
        <v>196.6</v>
      </c>
      <c r="M25" s="124">
        <v>-16.370999999999999</v>
      </c>
      <c r="N25" s="116">
        <v>-33.091000000000001</v>
      </c>
      <c r="O25" s="116">
        <v>-26.067</v>
      </c>
      <c r="P25" s="117">
        <v>25.460999999999999</v>
      </c>
      <c r="Q25" s="117">
        <v>154.34</v>
      </c>
      <c r="R25" s="117">
        <v>7.0884</v>
      </c>
      <c r="S25" s="117">
        <v>-22.478000000000002</v>
      </c>
      <c r="T25" s="3">
        <v>1.6954</v>
      </c>
      <c r="U25" s="133">
        <v>54.234999999999999</v>
      </c>
    </row>
    <row r="26" spans="1:21" ht="15.75" thickBot="1" x14ac:dyDescent="0.3">
      <c r="A26" s="28"/>
      <c r="B26" s="52">
        <v>0.20408163265306131</v>
      </c>
      <c r="C26" s="55">
        <v>0.22448979591836743</v>
      </c>
      <c r="D26" s="125">
        <v>0.20502999999999999</v>
      </c>
      <c r="E26" s="126">
        <v>-148.16</v>
      </c>
      <c r="F26" s="126">
        <v>-16.940000000000001</v>
      </c>
      <c r="G26" s="126">
        <v>7.2615999999999996</v>
      </c>
      <c r="H26" s="126">
        <v>-4.7667999999999999</v>
      </c>
      <c r="I26" s="126">
        <v>-0.54754000000000003</v>
      </c>
      <c r="J26" s="127">
        <v>7.8263999999999996</v>
      </c>
      <c r="K26" s="127">
        <v>7.4337999999999997</v>
      </c>
      <c r="L26" s="128">
        <v>12.669</v>
      </c>
      <c r="M26" s="134">
        <v>1.91</v>
      </c>
      <c r="N26" s="127">
        <v>-145.79</v>
      </c>
      <c r="O26" s="127">
        <v>-12.752000000000001</v>
      </c>
      <c r="P26" s="126">
        <v>2.6358999999999999</v>
      </c>
      <c r="Q26" s="126">
        <v>-7.4954999999999998</v>
      </c>
      <c r="R26" s="126">
        <v>-1.8769</v>
      </c>
      <c r="S26" s="126">
        <v>5.0731999999999999</v>
      </c>
      <c r="T26" s="49">
        <v>7.3137999999999996</v>
      </c>
      <c r="U26" s="135">
        <v>8.0754999999999999</v>
      </c>
    </row>
    <row r="27" spans="1:21" x14ac:dyDescent="0.25">
      <c r="A27" s="26" t="s">
        <v>21</v>
      </c>
      <c r="B27" s="51">
        <v>0</v>
      </c>
      <c r="C27" s="59">
        <v>0.2416666666666667</v>
      </c>
      <c r="D27" s="118">
        <v>3.9788999999999999</v>
      </c>
      <c r="E27" s="119">
        <v>-46.371000000000002</v>
      </c>
      <c r="F27" s="119">
        <v>0.64754999999999996</v>
      </c>
      <c r="G27" s="119">
        <v>-6.2805999999999997</v>
      </c>
      <c r="H27" s="132">
        <v>10.281000000000001</v>
      </c>
      <c r="I27" s="132">
        <v>3.7357999999999998</v>
      </c>
      <c r="J27" s="132">
        <v>-12.525</v>
      </c>
      <c r="K27" s="132">
        <v>2.4096000000000002</v>
      </c>
      <c r="L27" s="140">
        <v>9.9717000000000002</v>
      </c>
      <c r="M27" s="139">
        <v>-2.09</v>
      </c>
      <c r="N27" s="132">
        <v>-47.606000000000002</v>
      </c>
      <c r="O27" s="132">
        <v>-0.43118000000000001</v>
      </c>
      <c r="P27" s="132">
        <v>-5.9588000000000001</v>
      </c>
      <c r="Q27" s="132">
        <v>-3.7559</v>
      </c>
      <c r="R27" s="132">
        <v>6.5609999999999999</v>
      </c>
      <c r="S27" s="132">
        <v>4.0868000000000002</v>
      </c>
      <c r="T27" s="44">
        <v>2.4714999999999998</v>
      </c>
      <c r="U27" s="141">
        <v>9.8011999999999997</v>
      </c>
    </row>
    <row r="28" spans="1:21" x14ac:dyDescent="0.25">
      <c r="A28" s="28"/>
      <c r="B28" s="52">
        <v>8.3333333333333329E-2</v>
      </c>
      <c r="C28" s="55">
        <v>0.2416666666666667</v>
      </c>
      <c r="D28" s="124">
        <v>1.0009999999999999</v>
      </c>
      <c r="E28" s="116">
        <v>-120.28</v>
      </c>
      <c r="F28" s="116">
        <v>-12.066000000000001</v>
      </c>
      <c r="G28" s="116">
        <v>1.0046999999999999</v>
      </c>
      <c r="H28" s="117">
        <v>0.18396000000000001</v>
      </c>
      <c r="I28" s="117">
        <v>4.0011999999999999</v>
      </c>
      <c r="J28" s="117">
        <v>0.2349</v>
      </c>
      <c r="K28" s="117">
        <v>6.0796999999999999</v>
      </c>
      <c r="L28" s="122">
        <v>0.54674</v>
      </c>
      <c r="M28" s="121">
        <v>11.791</v>
      </c>
      <c r="N28" s="117">
        <v>-123.68</v>
      </c>
      <c r="O28" s="117">
        <v>-18.271000000000001</v>
      </c>
      <c r="P28" s="117">
        <v>10.975</v>
      </c>
      <c r="Q28" s="117">
        <v>-100.98</v>
      </c>
      <c r="R28" s="117">
        <v>0.33209</v>
      </c>
      <c r="S28" s="117">
        <v>2.6349999999999998</v>
      </c>
      <c r="T28" s="3">
        <v>6.2493999999999996</v>
      </c>
      <c r="U28" s="133">
        <v>13.996</v>
      </c>
    </row>
    <row r="29" spans="1:21" ht="15.75" thickBot="1" x14ac:dyDescent="0.3">
      <c r="A29" s="34"/>
      <c r="B29" s="53">
        <v>0.16666666666666666</v>
      </c>
      <c r="C29" s="56">
        <v>0.2416666666666667</v>
      </c>
      <c r="D29" s="134">
        <v>-0.50504000000000004</v>
      </c>
      <c r="E29" s="127">
        <v>-132.21</v>
      </c>
      <c r="F29" s="127">
        <v>-20.175999999999998</v>
      </c>
      <c r="G29" s="127">
        <v>10.138</v>
      </c>
      <c r="H29" s="126">
        <v>-29.99</v>
      </c>
      <c r="I29" s="126">
        <v>-1.6402000000000001</v>
      </c>
      <c r="J29" s="126">
        <v>16.760999999999999</v>
      </c>
      <c r="K29" s="126">
        <v>6.6554000000000002</v>
      </c>
      <c r="L29" s="142">
        <v>38.155999999999999</v>
      </c>
      <c r="M29" s="125">
        <v>-15.795</v>
      </c>
      <c r="N29" s="126">
        <v>-55.234999999999999</v>
      </c>
      <c r="O29" s="126">
        <v>-25.138000000000002</v>
      </c>
      <c r="P29" s="126">
        <v>19.289000000000001</v>
      </c>
      <c r="Q29" s="126">
        <v>145.1</v>
      </c>
      <c r="R29" s="126">
        <v>6.5373999999999999</v>
      </c>
      <c r="S29" s="126">
        <v>-20.25</v>
      </c>
      <c r="T29" s="49">
        <v>2.8050000000000002</v>
      </c>
      <c r="U29" s="135">
        <v>48.593000000000004</v>
      </c>
    </row>
    <row r="30" spans="1:21" x14ac:dyDescent="0.25">
      <c r="A30" s="28" t="s">
        <v>22</v>
      </c>
      <c r="B30" s="52">
        <v>0</v>
      </c>
      <c r="C30" s="55">
        <v>0.24444444444444444</v>
      </c>
      <c r="D30" s="118">
        <v>4.6760000000000002</v>
      </c>
      <c r="E30" s="119">
        <v>-62.959000000000003</v>
      </c>
      <c r="F30" s="119">
        <v>-4.4667000000000003</v>
      </c>
      <c r="G30" s="119">
        <v>-4.4866000000000001</v>
      </c>
      <c r="H30" s="132">
        <v>8.9542000000000002</v>
      </c>
      <c r="I30" s="132">
        <v>2.9653</v>
      </c>
      <c r="J30" s="119">
        <v>-8.8863000000000003</v>
      </c>
      <c r="K30" s="119">
        <v>3.2572999999999999</v>
      </c>
      <c r="L30" s="120">
        <v>9.2225000000000001</v>
      </c>
      <c r="M30" s="118">
        <v>-0.89464999999999995</v>
      </c>
      <c r="N30" s="119">
        <v>-67.665000000000006</v>
      </c>
      <c r="O30" s="119">
        <v>-2.6949999999999998</v>
      </c>
      <c r="P30" s="132">
        <v>-5.7282000000000002</v>
      </c>
      <c r="Q30" s="132">
        <v>-9.9219000000000008</v>
      </c>
      <c r="R30" s="132">
        <v>7.4881000000000002</v>
      </c>
      <c r="S30" s="132">
        <v>4.3714000000000004</v>
      </c>
      <c r="T30" s="44">
        <v>3.4908000000000001</v>
      </c>
      <c r="U30" s="141">
        <v>9.4243000000000006</v>
      </c>
    </row>
    <row r="31" spans="1:21" x14ac:dyDescent="0.25">
      <c r="A31" s="28"/>
      <c r="B31" s="52">
        <v>2.6666666666666731E-2</v>
      </c>
      <c r="C31" s="55">
        <v>0.24444444444444444</v>
      </c>
      <c r="D31" s="124">
        <v>2.5430999999999999</v>
      </c>
      <c r="E31" s="116">
        <v>-70.027000000000001</v>
      </c>
      <c r="F31" s="116">
        <v>1.5405</v>
      </c>
      <c r="G31" s="116">
        <v>-13.683</v>
      </c>
      <c r="H31" s="117">
        <v>8.5996000000000006</v>
      </c>
      <c r="I31" s="117">
        <v>-6.7466999999999999E-2</v>
      </c>
      <c r="J31" s="116">
        <v>-9.2927</v>
      </c>
      <c r="K31" s="116">
        <v>3.5933999999999999</v>
      </c>
      <c r="L31" s="123">
        <v>18.888999999999999</v>
      </c>
      <c r="M31" s="124">
        <v>1.1221000000000001</v>
      </c>
      <c r="N31" s="116">
        <v>-68.001999999999995</v>
      </c>
      <c r="O31" s="116">
        <v>-0.15085999999999999</v>
      </c>
      <c r="P31" s="117">
        <v>-11.712</v>
      </c>
      <c r="Q31" s="117">
        <v>-4.8654999999999999</v>
      </c>
      <c r="R31" s="117">
        <v>-2.5211999999999998E-2</v>
      </c>
      <c r="S31" s="117">
        <v>5.1736000000000004</v>
      </c>
      <c r="T31" s="3">
        <v>3.4903</v>
      </c>
      <c r="U31" s="133">
        <v>22.63</v>
      </c>
    </row>
    <row r="32" spans="1:21" ht="15.75" thickBot="1" x14ac:dyDescent="0.3">
      <c r="A32" s="28"/>
      <c r="B32" s="52">
        <v>7.111111111111118E-2</v>
      </c>
      <c r="C32" s="55">
        <v>0.24444444444444444</v>
      </c>
      <c r="D32" s="134">
        <v>2.5236999999999998</v>
      </c>
      <c r="E32" s="127">
        <v>-146.34</v>
      </c>
      <c r="F32" s="127">
        <v>-3.27</v>
      </c>
      <c r="G32" s="127">
        <v>-10.263999999999999</v>
      </c>
      <c r="H32" s="126">
        <v>-8.3668999999999993</v>
      </c>
      <c r="I32" s="126">
        <v>1.5076000000000001</v>
      </c>
      <c r="J32" s="127">
        <v>-3.9817999999999998</v>
      </c>
      <c r="K32" s="127">
        <v>7.3922999999999996</v>
      </c>
      <c r="L32" s="128">
        <v>-4.6486999999999998</v>
      </c>
      <c r="M32" s="134">
        <v>1.478</v>
      </c>
      <c r="N32" s="127">
        <v>-90.028999999999996</v>
      </c>
      <c r="O32" s="127">
        <v>1.3775999999999999</v>
      </c>
      <c r="P32" s="126">
        <v>-13.615</v>
      </c>
      <c r="Q32" s="126">
        <v>8.9337</v>
      </c>
      <c r="R32" s="126">
        <v>0.56616999999999995</v>
      </c>
      <c r="S32" s="126">
        <v>0.51436999999999999</v>
      </c>
      <c r="T32" s="49">
        <v>4.5747</v>
      </c>
      <c r="U32" s="135">
        <v>9.4882000000000009</v>
      </c>
    </row>
    <row r="33" spans="1:21" x14ac:dyDescent="0.25">
      <c r="A33" s="26" t="s">
        <v>23</v>
      </c>
      <c r="B33" s="51">
        <v>0</v>
      </c>
      <c r="C33" s="59">
        <v>0.24452554744525545</v>
      </c>
      <c r="D33" s="139">
        <v>8.1687999999999992</v>
      </c>
      <c r="E33" s="132">
        <v>-29.175000000000001</v>
      </c>
      <c r="F33" s="132">
        <v>-9.9099000000000004</v>
      </c>
      <c r="G33" s="132">
        <v>2.6139999999999999</v>
      </c>
      <c r="H33" s="132">
        <v>19.297999999999998</v>
      </c>
      <c r="I33" s="132">
        <v>3.8601000000000001</v>
      </c>
      <c r="J33" s="132">
        <v>-21.831</v>
      </c>
      <c r="K33" s="132">
        <v>1.5745</v>
      </c>
      <c r="L33" s="140">
        <v>15.08</v>
      </c>
      <c r="M33" s="139">
        <v>-1.5144</v>
      </c>
      <c r="N33" s="132">
        <v>-59.365000000000002</v>
      </c>
      <c r="O33" s="132">
        <v>-4.7648999999999999</v>
      </c>
      <c r="P33" s="132">
        <v>-1.3531</v>
      </c>
      <c r="Q33" s="132">
        <v>-9.5587</v>
      </c>
      <c r="R33" s="132">
        <v>7.8682999999999996</v>
      </c>
      <c r="S33" s="132">
        <v>3.5301999999999998</v>
      </c>
      <c r="T33" s="44">
        <v>3.0827</v>
      </c>
      <c r="U33" s="141">
        <v>6.8985000000000003</v>
      </c>
    </row>
    <row r="34" spans="1:21" x14ac:dyDescent="0.25">
      <c r="A34" s="28"/>
      <c r="B34" s="52">
        <v>4.7445255474452455E-2</v>
      </c>
      <c r="C34" s="55">
        <v>0.24452554744525545</v>
      </c>
      <c r="D34" s="121">
        <v>1.5909</v>
      </c>
      <c r="E34" s="117">
        <v>-95.483999999999995</v>
      </c>
      <c r="F34" s="117">
        <v>1.9131</v>
      </c>
      <c r="G34" s="117">
        <v>-11.927</v>
      </c>
      <c r="H34" s="117">
        <v>1.1365000000000001</v>
      </c>
      <c r="I34" s="117">
        <v>-3.5268999999999999</v>
      </c>
      <c r="J34" s="117">
        <v>3.2776000000000001</v>
      </c>
      <c r="K34" s="117">
        <v>4.8766999999999996</v>
      </c>
      <c r="L34" s="122">
        <v>14.936</v>
      </c>
      <c r="M34" s="121">
        <v>1.4681</v>
      </c>
      <c r="N34" s="117">
        <v>-101.38</v>
      </c>
      <c r="O34" s="117">
        <v>0.57962000000000002</v>
      </c>
      <c r="P34" s="117">
        <v>-10.292</v>
      </c>
      <c r="Q34" s="117">
        <v>-5.0022000000000002</v>
      </c>
      <c r="R34" s="117">
        <v>2.742</v>
      </c>
      <c r="S34" s="117">
        <v>5.3800999999999997</v>
      </c>
      <c r="T34" s="3">
        <v>5.1703999999999999</v>
      </c>
      <c r="U34" s="133">
        <v>-3.4754</v>
      </c>
    </row>
    <row r="35" spans="1:21" x14ac:dyDescent="0.25">
      <c r="A35" s="28"/>
      <c r="B35" s="52">
        <v>8.0291970802919679E-2</v>
      </c>
      <c r="C35" s="55">
        <v>0.24452554744525545</v>
      </c>
      <c r="D35" s="121">
        <v>1.6073</v>
      </c>
      <c r="E35" s="117">
        <v>-91.153000000000006</v>
      </c>
      <c r="F35" s="117">
        <v>-0.71841999999999995</v>
      </c>
      <c r="G35" s="117">
        <v>-10.773</v>
      </c>
      <c r="H35" s="117">
        <v>-5.4015000000000004</v>
      </c>
      <c r="I35" s="117">
        <v>1.1404000000000001</v>
      </c>
      <c r="J35" s="117">
        <v>-3.528</v>
      </c>
      <c r="K35" s="117">
        <v>4.6513</v>
      </c>
      <c r="L35" s="122">
        <v>15.923999999999999</v>
      </c>
      <c r="M35" s="121">
        <v>4.2137000000000002</v>
      </c>
      <c r="N35" s="117">
        <v>-50.238</v>
      </c>
      <c r="O35" s="117">
        <v>-2.1852999999999998</v>
      </c>
      <c r="P35" s="117">
        <v>-9.1275999999999993</v>
      </c>
      <c r="Q35" s="117">
        <v>-6.5529000000000002</v>
      </c>
      <c r="R35" s="117">
        <v>0.54278000000000004</v>
      </c>
      <c r="S35" s="117">
        <v>6.1988000000000003</v>
      </c>
      <c r="T35" s="3">
        <v>2.6038000000000001</v>
      </c>
      <c r="U35" s="133">
        <v>1.2688999999999999</v>
      </c>
    </row>
    <row r="36" spans="1:21" ht="15.75" thickBot="1" x14ac:dyDescent="0.3">
      <c r="A36" s="28"/>
      <c r="B36" s="52">
        <v>0.12043795620437947</v>
      </c>
      <c r="C36" s="55">
        <v>0.24452554744525545</v>
      </c>
      <c r="D36" s="125">
        <v>3.6173000000000002</v>
      </c>
      <c r="E36" s="126">
        <v>-91.738</v>
      </c>
      <c r="F36" s="126">
        <v>-1.4398</v>
      </c>
      <c r="G36" s="126">
        <v>-11.284000000000001</v>
      </c>
      <c r="H36" s="126">
        <v>-18.018000000000001</v>
      </c>
      <c r="I36" s="126">
        <v>0.95960999999999996</v>
      </c>
      <c r="J36" s="126">
        <v>8.6525999999999996</v>
      </c>
      <c r="K36" s="126">
        <v>4.6604000000000001</v>
      </c>
      <c r="L36" s="142">
        <v>-2.3953000000000002</v>
      </c>
      <c r="M36" s="125">
        <v>0.71501999999999999</v>
      </c>
      <c r="N36" s="126">
        <v>-96.430999999999997</v>
      </c>
      <c r="O36" s="126">
        <v>1.7850999999999999</v>
      </c>
      <c r="P36" s="126">
        <v>-12.643000000000001</v>
      </c>
      <c r="Q36" s="126">
        <v>3.7347999999999999</v>
      </c>
      <c r="R36" s="126">
        <v>-1.0205</v>
      </c>
      <c r="S36" s="126">
        <v>3.4659</v>
      </c>
      <c r="T36" s="49">
        <v>4.8925999999999998</v>
      </c>
      <c r="U36" s="135">
        <v>11.868</v>
      </c>
    </row>
    <row r="37" spans="1:21" x14ac:dyDescent="0.25">
      <c r="A37" s="26" t="s">
        <v>24</v>
      </c>
      <c r="B37" s="51">
        <v>0</v>
      </c>
      <c r="C37" s="59">
        <v>0.24874371859296482</v>
      </c>
      <c r="D37" s="121">
        <v>2.9131</v>
      </c>
      <c r="E37" s="117">
        <v>-69.602000000000004</v>
      </c>
      <c r="F37" s="117">
        <v>-2.8733</v>
      </c>
      <c r="G37" s="117">
        <v>-2.5457999999999998</v>
      </c>
      <c r="H37" s="117">
        <v>7.1676000000000002</v>
      </c>
      <c r="I37" s="117">
        <v>3.0798999999999999</v>
      </c>
      <c r="J37" s="116">
        <v>-7.7545999999999999</v>
      </c>
      <c r="K37" s="116">
        <v>3.5948000000000002</v>
      </c>
      <c r="L37" s="123">
        <v>8.7003000000000004</v>
      </c>
      <c r="M37" s="124">
        <v>0.23018</v>
      </c>
      <c r="N37" s="116">
        <v>-49.405000000000001</v>
      </c>
      <c r="O37" s="116">
        <v>1.4733000000000001</v>
      </c>
      <c r="P37" s="117">
        <v>-4.6216999999999997</v>
      </c>
      <c r="Q37" s="117">
        <v>-4.9783999999999997</v>
      </c>
      <c r="R37" s="117">
        <v>4.3315000000000001</v>
      </c>
      <c r="S37" s="117">
        <v>3.7541000000000002</v>
      </c>
      <c r="T37" s="3">
        <v>2.5834000000000001</v>
      </c>
      <c r="U37" s="133">
        <v>3.8875999999999999</v>
      </c>
    </row>
    <row r="38" spans="1:21" x14ac:dyDescent="0.25">
      <c r="A38" s="28" t="s">
        <v>12</v>
      </c>
      <c r="B38" s="52">
        <v>9.0452261306532528E-2</v>
      </c>
      <c r="C38" s="55">
        <v>0.24874371859296482</v>
      </c>
      <c r="D38" s="121">
        <v>-0.51915999999999995</v>
      </c>
      <c r="E38" s="117">
        <v>-74.228999999999999</v>
      </c>
      <c r="F38" s="117">
        <v>3.7292000000000001</v>
      </c>
      <c r="G38" s="117">
        <v>-10.616</v>
      </c>
      <c r="H38" s="117">
        <v>7.7590000000000003</v>
      </c>
      <c r="I38" s="117">
        <v>0.19542000000000001</v>
      </c>
      <c r="J38" s="116">
        <v>5.3388999999999998</v>
      </c>
      <c r="K38" s="116">
        <v>3.8003999999999998</v>
      </c>
      <c r="L38" s="123">
        <v>14.417999999999999</v>
      </c>
      <c r="M38" s="124">
        <v>4.0274000000000001</v>
      </c>
      <c r="N38" s="116">
        <v>-65.781999999999996</v>
      </c>
      <c r="O38" s="116">
        <v>3.0609999999999999</v>
      </c>
      <c r="P38" s="117">
        <v>-9.6801999999999992</v>
      </c>
      <c r="Q38" s="117">
        <v>-7.4583000000000004</v>
      </c>
      <c r="R38" s="117">
        <v>0.26129999999999998</v>
      </c>
      <c r="S38" s="117">
        <v>-0.33080999999999999</v>
      </c>
      <c r="T38" s="3">
        <v>3.3761000000000001</v>
      </c>
      <c r="U38" s="133">
        <v>7.4980000000000002</v>
      </c>
    </row>
    <row r="39" spans="1:21" x14ac:dyDescent="0.25">
      <c r="A39" s="28"/>
      <c r="B39" s="52">
        <v>0.11809045226130643</v>
      </c>
      <c r="C39" s="55">
        <v>0.24874371859296482</v>
      </c>
      <c r="D39" s="121">
        <v>-1.8940999999999999</v>
      </c>
      <c r="E39" s="117">
        <v>-69.644000000000005</v>
      </c>
      <c r="F39" s="117">
        <v>1.1922999999999999</v>
      </c>
      <c r="G39" s="117">
        <v>-9.6075999999999997</v>
      </c>
      <c r="H39" s="117">
        <v>2.3428</v>
      </c>
      <c r="I39" s="117">
        <v>0.30256</v>
      </c>
      <c r="J39" s="116">
        <v>3.8828999999999998</v>
      </c>
      <c r="K39" s="116">
        <v>3.5592000000000001</v>
      </c>
      <c r="L39" s="123">
        <v>31.111000000000001</v>
      </c>
      <c r="M39" s="124">
        <v>8.2735000000000003</v>
      </c>
      <c r="N39" s="116">
        <v>-33.267000000000003</v>
      </c>
      <c r="O39" s="116">
        <v>7.9954000000000001</v>
      </c>
      <c r="P39" s="117">
        <v>-12.335000000000001</v>
      </c>
      <c r="Q39" s="117">
        <v>-52.701000000000001</v>
      </c>
      <c r="R39" s="117">
        <v>3.2797999999999998</v>
      </c>
      <c r="S39" s="117">
        <v>-5.7079000000000004</v>
      </c>
      <c r="T39" s="3">
        <v>1.7381</v>
      </c>
      <c r="U39" s="133">
        <v>17.686</v>
      </c>
    </row>
    <row r="40" spans="1:21" ht="15.75" thickBot="1" x14ac:dyDescent="0.3">
      <c r="A40" s="34"/>
      <c r="B40" s="53">
        <v>0.17587939698492464</v>
      </c>
      <c r="C40" s="56">
        <v>0.24874371859296482</v>
      </c>
      <c r="D40" s="125">
        <v>7.1447000000000004E-3</v>
      </c>
      <c r="E40" s="126">
        <v>-78.569999999999993</v>
      </c>
      <c r="F40" s="126">
        <v>4.3131000000000004</v>
      </c>
      <c r="G40" s="126">
        <v>-11.454000000000001</v>
      </c>
      <c r="H40" s="126">
        <v>1.0954999999999999</v>
      </c>
      <c r="I40" s="126">
        <v>6.2129999999999998E-2</v>
      </c>
      <c r="J40" s="127">
        <v>10.212999999999999</v>
      </c>
      <c r="K40" s="127">
        <v>3.9836</v>
      </c>
      <c r="L40" s="128">
        <v>9.2063000000000006</v>
      </c>
      <c r="M40" s="134">
        <v>8.1809999999999994E-2</v>
      </c>
      <c r="N40" s="127">
        <v>-76.593000000000004</v>
      </c>
      <c r="O40" s="127">
        <v>3.1956000000000002</v>
      </c>
      <c r="P40" s="126">
        <v>-10.003</v>
      </c>
      <c r="Q40" s="126">
        <v>10.855</v>
      </c>
      <c r="R40" s="126">
        <v>0.64822999999999997</v>
      </c>
      <c r="S40" s="126">
        <v>0.13633000000000001</v>
      </c>
      <c r="T40" s="49">
        <v>3.8818999999999999</v>
      </c>
      <c r="U40" s="135">
        <v>10.984999999999999</v>
      </c>
    </row>
    <row r="42" spans="1:21" x14ac:dyDescent="0.25">
      <c r="A42" t="s">
        <v>43</v>
      </c>
    </row>
    <row r="43" spans="1:21" x14ac:dyDescent="0.25">
      <c r="A43" t="s">
        <v>44</v>
      </c>
    </row>
    <row r="45" spans="1:21" x14ac:dyDescent="0.25">
      <c r="A45" t="s">
        <v>45</v>
      </c>
    </row>
    <row r="47" spans="1:21" x14ac:dyDescent="0.25">
      <c r="A47">
        <v>0</v>
      </c>
    </row>
    <row r="48" spans="1:21" x14ac:dyDescent="0.25">
      <c r="A48">
        <v>-5.0000000000000001E-4</v>
      </c>
    </row>
    <row r="49" spans="1:1" x14ac:dyDescent="0.25">
      <c r="A49">
        <v>-4.02E-2</v>
      </c>
    </row>
    <row r="50" spans="1:1" x14ac:dyDescent="0.25">
      <c r="A50">
        <v>4.4999999999999997E-3</v>
      </c>
    </row>
    <row r="51" spans="1:1" x14ac:dyDescent="0.25">
      <c r="A51">
        <v>-6.7763999999999998</v>
      </c>
    </row>
    <row r="52" spans="1:1" x14ac:dyDescent="0.25">
      <c r="A52">
        <v>4.5141</v>
      </c>
    </row>
    <row r="53" spans="1:1" x14ac:dyDescent="0.25">
      <c r="A53">
        <v>-0.46450000000000002</v>
      </c>
    </row>
    <row r="54" spans="1:1" x14ac:dyDescent="0.25">
      <c r="A54">
        <v>1E-4</v>
      </c>
    </row>
    <row r="55" spans="1:1" x14ac:dyDescent="0.25">
      <c r="A55">
        <v>0.63400000000000001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C6F5-E865-472A-93DB-F1E6ACFECC8D}">
  <dimension ref="A1:V12"/>
  <sheetViews>
    <sheetView zoomScaleNormal="100" workbookViewId="0">
      <selection activeCell="M8" sqref="M8"/>
    </sheetView>
  </sheetViews>
  <sheetFormatPr defaultRowHeight="15" x14ac:dyDescent="0.25"/>
  <cols>
    <col min="1" max="14" width="9.140625" style="1"/>
    <col min="15" max="15" width="11.28515625" style="1" bestFit="1" customWidth="1"/>
    <col min="16" max="16" width="11.85546875" style="1" bestFit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9.140625" style="1"/>
    <col min="23" max="16384" width="9.140625" style="1"/>
  </cols>
  <sheetData>
    <row r="1" spans="1:21" s="1" customFormat="1" x14ac:dyDescent="0.25">
      <c r="A1" s="1" t="s">
        <v>48</v>
      </c>
      <c r="B1" s="1" t="s">
        <v>49</v>
      </c>
      <c r="H1" s="116" t="s">
        <v>54</v>
      </c>
    </row>
    <row r="2" spans="1:21" s="1" customFormat="1" x14ac:dyDescent="0.25">
      <c r="B2" s="1" t="s">
        <v>50</v>
      </c>
      <c r="C2" s="1" t="s">
        <v>55</v>
      </c>
    </row>
    <row r="3" spans="1:21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1" s="1" customFormat="1" ht="15.75" thickBot="1" x14ac:dyDescent="0.3">
      <c r="A4" s="11" t="s">
        <v>0</v>
      </c>
      <c r="B4" s="22" t="s">
        <v>32</v>
      </c>
      <c r="C4" s="23" t="s">
        <v>33</v>
      </c>
      <c r="D4" s="14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49" t="s">
        <v>4</v>
      </c>
      <c r="M4" s="129" t="s">
        <v>35</v>
      </c>
      <c r="N4" s="130" t="s">
        <v>51</v>
      </c>
      <c r="O4" s="131" t="s">
        <v>53</v>
      </c>
      <c r="P4" s="116" t="s">
        <v>56</v>
      </c>
      <c r="R4" s="129" t="s">
        <v>35</v>
      </c>
      <c r="S4" s="130" t="s">
        <v>36</v>
      </c>
      <c r="T4" s="131" t="s">
        <v>53</v>
      </c>
      <c r="U4" s="116" t="s">
        <v>57</v>
      </c>
    </row>
    <row r="5" spans="1:21" s="1" customFormat="1" x14ac:dyDescent="0.25">
      <c r="A5" s="16" t="s">
        <v>7</v>
      </c>
      <c r="B5" s="51">
        <v>0</v>
      </c>
      <c r="C5" s="58">
        <v>0.16666666666666666</v>
      </c>
      <c r="D5" s="1">
        <f>B5/C5</f>
        <v>0</v>
      </c>
      <c r="E5" s="46">
        <v>0.64120999999999995</v>
      </c>
      <c r="F5" s="3">
        <v>548.01</v>
      </c>
      <c r="G5" s="3">
        <v>20.664000000000001</v>
      </c>
      <c r="H5" s="47">
        <v>-59.043999999999997</v>
      </c>
      <c r="I5" s="139">
        <v>0.61463999999999996</v>
      </c>
      <c r="J5" s="132">
        <v>-1837.9</v>
      </c>
      <c r="K5" s="132">
        <v>-55.512999999999998</v>
      </c>
      <c r="L5" s="140">
        <v>-52.014000000000003</v>
      </c>
      <c r="M5" s="46">
        <f t="shared" ref="M5:M12" si="0">(E5 +F5*(B5/C5))</f>
        <v>0.64120999999999995</v>
      </c>
      <c r="N5" s="3">
        <f t="shared" ref="N5:N12" si="1">(G5*(B5/C5)) +H5</f>
        <v>-59.043999999999997</v>
      </c>
      <c r="O5" s="47">
        <f>F5*D5</f>
        <v>0</v>
      </c>
      <c r="P5" s="1">
        <f>G5*D5</f>
        <v>0</v>
      </c>
      <c r="R5" s="46">
        <f t="shared" ref="R5:R12" si="2">I5+J5*(B5/C5)</f>
        <v>0.61463999999999996</v>
      </c>
      <c r="S5" s="3">
        <f t="shared" ref="S5:S12" si="3">K5*(B5/C5) +L5</f>
        <v>-52.014000000000003</v>
      </c>
      <c r="T5" s="47">
        <f t="shared" ref="T5:T12" si="4">J5*D5</f>
        <v>0</v>
      </c>
      <c r="U5" s="1">
        <f t="shared" ref="U5:U12" si="5">D5*K5</f>
        <v>0</v>
      </c>
    </row>
    <row r="6" spans="1:21" s="1" customFormat="1" x14ac:dyDescent="0.25">
      <c r="A6" s="13"/>
      <c r="B6" s="52">
        <v>3.3333333333333361E-2</v>
      </c>
      <c r="C6" s="54">
        <v>0.16666666666666666</v>
      </c>
      <c r="D6" s="1">
        <f t="shared" ref="D6:D8" si="6">B6/C6</f>
        <v>0.20000000000000018</v>
      </c>
      <c r="E6" s="46">
        <v>24.292999999999999</v>
      </c>
      <c r="F6" s="3">
        <v>-118.24</v>
      </c>
      <c r="G6" s="3">
        <v>-66.628</v>
      </c>
      <c r="H6" s="47">
        <v>-117.41</v>
      </c>
      <c r="I6" s="121">
        <v>23.495999999999999</v>
      </c>
      <c r="J6" s="117">
        <v>-114.49</v>
      </c>
      <c r="K6" s="117">
        <v>26.699000000000002</v>
      </c>
      <c r="L6" s="122">
        <v>-111.58</v>
      </c>
      <c r="M6" s="46">
        <f t="shared" si="0"/>
        <v>0.64499999999997826</v>
      </c>
      <c r="N6" s="3">
        <f t="shared" si="1"/>
        <v>-130.73560000000001</v>
      </c>
      <c r="O6" s="47">
        <f t="shared" ref="O6:O12" si="7">F6*D6</f>
        <v>-23.648000000000021</v>
      </c>
      <c r="P6" s="1">
        <f t="shared" ref="P6:P12" si="8">G6*D6</f>
        <v>-13.325600000000012</v>
      </c>
      <c r="R6" s="46">
        <f t="shared" si="2"/>
        <v>0.59799999999997766</v>
      </c>
      <c r="S6" s="3">
        <f t="shared" si="3"/>
        <v>-106.24019999999999</v>
      </c>
      <c r="T6" s="47">
        <f t="shared" si="4"/>
        <v>-22.898000000000021</v>
      </c>
      <c r="U6" s="1">
        <f t="shared" si="5"/>
        <v>5.3398000000000048</v>
      </c>
    </row>
    <row r="7" spans="1:21" s="1" customFormat="1" x14ac:dyDescent="0.25">
      <c r="A7" s="13"/>
      <c r="B7" s="52">
        <v>6.6666666666666721E-2</v>
      </c>
      <c r="C7" s="54">
        <v>0.16666666666666666</v>
      </c>
      <c r="D7" s="1">
        <f t="shared" si="6"/>
        <v>0.40000000000000036</v>
      </c>
      <c r="E7" s="46">
        <v>19.125</v>
      </c>
      <c r="F7" s="3">
        <v>-46.34</v>
      </c>
      <c r="G7" s="3">
        <v>-10.643000000000001</v>
      </c>
      <c r="H7" s="47">
        <v>-190.54</v>
      </c>
      <c r="I7" s="121">
        <v>15.794</v>
      </c>
      <c r="J7" s="117">
        <v>-38.101999999999997</v>
      </c>
      <c r="K7" s="117">
        <v>32.927999999999997</v>
      </c>
      <c r="L7" s="122">
        <v>-178.83</v>
      </c>
      <c r="M7" s="46">
        <f t="shared" si="0"/>
        <v>0.58899999999998087</v>
      </c>
      <c r="N7" s="3">
        <f t="shared" si="1"/>
        <v>-194.7972</v>
      </c>
      <c r="O7" s="47">
        <f t="shared" si="7"/>
        <v>-18.536000000000019</v>
      </c>
      <c r="P7" s="1">
        <f t="shared" si="8"/>
        <v>-4.2572000000000036</v>
      </c>
      <c r="R7" s="46">
        <f t="shared" si="2"/>
        <v>0.55319999999998792</v>
      </c>
      <c r="S7" s="3">
        <f t="shared" si="3"/>
        <v>-165.65880000000001</v>
      </c>
      <c r="T7" s="47">
        <f t="shared" si="4"/>
        <v>-15.240800000000013</v>
      </c>
      <c r="U7" s="1">
        <f t="shared" si="5"/>
        <v>13.171200000000011</v>
      </c>
    </row>
    <row r="8" spans="1:21" s="1" customFormat="1" ht="15.75" thickBot="1" x14ac:dyDescent="0.3">
      <c r="A8" s="13"/>
      <c r="B8" s="52">
        <v>9.9999999999999936E-2</v>
      </c>
      <c r="C8" s="54">
        <v>0.16666666666666666</v>
      </c>
      <c r="D8" s="1">
        <f t="shared" si="6"/>
        <v>0.59999999999999964</v>
      </c>
      <c r="E8" s="48">
        <v>42.38</v>
      </c>
      <c r="F8" s="49">
        <v>-69.739999999999995</v>
      </c>
      <c r="G8" s="49">
        <v>-93.899000000000001</v>
      </c>
      <c r="H8" s="50">
        <v>-175.03</v>
      </c>
      <c r="I8" s="125">
        <v>48.305999999999997</v>
      </c>
      <c r="J8" s="126">
        <v>-79.795000000000002</v>
      </c>
      <c r="K8" s="126">
        <v>-70.441000000000003</v>
      </c>
      <c r="L8" s="142">
        <v>-119.43</v>
      </c>
      <c r="M8" s="48">
        <f t="shared" si="0"/>
        <v>0.53600000000002979</v>
      </c>
      <c r="N8" s="49">
        <f t="shared" si="1"/>
        <v>-231.36939999999998</v>
      </c>
      <c r="O8" s="50">
        <f t="shared" si="7"/>
        <v>-41.843999999999973</v>
      </c>
      <c r="P8" s="1">
        <f t="shared" si="8"/>
        <v>-56.339399999999969</v>
      </c>
      <c r="R8" s="48">
        <f t="shared" si="2"/>
        <v>0.42900000000002336</v>
      </c>
      <c r="S8" s="49">
        <f t="shared" si="3"/>
        <v>-161.69459999999998</v>
      </c>
      <c r="T8" s="50">
        <f t="shared" si="4"/>
        <v>-47.876999999999974</v>
      </c>
      <c r="U8" s="1">
        <f t="shared" si="5"/>
        <v>-42.264599999999973</v>
      </c>
    </row>
    <row r="9" spans="1:21" x14ac:dyDescent="0.25">
      <c r="A9" s="43" t="s">
        <v>9</v>
      </c>
      <c r="B9" s="44">
        <v>0</v>
      </c>
      <c r="C9" s="44">
        <v>0.15175097276264587</v>
      </c>
      <c r="D9" s="45">
        <f>B9/C9</f>
        <v>0</v>
      </c>
      <c r="E9" s="143">
        <v>0.68927000000000005</v>
      </c>
      <c r="F9" s="144">
        <v>-189.64</v>
      </c>
      <c r="G9" s="144">
        <v>23.157</v>
      </c>
      <c r="H9" s="141">
        <v>-46.625</v>
      </c>
      <c r="I9" s="43">
        <v>0.63105</v>
      </c>
      <c r="J9" s="44">
        <v>-832.77</v>
      </c>
      <c r="K9" s="44">
        <v>-14.773999999999999</v>
      </c>
      <c r="L9" s="45">
        <v>-27.236000000000001</v>
      </c>
      <c r="M9" s="46">
        <f t="shared" si="0"/>
        <v>0.68927000000000005</v>
      </c>
      <c r="N9" s="3">
        <f t="shared" si="1"/>
        <v>-46.625</v>
      </c>
      <c r="O9" s="47">
        <f>F9*D9</f>
        <v>0</v>
      </c>
      <c r="P9" s="1">
        <f>G9*D9</f>
        <v>0</v>
      </c>
      <c r="R9" s="46">
        <f t="shared" si="2"/>
        <v>0.63105</v>
      </c>
      <c r="S9" s="3">
        <f t="shared" si="3"/>
        <v>-27.236000000000001</v>
      </c>
      <c r="T9" s="47">
        <f t="shared" si="4"/>
        <v>0</v>
      </c>
      <c r="U9" s="1">
        <f t="shared" si="5"/>
        <v>0</v>
      </c>
    </row>
    <row r="10" spans="1:21" x14ac:dyDescent="0.25">
      <c r="A10" s="46"/>
      <c r="B10" s="3">
        <v>2.7237354085603085E-2</v>
      </c>
      <c r="C10" s="3">
        <v>0.15175097276264587</v>
      </c>
      <c r="D10" s="47">
        <f t="shared" ref="D10:D12" si="9">B10/C10</f>
        <v>0.17948717948717935</v>
      </c>
      <c r="E10" s="145">
        <v>67.564999999999998</v>
      </c>
      <c r="F10" s="146">
        <v>-372.38</v>
      </c>
      <c r="G10" s="146">
        <v>-33.505000000000003</v>
      </c>
      <c r="H10" s="133">
        <v>-190.26</v>
      </c>
      <c r="I10" s="46">
        <v>29.632000000000001</v>
      </c>
      <c r="J10" s="3">
        <v>-161.38</v>
      </c>
      <c r="K10" s="3">
        <v>-20.74</v>
      </c>
      <c r="L10" s="47">
        <v>-151.35</v>
      </c>
      <c r="M10" s="46">
        <f t="shared" si="0"/>
        <v>0.72756410256415904</v>
      </c>
      <c r="N10" s="3">
        <f t="shared" si="1"/>
        <v>-196.27371794871794</v>
      </c>
      <c r="O10" s="47">
        <f>F10*D10</f>
        <v>-66.837435897435839</v>
      </c>
      <c r="P10" s="1">
        <f t="shared" si="8"/>
        <v>-6.0137179487179449</v>
      </c>
      <c r="R10" s="46">
        <f t="shared" si="2"/>
        <v>0.66635897435899949</v>
      </c>
      <c r="S10" s="3">
        <f t="shared" si="3"/>
        <v>-155.07256410256409</v>
      </c>
      <c r="T10" s="47">
        <f t="shared" si="4"/>
        <v>-28.965641025641002</v>
      </c>
      <c r="U10" s="1">
        <f t="shared" si="5"/>
        <v>-3.7225641025640996</v>
      </c>
    </row>
    <row r="11" spans="1:21" x14ac:dyDescent="0.25">
      <c r="A11" s="46"/>
      <c r="B11" s="3">
        <v>5.8365758754863814E-2</v>
      </c>
      <c r="C11" s="3">
        <v>0.15175097276264587</v>
      </c>
      <c r="D11" s="47">
        <f t="shared" si="9"/>
        <v>0.38461538461538475</v>
      </c>
      <c r="E11" s="145">
        <v>30.625</v>
      </c>
      <c r="F11" s="146">
        <v>-77.831999999999994</v>
      </c>
      <c r="G11" s="146">
        <v>-83.421999999999997</v>
      </c>
      <c r="H11" s="133">
        <v>-212.25</v>
      </c>
      <c r="I11" s="46">
        <v>48.433999999999997</v>
      </c>
      <c r="J11" s="3">
        <v>-124.34</v>
      </c>
      <c r="K11" s="3">
        <v>34.496000000000002</v>
      </c>
      <c r="L11" s="47">
        <v>-203.8</v>
      </c>
      <c r="M11" s="46">
        <f t="shared" si="0"/>
        <v>0.68961538461537586</v>
      </c>
      <c r="N11" s="3">
        <f t="shared" si="1"/>
        <v>-244.33538461538461</v>
      </c>
      <c r="O11" s="47">
        <f t="shared" si="7"/>
        <v>-29.935384615384624</v>
      </c>
      <c r="P11" s="1">
        <f t="shared" si="8"/>
        <v>-32.085384615384626</v>
      </c>
      <c r="R11" s="46">
        <f t="shared" si="2"/>
        <v>0.61092307692305781</v>
      </c>
      <c r="S11" s="3">
        <f t="shared" si="3"/>
        <v>-190.53230769230771</v>
      </c>
      <c r="T11" s="47">
        <f t="shared" si="4"/>
        <v>-47.82307692307694</v>
      </c>
      <c r="U11" s="1">
        <f t="shared" si="5"/>
        <v>13.267692307692313</v>
      </c>
    </row>
    <row r="12" spans="1:21" ht="15.75" thickBot="1" x14ac:dyDescent="0.3">
      <c r="A12" s="48"/>
      <c r="B12" s="49">
        <v>0.12062256809338513</v>
      </c>
      <c r="C12" s="49">
        <v>0.15175097276264587</v>
      </c>
      <c r="D12" s="50">
        <f t="shared" si="9"/>
        <v>0.79487179487179449</v>
      </c>
      <c r="E12" s="147">
        <v>35.777000000000001</v>
      </c>
      <c r="F12" s="148">
        <v>-44.283000000000001</v>
      </c>
      <c r="G12" s="148">
        <v>-42.433</v>
      </c>
      <c r="H12" s="135">
        <v>-264.8</v>
      </c>
      <c r="I12" s="48">
        <v>22.905000000000001</v>
      </c>
      <c r="J12" s="49">
        <v>-28.257000000000001</v>
      </c>
      <c r="K12" s="49">
        <v>-26.331</v>
      </c>
      <c r="L12" s="50">
        <v>-188.91</v>
      </c>
      <c r="M12" s="48">
        <f t="shared" si="0"/>
        <v>0.57769230769232394</v>
      </c>
      <c r="N12" s="49">
        <f t="shared" si="1"/>
        <v>-298.52879487179484</v>
      </c>
      <c r="O12" s="50">
        <f t="shared" si="7"/>
        <v>-35.199307692307677</v>
      </c>
      <c r="P12" s="1">
        <f t="shared" si="8"/>
        <v>-33.728794871794854</v>
      </c>
      <c r="R12" s="48">
        <f t="shared" si="2"/>
        <v>0.44430769230770295</v>
      </c>
      <c r="S12" s="49">
        <f t="shared" si="3"/>
        <v>-209.83976923076921</v>
      </c>
      <c r="T12" s="50">
        <f t="shared" si="4"/>
        <v>-22.460692307692298</v>
      </c>
      <c r="U12" s="1">
        <f t="shared" si="5"/>
        <v>-20.929769230769221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D3D4-20E8-4AEF-807E-2C7CFD9BE0AA}">
  <dimension ref="A1:V11"/>
  <sheetViews>
    <sheetView topLeftCell="A7" zoomScale="115" zoomScaleNormal="115" workbookViewId="0">
      <selection activeCell="A4" sqref="A4:D11"/>
    </sheetView>
  </sheetViews>
  <sheetFormatPr defaultRowHeight="15" x14ac:dyDescent="0.25"/>
  <cols>
    <col min="1" max="1" width="16" style="1" customWidth="1"/>
    <col min="2" max="2" width="12.28515625" style="1" customWidth="1"/>
    <col min="3" max="3" width="21.140625" style="1" customWidth="1"/>
    <col min="4" max="4" width="14.140625" style="1" customWidth="1"/>
    <col min="5" max="14" width="9.140625" style="1"/>
    <col min="15" max="15" width="11.28515625" style="1" bestFit="1" customWidth="1"/>
    <col min="16" max="16" width="13.7109375" style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15.28515625" style="1" customWidth="1"/>
    <col min="23" max="16384" width="9.140625" style="1"/>
  </cols>
  <sheetData>
    <row r="1" spans="1:20" s="1" customFormat="1" x14ac:dyDescent="0.25">
      <c r="A1" s="1" t="s">
        <v>48</v>
      </c>
      <c r="B1" s="1" t="s">
        <v>49</v>
      </c>
      <c r="H1" s="116" t="s">
        <v>54</v>
      </c>
    </row>
    <row r="2" spans="1:20" s="1" customFormat="1" x14ac:dyDescent="0.25">
      <c r="B2" s="1" t="s">
        <v>50</v>
      </c>
      <c r="C2" s="1" t="s">
        <v>55</v>
      </c>
    </row>
    <row r="3" spans="1:20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0" s="1" customFormat="1" ht="15.75" thickBot="1" x14ac:dyDescent="0.3">
      <c r="A4" s="16" t="s">
        <v>0</v>
      </c>
      <c r="B4" s="8" t="s">
        <v>32</v>
      </c>
      <c r="C4" s="10" t="s">
        <v>33</v>
      </c>
      <c r="D4" s="10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36" t="s">
        <v>4</v>
      </c>
      <c r="M4" s="129" t="s">
        <v>35</v>
      </c>
      <c r="N4" s="130" t="s">
        <v>51</v>
      </c>
      <c r="O4" s="130" t="s">
        <v>53</v>
      </c>
      <c r="P4" s="131" t="s">
        <v>56</v>
      </c>
      <c r="Q4" s="130" t="s">
        <v>35</v>
      </c>
      <c r="R4" s="130" t="s">
        <v>36</v>
      </c>
      <c r="S4" s="130" t="s">
        <v>53</v>
      </c>
      <c r="T4" s="131" t="s">
        <v>57</v>
      </c>
    </row>
    <row r="5" spans="1:20" s="1" customFormat="1" x14ac:dyDescent="0.25">
      <c r="A5" s="16" t="s">
        <v>24</v>
      </c>
      <c r="B5" s="46">
        <v>0</v>
      </c>
      <c r="C5" s="54">
        <v>0.24874371859296482</v>
      </c>
      <c r="D5" s="47">
        <f>B5/C5</f>
        <v>0</v>
      </c>
      <c r="E5" s="46">
        <v>2.2906</v>
      </c>
      <c r="F5" s="3">
        <v>1009.5</v>
      </c>
      <c r="G5" s="3">
        <v>-36.643999999999998</v>
      </c>
      <c r="H5" s="47">
        <v>-162.54</v>
      </c>
      <c r="I5" s="139">
        <v>2.2618999999999998</v>
      </c>
      <c r="J5" s="132">
        <v>-1335.1</v>
      </c>
      <c r="K5" s="132">
        <v>-5.7336999999999998</v>
      </c>
      <c r="L5" s="132">
        <v>-153.32</v>
      </c>
      <c r="M5" s="46">
        <f>E5+F5*D5</f>
        <v>2.2906</v>
      </c>
      <c r="N5" s="3">
        <f t="shared" ref="N5:N11" si="0">(G5*(B5/C5)) +H5</f>
        <v>-162.54</v>
      </c>
      <c r="O5" s="3">
        <f>F5*D5</f>
        <v>0</v>
      </c>
      <c r="P5" s="47">
        <f>G5*D5</f>
        <v>0</v>
      </c>
      <c r="Q5" s="3">
        <f>I5+J5*D5</f>
        <v>2.2618999999999998</v>
      </c>
      <c r="R5" s="3">
        <f t="shared" ref="R5:R11" si="1">K5*(B5/C5) +L5</f>
        <v>-153.32</v>
      </c>
      <c r="S5" s="3">
        <f t="shared" ref="S5:S11" si="2">J5*D5</f>
        <v>0</v>
      </c>
      <c r="T5" s="47">
        <f>D5*K5</f>
        <v>0</v>
      </c>
    </row>
    <row r="6" spans="1:20" s="1" customFormat="1" x14ac:dyDescent="0.25">
      <c r="A6" s="13"/>
      <c r="B6" s="46">
        <v>9.0452261306532528E-2</v>
      </c>
      <c r="C6" s="54">
        <v>0.24874371859296482</v>
      </c>
      <c r="D6" s="47">
        <f t="shared" ref="D6:D8" si="3">B6/C6</f>
        <v>0.36363636363636309</v>
      </c>
      <c r="E6" s="46">
        <v>34.093000000000004</v>
      </c>
      <c r="F6" s="3">
        <v>-88.843000000000004</v>
      </c>
      <c r="G6" s="3">
        <v>-69.251999999999995</v>
      </c>
      <c r="H6" s="47">
        <v>-315.47000000000003</v>
      </c>
      <c r="I6" s="121">
        <v>166.95</v>
      </c>
      <c r="J6" s="117">
        <v>-454.33</v>
      </c>
      <c r="K6" s="117">
        <v>-644.94000000000005</v>
      </c>
      <c r="L6" s="117">
        <v>-84.385000000000005</v>
      </c>
      <c r="M6" s="46">
        <f t="shared" ref="M6:M8" si="4">E6+F6*D6</f>
        <v>1.7864545454545961</v>
      </c>
      <c r="N6" s="3">
        <f t="shared" si="0"/>
        <v>-340.65254545454542</v>
      </c>
      <c r="O6" s="3">
        <f t="shared" ref="O6:O8" si="5">F6*D6</f>
        <v>-32.306545454545407</v>
      </c>
      <c r="P6" s="47">
        <f t="shared" ref="P6:P8" si="6">G6*D6</f>
        <v>-25.182545454545416</v>
      </c>
      <c r="Q6" s="3">
        <f t="shared" ref="Q6:Q8" si="7">I6+J6*D6</f>
        <v>1.7390909090911464</v>
      </c>
      <c r="R6" s="3">
        <f t="shared" si="1"/>
        <v>-318.90863636363605</v>
      </c>
      <c r="S6" s="3">
        <f t="shared" si="2"/>
        <v>-165.21090909090884</v>
      </c>
      <c r="T6" s="47">
        <f t="shared" ref="T6:T11" si="8">D6*K6</f>
        <v>-234.52363636363603</v>
      </c>
    </row>
    <row r="7" spans="1:20" s="1" customFormat="1" x14ac:dyDescent="0.25">
      <c r="A7" s="13"/>
      <c r="B7" s="46">
        <v>0.11809045226130643</v>
      </c>
      <c r="C7" s="54">
        <v>0.24874371859296482</v>
      </c>
      <c r="D7" s="47">
        <f t="shared" si="3"/>
        <v>0.47474747474747436</v>
      </c>
      <c r="E7" s="46">
        <v>57.271999999999998</v>
      </c>
      <c r="F7" s="3">
        <v>-117.38</v>
      </c>
      <c r="G7" s="3">
        <v>133.34</v>
      </c>
      <c r="H7" s="47">
        <v>-407.53</v>
      </c>
      <c r="I7" s="121">
        <v>56.927999999999997</v>
      </c>
      <c r="J7" s="117">
        <v>-116.76</v>
      </c>
      <c r="K7" s="117">
        <v>-56.088000000000001</v>
      </c>
      <c r="L7" s="117">
        <v>-292.76</v>
      </c>
      <c r="M7" s="46">
        <f t="shared" si="4"/>
        <v>1.5461414141414593</v>
      </c>
      <c r="N7" s="3">
        <f t="shared" si="0"/>
        <v>-344.22717171717176</v>
      </c>
      <c r="O7" s="3">
        <f t="shared" si="5"/>
        <v>-55.725858585858539</v>
      </c>
      <c r="P7" s="47">
        <f t="shared" si="6"/>
        <v>63.30282828282823</v>
      </c>
      <c r="Q7" s="3">
        <f t="shared" si="7"/>
        <v>1.4964848484848901</v>
      </c>
      <c r="R7" s="3">
        <f t="shared" si="1"/>
        <v>-319.38763636363632</v>
      </c>
      <c r="S7" s="3">
        <f t="shared" si="2"/>
        <v>-55.431515151515107</v>
      </c>
      <c r="T7" s="47">
        <f t="shared" si="8"/>
        <v>-26.627636363636341</v>
      </c>
    </row>
    <row r="8" spans="1:20" s="1" customFormat="1" ht="15.75" thickBot="1" x14ac:dyDescent="0.3">
      <c r="A8" s="19"/>
      <c r="B8" s="48">
        <v>0.17587939698492464</v>
      </c>
      <c r="C8" s="57">
        <v>0.24874371859296482</v>
      </c>
      <c r="D8" s="50">
        <f t="shared" si="3"/>
        <v>0.70707070707070718</v>
      </c>
      <c r="E8" s="46">
        <v>43.637</v>
      </c>
      <c r="F8" s="3">
        <v>-60.151000000000003</v>
      </c>
      <c r="G8" s="3">
        <v>-115.13</v>
      </c>
      <c r="H8" s="47">
        <v>-273.89</v>
      </c>
      <c r="I8" s="121">
        <v>22.745000000000001</v>
      </c>
      <c r="J8" s="117">
        <v>-30.702000000000002</v>
      </c>
      <c r="K8" s="117">
        <v>60.2</v>
      </c>
      <c r="L8" s="117">
        <v>-363.76</v>
      </c>
      <c r="M8" s="46">
        <f t="shared" si="4"/>
        <v>1.1059898989898898</v>
      </c>
      <c r="N8" s="3">
        <f t="shared" si="0"/>
        <v>-355.29505050505048</v>
      </c>
      <c r="O8" s="3">
        <f t="shared" si="5"/>
        <v>-42.531010101010111</v>
      </c>
      <c r="P8" s="47">
        <f t="shared" si="6"/>
        <v>-81.405050505050511</v>
      </c>
      <c r="Q8" s="3">
        <f t="shared" si="7"/>
        <v>1.0365151515151467</v>
      </c>
      <c r="R8" s="3">
        <f t="shared" si="1"/>
        <v>-321.19434343434341</v>
      </c>
      <c r="S8" s="3">
        <f t="shared" si="2"/>
        <v>-21.708484848484854</v>
      </c>
      <c r="T8" s="47">
        <f t="shared" si="8"/>
        <v>42.565656565656575</v>
      </c>
    </row>
    <row r="9" spans="1:20" x14ac:dyDescent="0.25">
      <c r="A9" s="43" t="s">
        <v>20</v>
      </c>
      <c r="B9" s="43">
        <v>0</v>
      </c>
      <c r="C9" s="45">
        <v>0.22448979591836743</v>
      </c>
      <c r="D9" s="45">
        <f>B9/C9</f>
        <v>0</v>
      </c>
      <c r="E9" s="143">
        <v>1.7307999999999999</v>
      </c>
      <c r="F9" s="144">
        <v>-1312.2</v>
      </c>
      <c r="G9" s="144">
        <v>3.8919000000000001</v>
      </c>
      <c r="H9" s="144">
        <v>-120.17</v>
      </c>
      <c r="I9" s="44">
        <v>1.6816</v>
      </c>
      <c r="J9" s="44">
        <v>685.2</v>
      </c>
      <c r="K9" s="44">
        <v>81.186000000000007</v>
      </c>
      <c r="L9" s="44">
        <v>-117.83</v>
      </c>
      <c r="M9" s="43">
        <f>E9+F9*D9</f>
        <v>1.7307999999999999</v>
      </c>
      <c r="N9" s="44">
        <f t="shared" si="0"/>
        <v>-120.17</v>
      </c>
      <c r="O9" s="44">
        <f>F9*D9</f>
        <v>0</v>
      </c>
      <c r="P9" s="45">
        <f>G9*D9</f>
        <v>0</v>
      </c>
      <c r="Q9" s="44">
        <f>I9+J9*D9</f>
        <v>1.6816</v>
      </c>
      <c r="R9" s="44">
        <f t="shared" si="1"/>
        <v>-117.83</v>
      </c>
      <c r="S9" s="44">
        <f t="shared" si="2"/>
        <v>0</v>
      </c>
      <c r="T9" s="45">
        <f>D9*K9</f>
        <v>0</v>
      </c>
    </row>
    <row r="10" spans="1:20" x14ac:dyDescent="0.25">
      <c r="A10" s="46"/>
      <c r="B10" s="46">
        <v>0.13265306122448986</v>
      </c>
      <c r="C10" s="47">
        <v>0.22448979591836743</v>
      </c>
      <c r="D10" s="47">
        <f t="shared" ref="D10:D11" si="9">B10/C10</f>
        <v>0.59090909090909094</v>
      </c>
      <c r="E10" s="145">
        <v>204.76</v>
      </c>
      <c r="F10" s="146">
        <v>-345.08</v>
      </c>
      <c r="G10" s="146">
        <v>-905.5</v>
      </c>
      <c r="H10" s="146">
        <v>280.07</v>
      </c>
      <c r="I10" s="3">
        <v>39.610999999999997</v>
      </c>
      <c r="J10" s="3">
        <v>-65.643000000000001</v>
      </c>
      <c r="K10" s="3">
        <v>143.68</v>
      </c>
      <c r="L10" s="3">
        <v>-321</v>
      </c>
      <c r="M10" s="46">
        <f t="shared" ref="M10:M11" si="10">E10+F10*D10</f>
        <v>0.84909090909090423</v>
      </c>
      <c r="N10" s="3">
        <f t="shared" si="0"/>
        <v>-254.99818181818188</v>
      </c>
      <c r="O10" s="3">
        <f t="shared" ref="O10:O11" si="11">F10*D10</f>
        <v>-203.91090909090909</v>
      </c>
      <c r="P10" s="47">
        <f t="shared" ref="P10:P11" si="12">G10*D10</f>
        <v>-535.06818181818187</v>
      </c>
      <c r="Q10" s="3">
        <f t="shared" ref="Q10:Q11" si="13">I10+J10*D10</f>
        <v>0.82195454545453828</v>
      </c>
      <c r="R10" s="3">
        <f t="shared" si="1"/>
        <v>-236.09818181818181</v>
      </c>
      <c r="S10" s="3">
        <f t="shared" si="2"/>
        <v>-38.789045454545459</v>
      </c>
      <c r="T10" s="47">
        <f t="shared" si="8"/>
        <v>84.901818181818186</v>
      </c>
    </row>
    <row r="11" spans="1:20" ht="15.75" thickBot="1" x14ac:dyDescent="0.3">
      <c r="A11" s="48"/>
      <c r="B11" s="48">
        <v>0.20408163265306131</v>
      </c>
      <c r="C11" s="50">
        <v>0.22448979591836743</v>
      </c>
      <c r="D11" s="50">
        <f t="shared" si="9"/>
        <v>0.90909090909090917</v>
      </c>
      <c r="E11" s="147">
        <v>23.972000000000001</v>
      </c>
      <c r="F11" s="148">
        <v>-25.783999999999999</v>
      </c>
      <c r="G11" s="148">
        <v>-108.66</v>
      </c>
      <c r="H11" s="148">
        <v>-157.19</v>
      </c>
      <c r="I11" s="49">
        <v>24.861000000000001</v>
      </c>
      <c r="J11" s="49">
        <v>-26.811</v>
      </c>
      <c r="K11" s="49">
        <v>-112.9</v>
      </c>
      <c r="L11" s="49">
        <v>-122.5</v>
      </c>
      <c r="M11" s="48">
        <f t="shared" si="10"/>
        <v>0.53200000000000003</v>
      </c>
      <c r="N11" s="49">
        <f t="shared" si="0"/>
        <v>-255.97181818181818</v>
      </c>
      <c r="O11" s="49">
        <f t="shared" si="11"/>
        <v>-23.44</v>
      </c>
      <c r="P11" s="50">
        <f t="shared" si="12"/>
        <v>-98.781818181818181</v>
      </c>
      <c r="Q11" s="49">
        <f t="shared" si="13"/>
        <v>0.48736363636363578</v>
      </c>
      <c r="R11" s="49">
        <f t="shared" si="1"/>
        <v>-225.13636363636365</v>
      </c>
      <c r="S11" s="49">
        <f t="shared" si="2"/>
        <v>-24.373636363636365</v>
      </c>
      <c r="T11" s="50">
        <f t="shared" si="8"/>
        <v>-102.63636363636365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C8DD-F0DF-4A26-A7DE-A8B810F3C79B}">
  <dimension ref="A1:V32"/>
  <sheetViews>
    <sheetView zoomScale="71" zoomScaleNormal="71" workbookViewId="0">
      <selection activeCell="U23" sqref="U23"/>
    </sheetView>
  </sheetViews>
  <sheetFormatPr defaultRowHeight="15" x14ac:dyDescent="0.25"/>
  <cols>
    <col min="1" max="1" width="14.28515625" style="1" bestFit="1" customWidth="1"/>
    <col min="2" max="2" width="9.140625" style="1"/>
    <col min="3" max="3" width="29.85546875" style="1" customWidth="1"/>
    <col min="4" max="4" width="13.42578125" style="1" bestFit="1" customWidth="1"/>
    <col min="5" max="6" width="16" style="1" bestFit="1" customWidth="1"/>
    <col min="7" max="12" width="9.140625" style="1"/>
    <col min="13" max="13" width="11.28515625" style="1" customWidth="1"/>
    <col min="14" max="14" width="20.140625" style="1" bestFit="1" customWidth="1"/>
    <col min="15" max="15" width="18.7109375" style="1" bestFit="1" customWidth="1"/>
    <col min="16" max="16384" width="9.140625" style="1"/>
  </cols>
  <sheetData>
    <row r="1" spans="1:22" ht="15.75" thickBot="1" x14ac:dyDescent="0.3">
      <c r="B1" s="1" t="s">
        <v>64</v>
      </c>
      <c r="C1" s="1" t="s">
        <v>65</v>
      </c>
    </row>
    <row r="2" spans="1:22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7" t="s">
        <v>4</v>
      </c>
      <c r="K2" s="137" t="s">
        <v>30</v>
      </c>
      <c r="L2" s="138" t="s">
        <v>31</v>
      </c>
      <c r="M2" s="152" t="s">
        <v>66</v>
      </c>
      <c r="N2" s="137" t="s">
        <v>67</v>
      </c>
      <c r="O2" s="137" t="s">
        <v>68</v>
      </c>
      <c r="P2" s="138" t="s">
        <v>69</v>
      </c>
      <c r="Q2" s="152" t="s">
        <v>47</v>
      </c>
      <c r="R2" s="138" t="s">
        <v>36</v>
      </c>
      <c r="U2" s="1" t="s">
        <v>70</v>
      </c>
      <c r="V2" s="1" t="s">
        <v>71</v>
      </c>
    </row>
    <row r="3" spans="1:22" x14ac:dyDescent="0.25">
      <c r="A3" s="118" t="s">
        <v>7</v>
      </c>
      <c r="B3" s="139">
        <v>12</v>
      </c>
      <c r="C3" s="119">
        <v>0</v>
      </c>
      <c r="D3" s="132">
        <v>0.16666666666666666</v>
      </c>
      <c r="E3" s="132">
        <f>C3/D3</f>
        <v>0</v>
      </c>
      <c r="F3" s="140">
        <f>1-E3</f>
        <v>1</v>
      </c>
      <c r="G3" s="143">
        <v>-3.1513</v>
      </c>
      <c r="H3" s="144">
        <v>-1.4702</v>
      </c>
      <c r="I3" s="144">
        <v>21.434000000000001</v>
      </c>
      <c r="J3" s="144">
        <v>2.0579999999999998</v>
      </c>
      <c r="K3" s="144">
        <v>-3.3062</v>
      </c>
      <c r="L3" s="141">
        <v>-21.427</v>
      </c>
      <c r="M3" s="43">
        <f>H3*B3</f>
        <v>-17.642399999999999</v>
      </c>
      <c r="N3" s="44">
        <f>I3*F3</f>
        <v>21.434000000000001</v>
      </c>
      <c r="O3" s="44">
        <f>J3*F3</f>
        <v>2.0579999999999998</v>
      </c>
      <c r="P3" s="45">
        <f>K3*B3</f>
        <v>-39.674399999999999</v>
      </c>
      <c r="Q3" s="43">
        <f>G3+M3+N3</f>
        <v>0.64030000000000342</v>
      </c>
      <c r="R3" s="45">
        <f>O3+P3+L3</f>
        <v>-59.043399999999998</v>
      </c>
    </row>
    <row r="4" spans="1:22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2.0343</v>
      </c>
      <c r="H4" s="146">
        <v>-1.2816000000000001</v>
      </c>
      <c r="I4" s="146">
        <v>17.488</v>
      </c>
      <c r="J4" s="146">
        <v>0.23400000000000001</v>
      </c>
      <c r="K4" s="146">
        <v>-8.2242999999999995</v>
      </c>
      <c r="L4" s="133">
        <v>-32.225999999999999</v>
      </c>
      <c r="M4" s="46">
        <f t="shared" ref="M4:M32" si="2">H4*B4</f>
        <v>-15.379200000000001</v>
      </c>
      <c r="N4" s="3">
        <f t="shared" ref="N4:N32" si="3">I4*F4</f>
        <v>13.990399999999996</v>
      </c>
      <c r="O4" s="3">
        <f t="shared" ref="O4:O32" si="4">J4*F4</f>
        <v>0.18719999999999998</v>
      </c>
      <c r="P4" s="47">
        <f t="shared" ref="P4:P32" si="5">K4*B4</f>
        <v>-98.691599999999994</v>
      </c>
      <c r="Q4" s="46">
        <f>G4+M4+N4</f>
        <v>0.64549999999999486</v>
      </c>
      <c r="R4" s="47">
        <f t="shared" ref="R4:R32" si="6">O4+P4+L4</f>
        <v>-130.73039999999997</v>
      </c>
    </row>
    <row r="5" spans="1:22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-8.5710999999999995</v>
      </c>
      <c r="H5" s="146">
        <v>0.48348999999999998</v>
      </c>
      <c r="I5" s="146">
        <v>5.5959000000000003</v>
      </c>
      <c r="J5" s="146">
        <v>-7.6981000000000002</v>
      </c>
      <c r="K5" s="146">
        <v>-14.093999999999999</v>
      </c>
      <c r="L5" s="133">
        <v>-21.050999999999998</v>
      </c>
      <c r="M5" s="46">
        <f t="shared" si="2"/>
        <v>5.8018799999999997</v>
      </c>
      <c r="N5" s="3">
        <f t="shared" si="3"/>
        <v>3.3575399999999984</v>
      </c>
      <c r="O5" s="3">
        <f t="shared" si="4"/>
        <v>-4.6188599999999971</v>
      </c>
      <c r="P5" s="47">
        <f t="shared" si="5"/>
        <v>-169.12799999999999</v>
      </c>
      <c r="Q5" s="46">
        <f t="shared" ref="Q5:Q32" si="7">G5+M5+N5</f>
        <v>0.58831999999999862</v>
      </c>
      <c r="R5" s="47">
        <f t="shared" si="6"/>
        <v>-194.79785999999996</v>
      </c>
    </row>
    <row r="6" spans="1:22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-2.2629000000000001</v>
      </c>
      <c r="H6" s="148">
        <v>-1.3673</v>
      </c>
      <c r="I6" s="148">
        <v>48.015999999999998</v>
      </c>
      <c r="J6" s="148">
        <v>-0.71214999999999995</v>
      </c>
      <c r="K6" s="148">
        <v>-18.114000000000001</v>
      </c>
      <c r="L6" s="135">
        <v>-13.718</v>
      </c>
      <c r="M6" s="48">
        <f t="shared" si="2"/>
        <v>-16.407599999999999</v>
      </c>
      <c r="N6" s="49">
        <f t="shared" si="3"/>
        <v>19.206400000000016</v>
      </c>
      <c r="O6" s="49">
        <f t="shared" si="4"/>
        <v>-0.28486000000000022</v>
      </c>
      <c r="P6" s="50">
        <f t="shared" si="5"/>
        <v>-217.36799999999999</v>
      </c>
      <c r="Q6" s="48">
        <f t="shared" si="7"/>
        <v>0.53590000000001936</v>
      </c>
      <c r="R6" s="50">
        <f t="shared" si="6"/>
        <v>-231.37085999999999</v>
      </c>
    </row>
    <row r="7" spans="1:22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>
        <v>-3.1566000000000001</v>
      </c>
      <c r="H7">
        <v>-1.4648000000000001</v>
      </c>
      <c r="I7">
        <v>21.349</v>
      </c>
      <c r="J7">
        <v>2.7381000000000002</v>
      </c>
      <c r="K7">
        <v>-3.0655000000000001</v>
      </c>
      <c r="L7">
        <v>-17.966000000000001</v>
      </c>
      <c r="M7" s="43">
        <f t="shared" si="2"/>
        <v>-17.5776</v>
      </c>
      <c r="N7" s="44">
        <f t="shared" si="3"/>
        <v>21.349</v>
      </c>
      <c r="O7" s="44">
        <f t="shared" si="4"/>
        <v>2.7381000000000002</v>
      </c>
      <c r="P7" s="45">
        <f t="shared" si="5"/>
        <v>-36.786000000000001</v>
      </c>
      <c r="Q7" s="43">
        <f t="shared" si="7"/>
        <v>0.6147999999999989</v>
      </c>
      <c r="R7" s="45">
        <f t="shared" si="6"/>
        <v>-52.0139</v>
      </c>
    </row>
    <row r="8" spans="1:22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>
        <v>-0.62397000000000002</v>
      </c>
      <c r="H8">
        <v>-1.6745000000000001</v>
      </c>
      <c r="I8">
        <v>26.643000000000001</v>
      </c>
      <c r="J8">
        <v>0.13472000000000001</v>
      </c>
      <c r="K8">
        <v>-6.5820999999999996</v>
      </c>
      <c r="L8">
        <v>-27.367999999999999</v>
      </c>
      <c r="M8" s="46">
        <f t="shared" si="2"/>
        <v>-20.094000000000001</v>
      </c>
      <c r="N8" s="3">
        <f t="shared" si="3"/>
        <v>21.314399999999996</v>
      </c>
      <c r="O8" s="3">
        <f t="shared" si="4"/>
        <v>0.10777599999999998</v>
      </c>
      <c r="P8" s="47">
        <f t="shared" si="5"/>
        <v>-78.985199999999992</v>
      </c>
      <c r="Q8" s="46">
        <f t="shared" si="7"/>
        <v>0.59642999999999446</v>
      </c>
      <c r="R8" s="47">
        <f t="shared" si="6"/>
        <v>-106.24542399999999</v>
      </c>
    </row>
    <row r="9" spans="1:22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>
        <v>-16.132999999999999</v>
      </c>
      <c r="H9">
        <v>4.5861999999999998</v>
      </c>
      <c r="I9">
        <v>-63.914999999999999</v>
      </c>
      <c r="J9">
        <v>6.4954000000000001</v>
      </c>
      <c r="K9">
        <v>-13.106</v>
      </c>
      <c r="L9">
        <v>-12.288</v>
      </c>
      <c r="M9" s="46">
        <f t="shared" si="2"/>
        <v>55.034399999999998</v>
      </c>
      <c r="N9" s="3">
        <f t="shared" si="3"/>
        <v>-38.348999999999975</v>
      </c>
      <c r="O9" s="3">
        <f t="shared" si="4"/>
        <v>3.8972399999999978</v>
      </c>
      <c r="P9" s="47">
        <f t="shared" si="5"/>
        <v>-157.27199999999999</v>
      </c>
      <c r="Q9" s="46">
        <f t="shared" si="7"/>
        <v>0.55240000000001999</v>
      </c>
      <c r="R9" s="47">
        <f t="shared" si="6"/>
        <v>-165.66275999999999</v>
      </c>
    </row>
    <row r="10" spans="1:22" ht="15.75" thickBot="1" x14ac:dyDescent="0.3">
      <c r="A10" s="13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>
        <v>-4.7792000000000003</v>
      </c>
      <c r="H10">
        <v>0.63710999999999995</v>
      </c>
      <c r="I10">
        <v>-6.0918999999999999</v>
      </c>
      <c r="J10">
        <v>0.87339999999999995</v>
      </c>
      <c r="K10">
        <v>-10.298999999999999</v>
      </c>
      <c r="L10">
        <v>-38.453000000000003</v>
      </c>
      <c r="M10" s="46">
        <f t="shared" si="2"/>
        <v>7.6453199999999999</v>
      </c>
      <c r="N10" s="3">
        <f t="shared" si="3"/>
        <v>-2.4367600000000023</v>
      </c>
      <c r="O10" s="3">
        <f t="shared" si="4"/>
        <v>0.34936000000000028</v>
      </c>
      <c r="P10" s="47">
        <f t="shared" si="5"/>
        <v>-123.58799999999999</v>
      </c>
      <c r="Q10" s="46">
        <f t="shared" si="7"/>
        <v>0.4293599999999973</v>
      </c>
      <c r="R10" s="47">
        <f t="shared" si="6"/>
        <v>-161.69164000000001</v>
      </c>
    </row>
    <row r="11" spans="1:22" x14ac:dyDescent="0.25">
      <c r="A11" s="139" t="s">
        <v>9</v>
      </c>
      <c r="B11" s="139">
        <v>25.7</v>
      </c>
      <c r="C11" s="132">
        <v>0</v>
      </c>
      <c r="D11" s="132">
        <v>0.15175097276264587</v>
      </c>
      <c r="E11" s="132">
        <f>C11/D11</f>
        <v>0</v>
      </c>
      <c r="F11" s="140">
        <f>1-E11</f>
        <v>1</v>
      </c>
      <c r="G11" s="143">
        <v>-2.8218999999999999</v>
      </c>
      <c r="H11" s="144">
        <v>-0.89036000000000004</v>
      </c>
      <c r="I11" s="144">
        <v>26.393000000000001</v>
      </c>
      <c r="J11" s="144">
        <v>3.7545999999999999</v>
      </c>
      <c r="K11" s="144">
        <v>-0.98248000000000002</v>
      </c>
      <c r="L11" s="141">
        <v>-25.13</v>
      </c>
      <c r="M11" s="43">
        <f t="shared" si="2"/>
        <v>-22.882252000000001</v>
      </c>
      <c r="N11" s="44">
        <f t="shared" si="3"/>
        <v>26.393000000000001</v>
      </c>
      <c r="O11" s="44">
        <f t="shared" si="4"/>
        <v>3.7545999999999999</v>
      </c>
      <c r="P11" s="45">
        <f t="shared" si="5"/>
        <v>-25.249735999999999</v>
      </c>
      <c r="Q11" s="43">
        <f t="shared" si="7"/>
        <v>0.68884800000000013</v>
      </c>
      <c r="R11" s="45">
        <f t="shared" si="6"/>
        <v>-46.625135999999998</v>
      </c>
    </row>
    <row r="12" spans="1:22" x14ac:dyDescent="0.25">
      <c r="A12" s="121" t="s">
        <v>60</v>
      </c>
      <c r="B12" s="121">
        <v>25.7</v>
      </c>
      <c r="C12" s="117">
        <v>2.7237354085603085E-2</v>
      </c>
      <c r="D12" s="117">
        <v>0.15175097276264587</v>
      </c>
      <c r="E12" s="117">
        <f t="shared" ref="E12:E14" si="8">C12/D12</f>
        <v>0.17948717948717935</v>
      </c>
      <c r="F12" s="122">
        <f>1-E12</f>
        <v>0.82051282051282071</v>
      </c>
      <c r="G12" s="145">
        <v>-8.1210000000000004E-2</v>
      </c>
      <c r="H12" s="146">
        <v>-0.51929999999999998</v>
      </c>
      <c r="I12" s="146">
        <v>17.251999999999999</v>
      </c>
      <c r="J12" s="146">
        <v>1.9074</v>
      </c>
      <c r="K12" s="146">
        <v>-6.5522</v>
      </c>
      <c r="L12" s="133">
        <v>-29.446999999999999</v>
      </c>
      <c r="M12" s="46">
        <f t="shared" si="2"/>
        <v>-13.34601</v>
      </c>
      <c r="N12" s="3">
        <f t="shared" si="3"/>
        <v>14.155487179487181</v>
      </c>
      <c r="O12" s="3">
        <f t="shared" si="4"/>
        <v>1.5650461538461542</v>
      </c>
      <c r="P12" s="47">
        <f t="shared" si="5"/>
        <v>-168.39153999999999</v>
      </c>
      <c r="Q12" s="46">
        <f t="shared" si="7"/>
        <v>0.72826717948718134</v>
      </c>
      <c r="R12" s="47">
        <f t="shared" si="6"/>
        <v>-196.27349384615383</v>
      </c>
    </row>
    <row r="13" spans="1:22" x14ac:dyDescent="0.25">
      <c r="A13" s="121"/>
      <c r="B13" s="121">
        <v>25.7</v>
      </c>
      <c r="C13" s="117">
        <v>5.8365758754863814E-2</v>
      </c>
      <c r="D13" s="117">
        <v>0.15175097276264587</v>
      </c>
      <c r="E13" s="117">
        <f t="shared" si="8"/>
        <v>0.38461538461538475</v>
      </c>
      <c r="F13" s="122">
        <f>1-E13</f>
        <v>0.6153846153846152</v>
      </c>
      <c r="G13" s="145">
        <v>-5.6303000000000001</v>
      </c>
      <c r="H13" s="146">
        <v>1.9694E-2</v>
      </c>
      <c r="I13" s="146">
        <v>9.4478000000000009</v>
      </c>
      <c r="J13" s="146">
        <v>4.8841000000000001</v>
      </c>
      <c r="K13" s="146">
        <v>-9.8353000000000002</v>
      </c>
      <c r="L13" s="133">
        <v>5.4269999999999996</v>
      </c>
      <c r="M13" s="46">
        <f t="shared" si="2"/>
        <v>0.50613580000000002</v>
      </c>
      <c r="N13" s="3">
        <f t="shared" si="3"/>
        <v>5.8140307692307678</v>
      </c>
      <c r="O13" s="3">
        <f t="shared" si="4"/>
        <v>3.0055999999999989</v>
      </c>
      <c r="P13" s="47">
        <f t="shared" si="5"/>
        <v>-252.76721000000001</v>
      </c>
      <c r="Q13" s="46">
        <f t="shared" si="7"/>
        <v>0.68986656923076772</v>
      </c>
      <c r="R13" s="47">
        <f t="shared" si="6"/>
        <v>-244.33461000000003</v>
      </c>
    </row>
    <row r="14" spans="1:22" ht="15.75" thickBot="1" x14ac:dyDescent="0.3">
      <c r="A14" s="125"/>
      <c r="B14" s="121">
        <v>25.7</v>
      </c>
      <c r="C14" s="117">
        <v>0.12062256809338513</v>
      </c>
      <c r="D14" s="117">
        <v>0.15175097276264587</v>
      </c>
      <c r="E14" s="117">
        <f t="shared" si="8"/>
        <v>0.79487179487179449</v>
      </c>
      <c r="F14" s="122">
        <f>1-E14</f>
        <v>0.20512820512820551</v>
      </c>
      <c r="G14" s="147">
        <v>0.61597999999999997</v>
      </c>
      <c r="H14" s="148">
        <v>1.9602000000000001E-2</v>
      </c>
      <c r="I14" s="148">
        <v>-2.6423999999999999</v>
      </c>
      <c r="J14" s="148">
        <v>5.6062000000000001E-2</v>
      </c>
      <c r="K14" s="148">
        <v>-9.6553000000000004</v>
      </c>
      <c r="L14" s="135">
        <v>-50.4</v>
      </c>
      <c r="M14" s="46">
        <f t="shared" si="2"/>
        <v>0.50377139999999998</v>
      </c>
      <c r="N14" s="3">
        <f t="shared" si="3"/>
        <v>-0.5420307692307702</v>
      </c>
      <c r="O14" s="3">
        <f t="shared" si="4"/>
        <v>1.1499897435897457E-2</v>
      </c>
      <c r="P14" s="47">
        <f t="shared" si="5"/>
        <v>-248.14121</v>
      </c>
      <c r="Q14" s="46">
        <f t="shared" si="7"/>
        <v>0.57772063076922975</v>
      </c>
      <c r="R14" s="47">
        <f t="shared" si="6"/>
        <v>-298.52971010256408</v>
      </c>
    </row>
    <row r="15" spans="1:22" x14ac:dyDescent="0.25">
      <c r="A15" s="43" t="s">
        <v>9</v>
      </c>
      <c r="B15" s="43">
        <v>25.7</v>
      </c>
      <c r="C15" s="44">
        <v>0</v>
      </c>
      <c r="D15" s="44">
        <v>0.15175097276264587</v>
      </c>
      <c r="E15" s="44">
        <v>0</v>
      </c>
      <c r="F15" s="45">
        <v>1</v>
      </c>
      <c r="G15">
        <v>-1.302</v>
      </c>
      <c r="H15">
        <v>-1.2163999999999999</v>
      </c>
      <c r="I15">
        <v>33.195</v>
      </c>
      <c r="J15">
        <v>3.0278</v>
      </c>
      <c r="K15">
        <v>-0.26404</v>
      </c>
      <c r="L15">
        <v>-23.478000000000002</v>
      </c>
      <c r="M15" s="43">
        <f t="shared" si="2"/>
        <v>-31.261479999999999</v>
      </c>
      <c r="N15" s="44">
        <f t="shared" si="3"/>
        <v>33.195</v>
      </c>
      <c r="O15" s="44">
        <f t="shared" si="4"/>
        <v>3.0278</v>
      </c>
      <c r="P15" s="45">
        <f t="shared" si="5"/>
        <v>-6.7858279999999995</v>
      </c>
      <c r="Q15" s="43">
        <f t="shared" si="7"/>
        <v>0.63152000000000186</v>
      </c>
      <c r="R15" s="45">
        <f t="shared" si="6"/>
        <v>-27.236028000000001</v>
      </c>
    </row>
    <row r="16" spans="1:22" x14ac:dyDescent="0.25">
      <c r="A16" s="46" t="s">
        <v>61</v>
      </c>
      <c r="B16" s="46">
        <v>25.7</v>
      </c>
      <c r="C16" s="3">
        <v>2.7237354085603085E-2</v>
      </c>
      <c r="D16" s="3">
        <v>0.15175097276264587</v>
      </c>
      <c r="E16" s="3">
        <v>0.17948717948717935</v>
      </c>
      <c r="F16" s="47">
        <v>0.82051282051282071</v>
      </c>
      <c r="G16">
        <v>-1.6412</v>
      </c>
      <c r="H16">
        <v>-0.90307000000000004</v>
      </c>
      <c r="I16">
        <v>31.097999999999999</v>
      </c>
      <c r="J16">
        <v>1.8141</v>
      </c>
      <c r="K16">
        <v>-5.3407</v>
      </c>
      <c r="L16">
        <v>-19.303000000000001</v>
      </c>
      <c r="M16" s="46">
        <f t="shared" si="2"/>
        <v>-23.208898999999999</v>
      </c>
      <c r="N16" s="3">
        <f t="shared" si="3"/>
        <v>25.516307692307699</v>
      </c>
      <c r="O16" s="3">
        <f t="shared" si="4"/>
        <v>1.488492307692308</v>
      </c>
      <c r="P16" s="47">
        <f t="shared" si="5"/>
        <v>-137.25599</v>
      </c>
      <c r="Q16" s="46">
        <f t="shared" si="7"/>
        <v>0.66620869230769841</v>
      </c>
      <c r="R16" s="47">
        <f t="shared" si="6"/>
        <v>-155.0704976923077</v>
      </c>
    </row>
    <row r="17" spans="1:18" x14ac:dyDescent="0.25">
      <c r="A17" s="46"/>
      <c r="B17" s="46">
        <v>25.7</v>
      </c>
      <c r="C17" s="3">
        <v>5.8365758754863814E-2</v>
      </c>
      <c r="D17" s="3">
        <v>0.15175097276264587</v>
      </c>
      <c r="E17" s="3">
        <v>0.38461538461538475</v>
      </c>
      <c r="F17" s="47">
        <v>0.6153846153846152</v>
      </c>
      <c r="G17">
        <v>-4.4446000000000003</v>
      </c>
      <c r="H17">
        <v>-0.55113999999999996</v>
      </c>
      <c r="I17">
        <v>31.231000000000002</v>
      </c>
      <c r="J17">
        <v>0.42677999999999999</v>
      </c>
      <c r="K17">
        <v>-6.4936999999999996</v>
      </c>
      <c r="L17">
        <v>-23.91</v>
      </c>
      <c r="M17" s="46">
        <f t="shared" si="2"/>
        <v>-14.164297999999999</v>
      </c>
      <c r="N17" s="3">
        <f t="shared" si="3"/>
        <v>19.219076923076919</v>
      </c>
      <c r="O17" s="3">
        <f t="shared" si="4"/>
        <v>0.26263384615384605</v>
      </c>
      <c r="P17" s="47">
        <f t="shared" si="5"/>
        <v>-166.88808999999998</v>
      </c>
      <c r="Q17" s="46">
        <f t="shared" si="7"/>
        <v>0.61017892307691923</v>
      </c>
      <c r="R17" s="47">
        <f t="shared" si="6"/>
        <v>-190.53545615384613</v>
      </c>
    </row>
    <row r="18" spans="1:18" ht="15.75" thickBot="1" x14ac:dyDescent="0.3">
      <c r="A18" s="46"/>
      <c r="B18" s="46">
        <v>25.7</v>
      </c>
      <c r="C18" s="3">
        <v>0.12062256809338513</v>
      </c>
      <c r="D18" s="3">
        <v>0.15175097276264587</v>
      </c>
      <c r="E18" s="3">
        <v>0.79487179487179449</v>
      </c>
      <c r="F18" s="47">
        <v>0.20512820512820551</v>
      </c>
      <c r="G18">
        <v>0.76293</v>
      </c>
      <c r="H18">
        <v>-0.11104</v>
      </c>
      <c r="I18">
        <v>12.359</v>
      </c>
      <c r="J18">
        <v>0.23369999999999999</v>
      </c>
      <c r="K18">
        <v>-6.9581</v>
      </c>
      <c r="L18">
        <v>-31.065000000000001</v>
      </c>
      <c r="M18" s="46">
        <f t="shared" si="2"/>
        <v>-2.8537279999999998</v>
      </c>
      <c r="N18" s="3">
        <f t="shared" si="3"/>
        <v>2.5351794871794917</v>
      </c>
      <c r="O18" s="3">
        <f t="shared" si="4"/>
        <v>4.7938461538461624E-2</v>
      </c>
      <c r="P18" s="47">
        <f t="shared" si="5"/>
        <v>-178.82317</v>
      </c>
      <c r="Q18" s="46">
        <f t="shared" si="7"/>
        <v>0.44438148717949177</v>
      </c>
      <c r="R18" s="47">
        <f t="shared" si="6"/>
        <v>-209.84023153846155</v>
      </c>
    </row>
    <row r="19" spans="1:18" x14ac:dyDescent="0.25">
      <c r="A19" s="139" t="s">
        <v>20</v>
      </c>
      <c r="B19" s="139">
        <v>9.8000000000000007</v>
      </c>
      <c r="C19" s="132">
        <v>0</v>
      </c>
      <c r="D19" s="132">
        <v>0.22448979591836743</v>
      </c>
      <c r="E19" s="132">
        <f>C19/D19</f>
        <v>0</v>
      </c>
      <c r="F19" s="45">
        <f t="shared" ref="F19:F21" si="9">1-E19</f>
        <v>1</v>
      </c>
      <c r="G19" s="44">
        <v>3.9247000000000001</v>
      </c>
      <c r="H19" s="44">
        <v>0.11781</v>
      </c>
      <c r="I19" s="44">
        <v>-3.3485</v>
      </c>
      <c r="J19" s="44">
        <v>3.8317999999999999</v>
      </c>
      <c r="K19" s="44">
        <v>-5.6040000000000001</v>
      </c>
      <c r="L19" s="45">
        <v>-69.084999999999994</v>
      </c>
      <c r="M19" s="43">
        <f t="shared" si="2"/>
        <v>1.1545380000000001</v>
      </c>
      <c r="N19" s="44">
        <f t="shared" si="3"/>
        <v>-3.3485</v>
      </c>
      <c r="O19" s="44">
        <f t="shared" si="4"/>
        <v>3.8317999999999999</v>
      </c>
      <c r="P19" s="45">
        <f t="shared" si="5"/>
        <v>-54.919200000000004</v>
      </c>
      <c r="Q19" s="43">
        <f t="shared" si="7"/>
        <v>1.7307380000000001</v>
      </c>
      <c r="R19" s="45">
        <f t="shared" si="6"/>
        <v>-120.1724</v>
      </c>
    </row>
    <row r="20" spans="1:18" x14ac:dyDescent="0.25">
      <c r="A20" s="121" t="s">
        <v>62</v>
      </c>
      <c r="B20" s="121">
        <v>9.8000000000000007</v>
      </c>
      <c r="C20" s="117">
        <v>0.13265306122448986</v>
      </c>
      <c r="D20" s="117">
        <v>0.22448979591836743</v>
      </c>
      <c r="E20" s="117">
        <f t="shared" ref="E20:E21" si="10">C20/D20</f>
        <v>0.59090909090909094</v>
      </c>
      <c r="F20" s="47">
        <f t="shared" si="9"/>
        <v>0.40909090909090906</v>
      </c>
      <c r="G20" s="3">
        <v>20.199000000000002</v>
      </c>
      <c r="H20" s="3">
        <v>-6.1744000000000003</v>
      </c>
      <c r="I20" s="3">
        <v>100.61</v>
      </c>
      <c r="J20" s="3">
        <v>10.243</v>
      </c>
      <c r="K20" s="3">
        <v>-22.465</v>
      </c>
      <c r="L20" s="47">
        <v>-39.027999999999999</v>
      </c>
      <c r="M20" s="46">
        <f t="shared" si="2"/>
        <v>-60.50912000000001</v>
      </c>
      <c r="N20" s="3">
        <f t="shared" si="3"/>
        <v>41.158636363636361</v>
      </c>
      <c r="O20" s="3">
        <f t="shared" si="4"/>
        <v>4.1903181818181814</v>
      </c>
      <c r="P20" s="47">
        <f t="shared" si="5"/>
        <v>-220.15700000000001</v>
      </c>
      <c r="Q20" s="46">
        <f t="shared" si="7"/>
        <v>0.84851636363634952</v>
      </c>
      <c r="R20" s="47">
        <f t="shared" si="6"/>
        <v>-254.99468181818182</v>
      </c>
    </row>
    <row r="21" spans="1:18" ht="15.75" thickBot="1" x14ac:dyDescent="0.3">
      <c r="A21" s="125"/>
      <c r="B21" s="125">
        <v>9.8000000000000007</v>
      </c>
      <c r="C21" s="126">
        <v>0.20408163265306131</v>
      </c>
      <c r="D21" s="126">
        <v>0.22448979591836743</v>
      </c>
      <c r="E21" s="126">
        <f t="shared" si="10"/>
        <v>0.90909090909090917</v>
      </c>
      <c r="F21" s="50">
        <f t="shared" si="9"/>
        <v>9.0909090909090828E-2</v>
      </c>
      <c r="G21" s="49">
        <v>-33.960999999999999</v>
      </c>
      <c r="H21" s="49">
        <v>6.3426999999999998</v>
      </c>
      <c r="I21" s="49">
        <v>-304.32</v>
      </c>
      <c r="J21" s="49">
        <v>44.543999999999997</v>
      </c>
      <c r="K21" s="49">
        <v>-39.499000000000002</v>
      </c>
      <c r="L21" s="50">
        <v>127.07</v>
      </c>
      <c r="M21" s="48">
        <f t="shared" si="2"/>
        <v>62.158460000000005</v>
      </c>
      <c r="N21" s="49">
        <f t="shared" si="3"/>
        <v>-27.665454545454519</v>
      </c>
      <c r="O21" s="49">
        <f t="shared" si="4"/>
        <v>4.0494545454545419</v>
      </c>
      <c r="P21" s="50">
        <f t="shared" si="5"/>
        <v>-387.09020000000004</v>
      </c>
      <c r="Q21" s="48">
        <f t="shared" si="7"/>
        <v>0.53200545454548731</v>
      </c>
      <c r="R21" s="50">
        <f t="shared" si="6"/>
        <v>-255.97074545454552</v>
      </c>
    </row>
    <row r="22" spans="1:18" x14ac:dyDescent="0.25">
      <c r="A22" s="139" t="s">
        <v>20</v>
      </c>
      <c r="B22" s="121">
        <v>9.8000000000000007</v>
      </c>
      <c r="C22" s="117">
        <v>0</v>
      </c>
      <c r="D22" s="117">
        <v>0.22448979591836743</v>
      </c>
      <c r="E22" s="117">
        <f>C22/D22</f>
        <v>0</v>
      </c>
      <c r="F22" s="47">
        <f t="shared" ref="F22:F32" si="11">1-E22</f>
        <v>1</v>
      </c>
      <c r="G22">
        <v>4.5350999999999999</v>
      </c>
      <c r="H22">
        <v>2.0752999999999999</v>
      </c>
      <c r="I22">
        <v>-23.190999999999999</v>
      </c>
      <c r="J22">
        <v>8.6974999999999998</v>
      </c>
      <c r="K22">
        <v>-9.3848000000000003</v>
      </c>
      <c r="L22">
        <v>-34.557000000000002</v>
      </c>
      <c r="M22" s="46">
        <f t="shared" si="2"/>
        <v>20.33794</v>
      </c>
      <c r="N22" s="3">
        <f t="shared" si="3"/>
        <v>-23.190999999999999</v>
      </c>
      <c r="O22" s="3">
        <f t="shared" si="4"/>
        <v>8.6974999999999998</v>
      </c>
      <c r="P22" s="47">
        <f t="shared" si="5"/>
        <v>-91.971040000000002</v>
      </c>
      <c r="Q22" s="46">
        <f t="shared" si="7"/>
        <v>1.6820400000000006</v>
      </c>
      <c r="R22" s="47">
        <f t="shared" si="6"/>
        <v>-117.83054</v>
      </c>
    </row>
    <row r="23" spans="1:18" x14ac:dyDescent="0.25">
      <c r="A23" s="121" t="s">
        <v>63</v>
      </c>
      <c r="B23" s="121">
        <v>9.8000000000000007</v>
      </c>
      <c r="C23" s="117">
        <v>0.13265306122448986</v>
      </c>
      <c r="D23" s="117">
        <v>0.22448979591836743</v>
      </c>
      <c r="E23" s="117">
        <f t="shared" ref="E23:E24" si="12">C23/D23</f>
        <v>0.59090909090909094</v>
      </c>
      <c r="F23" s="47">
        <f t="shared" si="11"/>
        <v>0.40909090909090906</v>
      </c>
      <c r="G23">
        <v>4.2127999999999997</v>
      </c>
      <c r="H23">
        <v>1.0940000000000001</v>
      </c>
      <c r="I23">
        <v>-34.494999999999997</v>
      </c>
      <c r="J23">
        <v>9.1024999999999991</v>
      </c>
      <c r="K23">
        <v>-18.239000000000001</v>
      </c>
      <c r="L23">
        <v>-61.082999999999998</v>
      </c>
      <c r="M23" s="46">
        <f t="shared" si="2"/>
        <v>10.721200000000001</v>
      </c>
      <c r="N23" s="3">
        <f t="shared" si="3"/>
        <v>-14.111590909090907</v>
      </c>
      <c r="O23" s="3">
        <f t="shared" si="4"/>
        <v>3.7237499999999994</v>
      </c>
      <c r="P23" s="47">
        <f t="shared" si="5"/>
        <v>-178.74220000000003</v>
      </c>
      <c r="Q23" s="46">
        <f t="shared" si="7"/>
        <v>0.82240909090909398</v>
      </c>
      <c r="R23" s="47">
        <f t="shared" si="6"/>
        <v>-236.10145000000003</v>
      </c>
    </row>
    <row r="24" spans="1:18" ht="15.75" thickBot="1" x14ac:dyDescent="0.3">
      <c r="A24" s="125"/>
      <c r="B24" s="125">
        <v>9.8000000000000007</v>
      </c>
      <c r="C24" s="126">
        <v>0.20408163265306131</v>
      </c>
      <c r="D24" s="126">
        <v>0.22448979591836743</v>
      </c>
      <c r="E24" s="126">
        <f t="shared" si="12"/>
        <v>0.90909090909090917</v>
      </c>
      <c r="F24" s="50">
        <f t="shared" si="11"/>
        <v>9.0909090909090828E-2</v>
      </c>
      <c r="G24">
        <v>16.004000000000001</v>
      </c>
      <c r="H24">
        <v>-3.6345000000000001</v>
      </c>
      <c r="I24">
        <v>221.13</v>
      </c>
      <c r="J24">
        <v>-41.776000000000003</v>
      </c>
      <c r="K24">
        <v>-10.234999999999999</v>
      </c>
      <c r="L24">
        <v>-121.03</v>
      </c>
      <c r="M24" s="48">
        <f t="shared" si="2"/>
        <v>-35.618100000000005</v>
      </c>
      <c r="N24" s="49">
        <f t="shared" si="3"/>
        <v>20.102727272727254</v>
      </c>
      <c r="O24" s="49">
        <f t="shared" si="4"/>
        <v>-3.7978181818181787</v>
      </c>
      <c r="P24" s="50">
        <f t="shared" si="5"/>
        <v>-100.303</v>
      </c>
      <c r="Q24" s="48">
        <f t="shared" si="7"/>
        <v>0.48862727272724982</v>
      </c>
      <c r="R24" s="50">
        <f t="shared" si="6"/>
        <v>-225.13081818181817</v>
      </c>
    </row>
    <row r="25" spans="1:18" x14ac:dyDescent="0.25">
      <c r="A25" s="118" t="s">
        <v>24</v>
      </c>
      <c r="B25" s="121">
        <v>39.799999999999997</v>
      </c>
      <c r="C25" s="117">
        <v>0</v>
      </c>
      <c r="D25" s="117">
        <v>0.24874371859296482</v>
      </c>
      <c r="E25" s="117">
        <f>C25/D25</f>
        <v>0</v>
      </c>
      <c r="F25" s="47">
        <f t="shared" si="11"/>
        <v>1</v>
      </c>
      <c r="G25" s="143">
        <v>-3.3788</v>
      </c>
      <c r="H25" s="144">
        <v>-0.53859999999999997</v>
      </c>
      <c r="I25" s="144">
        <v>27.106000000000002</v>
      </c>
      <c r="J25" s="144">
        <v>2.2614999999999998</v>
      </c>
      <c r="K25" s="144">
        <v>-3.6091000000000002</v>
      </c>
      <c r="L25" s="141">
        <v>-21.164000000000001</v>
      </c>
      <c r="M25" s="46">
        <f t="shared" si="2"/>
        <v>-21.436279999999996</v>
      </c>
      <c r="N25" s="3">
        <f t="shared" si="3"/>
        <v>27.106000000000002</v>
      </c>
      <c r="O25" s="3">
        <f t="shared" si="4"/>
        <v>2.2614999999999998</v>
      </c>
      <c r="P25" s="47">
        <f t="shared" si="5"/>
        <v>-143.64218</v>
      </c>
      <c r="Q25" s="46">
        <f t="shared" si="7"/>
        <v>2.290920000000007</v>
      </c>
      <c r="R25" s="47">
        <f t="shared" si="6"/>
        <v>-162.54467999999997</v>
      </c>
    </row>
    <row r="26" spans="1:18" x14ac:dyDescent="0.25">
      <c r="A26" s="124" t="s">
        <v>62</v>
      </c>
      <c r="B26" s="121">
        <v>39.799999999999997</v>
      </c>
      <c r="C26" s="117">
        <v>9.0452261306532528E-2</v>
      </c>
      <c r="D26" s="117">
        <v>0.24874371859296482</v>
      </c>
      <c r="E26" s="117">
        <f t="shared" ref="E26:E28" si="13">C26/D26</f>
        <v>0.36363636363636309</v>
      </c>
      <c r="F26" s="47">
        <f t="shared" si="11"/>
        <v>0.63636363636363691</v>
      </c>
      <c r="G26" s="145">
        <v>-3.4005999999999998</v>
      </c>
      <c r="H26" s="146">
        <v>-0.27254</v>
      </c>
      <c r="I26" s="146">
        <v>25.196999999999999</v>
      </c>
      <c r="J26" s="146">
        <v>2.7572999999999999</v>
      </c>
      <c r="K26" s="146">
        <v>-8.7163000000000004</v>
      </c>
      <c r="L26" s="133">
        <v>4.5014000000000003</v>
      </c>
      <c r="M26" s="46">
        <f t="shared" si="2"/>
        <v>-10.847092</v>
      </c>
      <c r="N26" s="3">
        <f t="shared" si="3"/>
        <v>16.034454545454558</v>
      </c>
      <c r="O26" s="3">
        <f t="shared" si="4"/>
        <v>1.754645454545456</v>
      </c>
      <c r="P26" s="47">
        <f t="shared" si="5"/>
        <v>-346.90873999999997</v>
      </c>
      <c r="Q26" s="46">
        <f t="shared" si="7"/>
        <v>1.7867625454545575</v>
      </c>
      <c r="R26" s="47">
        <f t="shared" si="6"/>
        <v>-340.65269454545449</v>
      </c>
    </row>
    <row r="27" spans="1:18" x14ac:dyDescent="0.25">
      <c r="A27" s="124"/>
      <c r="B27" s="121">
        <v>39.799999999999997</v>
      </c>
      <c r="C27" s="117">
        <v>0.11809045226130643</v>
      </c>
      <c r="D27" s="117">
        <v>0.24874371859296482</v>
      </c>
      <c r="E27" s="117">
        <f t="shared" si="13"/>
        <v>0.47474747474747436</v>
      </c>
      <c r="F27" s="47">
        <f t="shared" si="11"/>
        <v>0.52525252525252564</v>
      </c>
      <c r="G27" s="145">
        <v>-6.0037000000000003</v>
      </c>
      <c r="H27" s="146">
        <v>9.5831E-2</v>
      </c>
      <c r="I27" s="146">
        <v>7.1143000000000001</v>
      </c>
      <c r="J27" s="146">
        <v>0.34377000000000002</v>
      </c>
      <c r="K27" s="146">
        <v>-7.6281999999999996</v>
      </c>
      <c r="L27" s="133">
        <v>-40.808</v>
      </c>
      <c r="M27" s="46">
        <f t="shared" si="2"/>
        <v>3.8140737999999996</v>
      </c>
      <c r="N27" s="3">
        <f t="shared" si="3"/>
        <v>3.736804040404043</v>
      </c>
      <c r="O27" s="3">
        <f t="shared" si="4"/>
        <v>0.18056606060606076</v>
      </c>
      <c r="P27" s="47">
        <f t="shared" si="5"/>
        <v>-303.60235999999998</v>
      </c>
      <c r="Q27" s="46">
        <f t="shared" si="7"/>
        <v>1.5471778404040424</v>
      </c>
      <c r="R27" s="47">
        <f t="shared" si="6"/>
        <v>-344.22979393939391</v>
      </c>
    </row>
    <row r="28" spans="1:18" ht="15.75" thickBot="1" x14ac:dyDescent="0.3">
      <c r="A28" s="134"/>
      <c r="B28" s="125">
        <v>39.799999999999997</v>
      </c>
      <c r="C28" s="126">
        <v>0.17587939698492464</v>
      </c>
      <c r="D28" s="126">
        <v>0.24874371859296482</v>
      </c>
      <c r="E28" s="126">
        <f t="shared" si="13"/>
        <v>0.70707070707070718</v>
      </c>
      <c r="F28" s="50">
        <f t="shared" si="11"/>
        <v>0.29292929292929282</v>
      </c>
      <c r="G28" s="147">
        <v>-5.0137999999999998</v>
      </c>
      <c r="H28" s="148">
        <v>0.16733999999999999</v>
      </c>
      <c r="I28" s="148">
        <v>-1.8439000000000001</v>
      </c>
      <c r="J28" s="148">
        <v>2.0739999999999998</v>
      </c>
      <c r="K28" s="148">
        <v>-7.4577999999999998</v>
      </c>
      <c r="L28" s="135">
        <v>-59.082999999999998</v>
      </c>
      <c r="M28" s="48">
        <f t="shared" si="2"/>
        <v>6.6601319999999991</v>
      </c>
      <c r="N28" s="49">
        <f t="shared" si="3"/>
        <v>-0.54013232323232307</v>
      </c>
      <c r="O28" s="49">
        <f t="shared" si="4"/>
        <v>0.60753535353535326</v>
      </c>
      <c r="P28" s="50">
        <f t="shared" si="5"/>
        <v>-296.82043999999996</v>
      </c>
      <c r="Q28" s="48">
        <f t="shared" si="7"/>
        <v>1.1061996767676763</v>
      </c>
      <c r="R28" s="50">
        <f t="shared" si="6"/>
        <v>-355.29590464646458</v>
      </c>
    </row>
    <row r="29" spans="1:18" x14ac:dyDescent="0.25">
      <c r="A29" s="118" t="s">
        <v>24</v>
      </c>
      <c r="B29" s="121">
        <v>39.799999999999997</v>
      </c>
      <c r="C29" s="117">
        <v>0</v>
      </c>
      <c r="D29" s="117">
        <v>0.24874371859296482</v>
      </c>
      <c r="E29" s="117">
        <f>C29/D29</f>
        <v>0</v>
      </c>
      <c r="F29" s="47">
        <f t="shared" si="11"/>
        <v>1</v>
      </c>
      <c r="G29" s="146">
        <v>-3.516</v>
      </c>
      <c r="H29" s="146">
        <v>-0.53691</v>
      </c>
      <c r="I29" s="146">
        <v>27.146999999999998</v>
      </c>
      <c r="J29" s="146">
        <v>2.3660000000000001</v>
      </c>
      <c r="K29" s="146">
        <v>-3.2618999999999998</v>
      </c>
      <c r="L29" s="133">
        <v>-25.858000000000001</v>
      </c>
      <c r="M29" s="46">
        <f t="shared" si="2"/>
        <v>-21.369017999999997</v>
      </c>
      <c r="N29" s="3">
        <f t="shared" si="3"/>
        <v>27.146999999999998</v>
      </c>
      <c r="O29" s="3">
        <f t="shared" si="4"/>
        <v>2.3660000000000001</v>
      </c>
      <c r="P29" s="47">
        <f t="shared" si="5"/>
        <v>-129.82361999999998</v>
      </c>
      <c r="Q29" s="46">
        <f t="shared" si="7"/>
        <v>2.2619820000000033</v>
      </c>
      <c r="R29" s="47">
        <f t="shared" si="6"/>
        <v>-153.31561999999997</v>
      </c>
    </row>
    <row r="30" spans="1:18" x14ac:dyDescent="0.25">
      <c r="A30" s="124" t="s">
        <v>63</v>
      </c>
      <c r="B30" s="121">
        <v>39.799999999999997</v>
      </c>
      <c r="C30" s="117">
        <v>9.0452261306532528E-2</v>
      </c>
      <c r="D30" s="117">
        <v>0.24874371859296482</v>
      </c>
      <c r="E30" s="117">
        <f t="shared" ref="E30:E32" si="14">C30/D30</f>
        <v>0.36363636363636309</v>
      </c>
      <c r="F30" s="47">
        <f t="shared" si="11"/>
        <v>0.63636363636363691</v>
      </c>
      <c r="G30" s="146">
        <v>-3.4969999999999999</v>
      </c>
      <c r="H30" s="146">
        <v>-0.2233</v>
      </c>
      <c r="I30" s="146">
        <v>22.199000000000002</v>
      </c>
      <c r="J30" s="146">
        <v>2.2187000000000001</v>
      </c>
      <c r="K30" s="146">
        <v>-7.8217999999999996</v>
      </c>
      <c r="L30" s="133">
        <v>-9.0112000000000005</v>
      </c>
      <c r="M30" s="46">
        <f t="shared" si="2"/>
        <v>-8.88734</v>
      </c>
      <c r="N30" s="3">
        <f t="shared" si="3"/>
        <v>14.126636363636377</v>
      </c>
      <c r="O30" s="3">
        <f t="shared" si="4"/>
        <v>1.4119000000000013</v>
      </c>
      <c r="P30" s="47">
        <f t="shared" si="5"/>
        <v>-311.30763999999994</v>
      </c>
      <c r="Q30" s="46">
        <f t="shared" si="7"/>
        <v>1.7422963636363775</v>
      </c>
      <c r="R30" s="47">
        <f t="shared" si="6"/>
        <v>-318.90693999999991</v>
      </c>
    </row>
    <row r="31" spans="1:18" x14ac:dyDescent="0.25">
      <c r="A31" s="124"/>
      <c r="B31" s="121">
        <v>39.799999999999997</v>
      </c>
      <c r="C31" s="117">
        <v>0.11809045226130643</v>
      </c>
      <c r="D31" s="117">
        <v>0.24874371859296482</v>
      </c>
      <c r="E31" s="117">
        <f t="shared" si="14"/>
        <v>0.47474747474747436</v>
      </c>
      <c r="F31" s="47">
        <f t="shared" si="11"/>
        <v>0.52525252525252564</v>
      </c>
      <c r="G31" s="146">
        <v>-7.1764999999999999</v>
      </c>
      <c r="H31" s="146">
        <v>0.15162999999999999</v>
      </c>
      <c r="I31" s="146">
        <v>5.0218999999999996</v>
      </c>
      <c r="J31" s="146">
        <v>-1.0454000000000001</v>
      </c>
      <c r="K31" s="146">
        <v>-6.7596999999999996</v>
      </c>
      <c r="L31" s="133">
        <v>-49.807000000000002</v>
      </c>
      <c r="M31" s="46">
        <f t="shared" si="2"/>
        <v>6.0348739999999994</v>
      </c>
      <c r="N31" s="3">
        <f t="shared" si="3"/>
        <v>2.6377656565656582</v>
      </c>
      <c r="O31" s="3">
        <f t="shared" si="4"/>
        <v>-0.54909898989899031</v>
      </c>
      <c r="P31" s="47">
        <f t="shared" si="5"/>
        <v>-269.03605999999996</v>
      </c>
      <c r="Q31" s="46">
        <f t="shared" si="7"/>
        <v>1.4961396565656577</v>
      </c>
      <c r="R31" s="47">
        <f t="shared" si="6"/>
        <v>-319.39215898989897</v>
      </c>
    </row>
    <row r="32" spans="1:18" ht="15.75" thickBot="1" x14ac:dyDescent="0.3">
      <c r="A32" s="134"/>
      <c r="B32" s="125">
        <v>39.799999999999997</v>
      </c>
      <c r="C32" s="126">
        <v>0.17587939698492464</v>
      </c>
      <c r="D32" s="126">
        <v>0.24874371859296482</v>
      </c>
      <c r="E32" s="126">
        <f t="shared" si="14"/>
        <v>0.70707070707070718</v>
      </c>
      <c r="F32" s="50">
        <f t="shared" si="11"/>
        <v>0.29292929292929282</v>
      </c>
      <c r="G32" s="148">
        <v>-2.7593000000000001</v>
      </c>
      <c r="H32" s="148">
        <v>-7.1133000000000004E-3</v>
      </c>
      <c r="I32" s="148">
        <v>13.923</v>
      </c>
      <c r="J32" s="148">
        <v>0.26280999999999999</v>
      </c>
      <c r="K32" s="148">
        <v>-7.1802999999999999</v>
      </c>
      <c r="L32" s="135">
        <v>-35.493000000000002</v>
      </c>
      <c r="M32" s="48">
        <f t="shared" si="2"/>
        <v>-0.28310933999999999</v>
      </c>
      <c r="N32" s="49">
        <f t="shared" si="3"/>
        <v>4.0784545454545436</v>
      </c>
      <c r="O32" s="49">
        <f t="shared" si="4"/>
        <v>7.6984747474747442E-2</v>
      </c>
      <c r="P32" s="50">
        <f t="shared" si="5"/>
        <v>-285.77593999999999</v>
      </c>
      <c r="Q32" s="48">
        <f t="shared" si="7"/>
        <v>1.0360452054545437</v>
      </c>
      <c r="R32" s="50">
        <f t="shared" si="6"/>
        <v>-321.19195525252525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5D5D-89A9-40DF-A356-C8084CEB4CBC}">
  <dimension ref="A1:N44"/>
  <sheetViews>
    <sheetView zoomScale="70" zoomScaleNormal="70" workbookViewId="0">
      <selection activeCell="A3" sqref="A3:F6"/>
    </sheetView>
  </sheetViews>
  <sheetFormatPr defaultRowHeight="15" x14ac:dyDescent="0.25"/>
  <cols>
    <col min="1" max="1" width="14.28515625" bestFit="1" customWidth="1"/>
    <col min="6" max="6" width="16" bestFit="1" customWidth="1"/>
  </cols>
  <sheetData>
    <row r="1" spans="1:14" ht="15.75" thickBot="1" x14ac:dyDescent="0.3">
      <c r="A1" t="s">
        <v>13</v>
      </c>
      <c r="B1" t="s">
        <v>72</v>
      </c>
    </row>
    <row r="2" spans="1:14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8" t="s">
        <v>4</v>
      </c>
      <c r="K2" s="153" t="s">
        <v>73</v>
      </c>
      <c r="L2" s="136" t="s">
        <v>74</v>
      </c>
      <c r="M2" s="136" t="s">
        <v>75</v>
      </c>
      <c r="N2" s="149" t="s">
        <v>51</v>
      </c>
    </row>
    <row r="3" spans="1:14" x14ac:dyDescent="0.25">
      <c r="A3" s="154" t="s">
        <v>7</v>
      </c>
      <c r="B3" s="155">
        <v>12</v>
      </c>
      <c r="C3" s="156">
        <v>0</v>
      </c>
      <c r="D3" s="157">
        <v>0.16666666666666666</v>
      </c>
      <c r="E3" s="157">
        <f>C3/D3</f>
        <v>0</v>
      </c>
      <c r="F3" s="158">
        <f>1-E3</f>
        <v>1</v>
      </c>
      <c r="G3" s="159">
        <v>11.680999999999999</v>
      </c>
      <c r="H3" s="160">
        <v>-0.91998000000000002</v>
      </c>
      <c r="I3" s="160">
        <v>-5.8502000000000001</v>
      </c>
      <c r="J3" s="161">
        <v>11.159000000000001</v>
      </c>
      <c r="K3" s="162">
        <f>H3*B3</f>
        <v>-11.039760000000001</v>
      </c>
      <c r="L3" s="163">
        <f>I3*B3</f>
        <v>-70.202399999999997</v>
      </c>
      <c r="M3" s="162">
        <f>G3+K3</f>
        <v>0.64123999999999803</v>
      </c>
      <c r="N3" s="164">
        <f>J3+L3</f>
        <v>-59.043399999999998</v>
      </c>
    </row>
    <row r="4" spans="1:14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27.111999999999998</v>
      </c>
      <c r="H4" s="146">
        <v>-2.2056</v>
      </c>
      <c r="I4" s="146">
        <v>-12.906000000000001</v>
      </c>
      <c r="J4" s="133">
        <v>24.141999999999999</v>
      </c>
      <c r="K4" s="145">
        <f t="shared" ref="K4:K10" si="2">H4*B4</f>
        <v>-26.467199999999998</v>
      </c>
      <c r="L4" s="146">
        <f t="shared" ref="L4:L10" si="3">I4*B4</f>
        <v>-154.87200000000001</v>
      </c>
      <c r="M4" s="145">
        <f t="shared" ref="M4:M10" si="4">G4+K4</f>
        <v>0.64480000000000004</v>
      </c>
      <c r="N4" s="133">
        <f t="shared" ref="N4:N10" si="5">J4+L4</f>
        <v>-130.73000000000002</v>
      </c>
    </row>
    <row r="5" spans="1:14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1.42</v>
      </c>
      <c r="H5" s="146">
        <v>-6.9306000000000006E-2</v>
      </c>
      <c r="I5" s="146">
        <v>-16.908000000000001</v>
      </c>
      <c r="J5" s="133">
        <v>8.0985999999999994</v>
      </c>
      <c r="K5" s="145">
        <f t="shared" si="2"/>
        <v>-0.83167200000000008</v>
      </c>
      <c r="L5" s="146">
        <f t="shared" si="3"/>
        <v>-202.89600000000002</v>
      </c>
      <c r="M5" s="145">
        <f t="shared" si="4"/>
        <v>0.58832799999999985</v>
      </c>
      <c r="N5" s="133">
        <f t="shared" si="5"/>
        <v>-194.79740000000001</v>
      </c>
    </row>
    <row r="6" spans="1:14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3.7778</v>
      </c>
      <c r="H6" s="148">
        <v>-0.27015</v>
      </c>
      <c r="I6" s="148">
        <v>-19.882999999999999</v>
      </c>
      <c r="J6" s="135">
        <v>7.2184999999999997</v>
      </c>
      <c r="K6" s="147">
        <f t="shared" si="2"/>
        <v>-3.2418</v>
      </c>
      <c r="L6" s="148">
        <f t="shared" si="3"/>
        <v>-238.596</v>
      </c>
      <c r="M6" s="147">
        <f t="shared" si="4"/>
        <v>0.53600000000000003</v>
      </c>
      <c r="N6" s="135">
        <f t="shared" si="5"/>
        <v>-231.3775</v>
      </c>
    </row>
    <row r="7" spans="1:14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 s="145">
        <v>-2.3990999999999998</v>
      </c>
      <c r="H7" s="146">
        <v>0.25113999999999997</v>
      </c>
      <c r="I7" s="146">
        <v>-4.6452999999999998</v>
      </c>
      <c r="J7" s="133">
        <v>3.7292000000000001</v>
      </c>
      <c r="K7" s="145">
        <f t="shared" si="2"/>
        <v>3.0136799999999999</v>
      </c>
      <c r="L7" s="146">
        <f t="shared" si="3"/>
        <v>-55.743600000000001</v>
      </c>
      <c r="M7" s="145">
        <f t="shared" si="4"/>
        <v>0.61458000000000013</v>
      </c>
      <c r="N7" s="133">
        <f t="shared" si="5"/>
        <v>-52.014400000000002</v>
      </c>
    </row>
    <row r="8" spans="1:14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 s="145">
        <v>-2.5087000000000002</v>
      </c>
      <c r="H8" s="146">
        <v>0.25879999999999997</v>
      </c>
      <c r="I8" s="146">
        <v>-9.2114999999999991</v>
      </c>
      <c r="J8" s="133">
        <v>4.2931999999999997</v>
      </c>
      <c r="K8" s="145">
        <f t="shared" si="2"/>
        <v>3.1055999999999999</v>
      </c>
      <c r="L8" s="146">
        <f t="shared" si="3"/>
        <v>-110.53799999999998</v>
      </c>
      <c r="M8" s="145">
        <f t="shared" si="4"/>
        <v>0.59689999999999976</v>
      </c>
      <c r="N8" s="133">
        <f t="shared" si="5"/>
        <v>-106.24479999999998</v>
      </c>
    </row>
    <row r="9" spans="1:14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 s="145">
        <v>18.279</v>
      </c>
      <c r="H9" s="146">
        <v>-1.4772000000000001</v>
      </c>
      <c r="I9" s="146">
        <v>-13.965999999999999</v>
      </c>
      <c r="J9" s="133">
        <v>1.9327000000000001</v>
      </c>
      <c r="K9" s="145">
        <f t="shared" si="2"/>
        <v>-17.726400000000002</v>
      </c>
      <c r="L9" s="146">
        <f t="shared" si="3"/>
        <v>-167.59199999999998</v>
      </c>
      <c r="M9" s="145">
        <f t="shared" si="4"/>
        <v>0.5525999999999982</v>
      </c>
      <c r="N9" s="133">
        <f t="shared" si="5"/>
        <v>-165.65929999999997</v>
      </c>
    </row>
    <row r="10" spans="1:14" ht="15.75" thickBot="1" x14ac:dyDescent="0.3">
      <c r="A10" s="12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 s="145">
        <v>3.1560999999999999</v>
      </c>
      <c r="H10" s="146">
        <v>-0.22722999999999999</v>
      </c>
      <c r="I10" s="146">
        <v>-14.113</v>
      </c>
      <c r="J10" s="133">
        <v>7.6561000000000003</v>
      </c>
      <c r="K10" s="145">
        <f t="shared" si="2"/>
        <v>-2.7267599999999996</v>
      </c>
      <c r="L10" s="146">
        <f t="shared" si="3"/>
        <v>-169.35599999999999</v>
      </c>
      <c r="M10" s="145">
        <f t="shared" si="4"/>
        <v>0.42934000000000028</v>
      </c>
      <c r="N10" s="133">
        <f t="shared" si="5"/>
        <v>-161.69989999999999</v>
      </c>
    </row>
    <row r="11" spans="1:14" x14ac:dyDescent="0.25">
      <c r="A11" s="162" t="s">
        <v>8</v>
      </c>
      <c r="B11" s="155">
        <v>22</v>
      </c>
      <c r="C11" s="163">
        <v>0</v>
      </c>
      <c r="D11" s="157">
        <v>0.15909090909090909</v>
      </c>
      <c r="E11" s="163">
        <f>C11/D11</f>
        <v>0</v>
      </c>
      <c r="F11" s="164">
        <f>1-E11</f>
        <v>1</v>
      </c>
      <c r="G11" s="162">
        <v>2.2050000000000001</v>
      </c>
      <c r="H11" s="163">
        <v>-6.8473000000000006E-2</v>
      </c>
      <c r="I11" s="163">
        <v>-2.8546</v>
      </c>
      <c r="J11" s="163">
        <v>4.6985000000000001</v>
      </c>
      <c r="K11" s="162">
        <f>H11*B11</f>
        <v>-1.5064060000000001</v>
      </c>
      <c r="L11" s="163">
        <f>I11*B11</f>
        <v>-62.801200000000001</v>
      </c>
      <c r="M11" s="162">
        <f>G11+K11</f>
        <v>0.69859399999999994</v>
      </c>
      <c r="N11" s="164">
        <f>J11+L11</f>
        <v>-58.102699999999999</v>
      </c>
    </row>
    <row r="12" spans="1:14" x14ac:dyDescent="0.25">
      <c r="A12" s="124" t="s">
        <v>60</v>
      </c>
      <c r="B12" s="121">
        <v>22</v>
      </c>
      <c r="C12" s="146">
        <v>6.8181818181818177E-2</v>
      </c>
      <c r="D12" s="3">
        <v>0.15909090909090909</v>
      </c>
      <c r="E12" s="146">
        <f>C12/D12</f>
        <v>0.42857142857142855</v>
      </c>
      <c r="F12" s="133">
        <f>1-E12</f>
        <v>0.5714285714285714</v>
      </c>
      <c r="G12" s="145">
        <v>0.87246999999999997</v>
      </c>
      <c r="H12" s="146">
        <v>-8.8771000000000006E-3</v>
      </c>
      <c r="I12" s="146">
        <v>-12.287000000000001</v>
      </c>
      <c r="J12" s="146">
        <v>0.98575999999999997</v>
      </c>
      <c r="K12" s="145">
        <f t="shared" ref="K12:K16" si="6">H12*B12</f>
        <v>-0.1952962</v>
      </c>
      <c r="L12" s="146">
        <f t="shared" ref="L12:L16" si="7">I12*B12</f>
        <v>-270.31400000000002</v>
      </c>
      <c r="M12" s="145">
        <f t="shared" ref="M12:M16" si="8">G12+K12</f>
        <v>0.67717379999999994</v>
      </c>
      <c r="N12" s="133">
        <f t="shared" ref="N12:N16" si="9">J12+L12</f>
        <v>-269.32823999999999</v>
      </c>
    </row>
    <row r="13" spans="1:14" ht="15.75" thickBot="1" x14ac:dyDescent="0.3">
      <c r="A13" s="145"/>
      <c r="B13" s="125">
        <v>22</v>
      </c>
      <c r="C13" s="148">
        <v>0.14090909090909098</v>
      </c>
      <c r="D13" s="49">
        <v>0.15909090909090909</v>
      </c>
      <c r="E13" s="148">
        <f t="shared" ref="E13:E16" si="10">C13/D13</f>
        <v>0.88571428571428623</v>
      </c>
      <c r="F13" s="135">
        <f t="shared" ref="F13:F16" si="11">1-E13</f>
        <v>0.11428571428571377</v>
      </c>
      <c r="G13" s="147">
        <v>3.0539000000000001</v>
      </c>
      <c r="H13" s="148">
        <v>-0.11183</v>
      </c>
      <c r="I13" s="148">
        <v>-15.638999999999999</v>
      </c>
      <c r="J13" s="148">
        <v>7.2130000000000001</v>
      </c>
      <c r="K13" s="147">
        <f t="shared" si="6"/>
        <v>-2.4602599999999999</v>
      </c>
      <c r="L13" s="148">
        <f t="shared" si="7"/>
        <v>-344.05799999999999</v>
      </c>
      <c r="M13" s="147">
        <f t="shared" si="8"/>
        <v>0.59364000000000017</v>
      </c>
      <c r="N13" s="135">
        <f t="shared" si="9"/>
        <v>-336.84499999999997</v>
      </c>
    </row>
    <row r="14" spans="1:14" x14ac:dyDescent="0.25">
      <c r="A14" s="166" t="s">
        <v>8</v>
      </c>
      <c r="B14" s="117">
        <v>22</v>
      </c>
      <c r="C14" s="146">
        <v>0</v>
      </c>
      <c r="D14" s="146">
        <v>0.15909090909090909</v>
      </c>
      <c r="E14" s="146">
        <f t="shared" si="10"/>
        <v>0</v>
      </c>
      <c r="F14" s="133">
        <f t="shared" si="11"/>
        <v>1</v>
      </c>
      <c r="G14" s="143">
        <v>2.4388999999999998</v>
      </c>
      <c r="H14" s="144">
        <v>-8.0893999999999994E-2</v>
      </c>
      <c r="I14" s="144">
        <v>-2.4403000000000001</v>
      </c>
      <c r="J14" s="144">
        <v>5.0412999999999997</v>
      </c>
      <c r="K14" s="143">
        <f t="shared" si="6"/>
        <v>-1.7796679999999998</v>
      </c>
      <c r="L14" s="144">
        <f t="shared" si="7"/>
        <v>-53.686600000000006</v>
      </c>
      <c r="M14" s="143">
        <f t="shared" si="8"/>
        <v>0.65923200000000004</v>
      </c>
      <c r="N14" s="141">
        <f t="shared" si="9"/>
        <v>-48.645300000000006</v>
      </c>
    </row>
    <row r="15" spans="1:14" x14ac:dyDescent="0.25">
      <c r="A15" s="167" t="s">
        <v>61</v>
      </c>
      <c r="B15" s="117">
        <v>22</v>
      </c>
      <c r="C15" s="146">
        <v>6.8181818181818177E-2</v>
      </c>
      <c r="D15" s="146">
        <v>0.15909090909090909</v>
      </c>
      <c r="E15" s="146">
        <f t="shared" si="10"/>
        <v>0.42857142857142855</v>
      </c>
      <c r="F15" s="133">
        <f t="shared" si="11"/>
        <v>0.5714285714285714</v>
      </c>
      <c r="G15" s="145">
        <v>2.4851999999999999</v>
      </c>
      <c r="H15" s="146">
        <v>-8.4999000000000005E-2</v>
      </c>
      <c r="I15" s="146">
        <v>-10.348000000000001</v>
      </c>
      <c r="J15" s="146">
        <v>5.1193</v>
      </c>
      <c r="K15" s="145">
        <f t="shared" si="6"/>
        <v>-1.8699780000000001</v>
      </c>
      <c r="L15" s="146">
        <f t="shared" si="7"/>
        <v>-227.65600000000001</v>
      </c>
      <c r="M15" s="145">
        <f t="shared" si="8"/>
        <v>0.61522199999999971</v>
      </c>
      <c r="N15" s="133">
        <f t="shared" si="9"/>
        <v>-222.5367</v>
      </c>
    </row>
    <row r="16" spans="1:14" ht="15.75" thickBot="1" x14ac:dyDescent="0.3">
      <c r="A16" s="165"/>
      <c r="B16" s="126">
        <v>22</v>
      </c>
      <c r="C16" s="148">
        <v>0.14090909090909098</v>
      </c>
      <c r="D16" s="148">
        <v>0.15909090909090909</v>
      </c>
      <c r="E16" s="146">
        <f t="shared" si="10"/>
        <v>0.88571428571428623</v>
      </c>
      <c r="F16" s="133">
        <f t="shared" si="11"/>
        <v>0.11428571428571377</v>
      </c>
      <c r="G16" s="147">
        <v>0.76458999999999999</v>
      </c>
      <c r="H16" s="148">
        <v>-1.5409000000000001E-2</v>
      </c>
      <c r="I16" s="148">
        <v>-10.337999999999999</v>
      </c>
      <c r="J16" s="148">
        <v>3.8022999999999998</v>
      </c>
      <c r="K16" s="147">
        <f t="shared" si="6"/>
        <v>-0.33899800000000002</v>
      </c>
      <c r="L16" s="148">
        <f t="shared" si="7"/>
        <v>-227.43599999999998</v>
      </c>
      <c r="M16" s="147">
        <f t="shared" si="8"/>
        <v>0.42559199999999997</v>
      </c>
      <c r="N16" s="135">
        <f t="shared" si="9"/>
        <v>-223.63369999999998</v>
      </c>
    </row>
    <row r="17" spans="1:14" x14ac:dyDescent="0.25">
      <c r="A17" s="155" t="s">
        <v>9</v>
      </c>
      <c r="B17" s="155">
        <v>25.7</v>
      </c>
      <c r="C17" s="157">
        <v>0</v>
      </c>
      <c r="D17" s="157">
        <v>0.15175097276264587</v>
      </c>
      <c r="E17" s="157">
        <f>C17/D17</f>
        <v>0</v>
      </c>
      <c r="F17" s="158">
        <f>1-E17</f>
        <v>1</v>
      </c>
      <c r="G17" s="162">
        <v>1.4436</v>
      </c>
      <c r="H17" s="163">
        <v>-2.9350000000000001E-2</v>
      </c>
      <c r="I17" s="163">
        <v>-2.0162</v>
      </c>
      <c r="J17" s="164">
        <v>5.1901000000000002</v>
      </c>
      <c r="K17" s="159">
        <f t="shared" ref="K17:K30" si="12">H17*B17</f>
        <v>-0.75429500000000005</v>
      </c>
      <c r="L17" s="160">
        <f t="shared" ref="L17:L30" si="13">I17*B17</f>
        <v>-51.816339999999997</v>
      </c>
      <c r="M17" s="159">
        <f t="shared" ref="M17:M30" si="14">G17+K17</f>
        <v>0.68930499999999995</v>
      </c>
      <c r="N17" s="161">
        <f t="shared" ref="N17:N30" si="15">J17+L17</f>
        <v>-46.626239999999996</v>
      </c>
    </row>
    <row r="18" spans="1:14" x14ac:dyDescent="0.25">
      <c r="A18" s="121" t="s">
        <v>60</v>
      </c>
      <c r="B18" s="121">
        <v>25.7</v>
      </c>
      <c r="C18" s="117">
        <v>2.7237354085603085E-2</v>
      </c>
      <c r="D18" s="117">
        <v>0.15175097276264587</v>
      </c>
      <c r="E18" s="117">
        <f t="shared" ref="E18:E20" si="16">C18/D18</f>
        <v>0.17948717948717935</v>
      </c>
      <c r="F18" s="122">
        <f>1-E18</f>
        <v>0.82051282051282071</v>
      </c>
      <c r="G18" s="145">
        <v>-0.22536999999999999</v>
      </c>
      <c r="H18" s="146">
        <v>3.7109999999999997E-2</v>
      </c>
      <c r="I18" s="146">
        <v>-7.8137999999999996</v>
      </c>
      <c r="J18" s="133">
        <v>4.5388999999999999</v>
      </c>
      <c r="K18" s="145">
        <f t="shared" si="12"/>
        <v>0.95372699999999988</v>
      </c>
      <c r="L18" s="146">
        <f t="shared" si="13"/>
        <v>-200.81465999999998</v>
      </c>
      <c r="M18" s="145">
        <f t="shared" si="14"/>
        <v>0.72835699999999992</v>
      </c>
      <c r="N18" s="133">
        <f t="shared" si="15"/>
        <v>-196.27575999999996</v>
      </c>
    </row>
    <row r="19" spans="1:14" x14ac:dyDescent="0.25">
      <c r="A19" s="121"/>
      <c r="B19" s="121">
        <v>25.7</v>
      </c>
      <c r="C19" s="117">
        <v>5.8365758754863814E-2</v>
      </c>
      <c r="D19" s="117">
        <v>0.15175097276264587</v>
      </c>
      <c r="E19" s="117">
        <f t="shared" si="16"/>
        <v>0.38461538461538475</v>
      </c>
      <c r="F19" s="122">
        <f>1-E19</f>
        <v>0.6153846153846152</v>
      </c>
      <c r="G19" s="145">
        <v>1.0793999999999999</v>
      </c>
      <c r="H19" s="146">
        <v>-1.5157E-2</v>
      </c>
      <c r="I19" s="146">
        <v>-9.6953999999999994</v>
      </c>
      <c r="J19" s="133">
        <v>4.8343999999999996</v>
      </c>
      <c r="K19" s="145">
        <f t="shared" si="12"/>
        <v>-0.38953490000000002</v>
      </c>
      <c r="L19" s="146">
        <f t="shared" si="13"/>
        <v>-249.17177999999998</v>
      </c>
      <c r="M19" s="145">
        <f t="shared" si="14"/>
        <v>0.6898650999999999</v>
      </c>
      <c r="N19" s="133">
        <f t="shared" si="15"/>
        <v>-244.33738</v>
      </c>
    </row>
    <row r="20" spans="1:14" ht="15.75" thickBot="1" x14ac:dyDescent="0.3">
      <c r="A20" s="125"/>
      <c r="B20" s="121">
        <v>25.7</v>
      </c>
      <c r="C20" s="117">
        <v>0.12062256809338513</v>
      </c>
      <c r="D20" s="117">
        <v>0.15175097276264587</v>
      </c>
      <c r="E20" s="117">
        <f t="shared" si="16"/>
        <v>0.79487179487179449</v>
      </c>
      <c r="F20" s="122">
        <f>1-E20</f>
        <v>0.20512820512820551</v>
      </c>
      <c r="G20" s="147">
        <v>-2.5886</v>
      </c>
      <c r="H20" s="148">
        <v>0.1232</v>
      </c>
      <c r="I20" s="148">
        <v>-11.737</v>
      </c>
      <c r="J20" s="135">
        <v>3.1105999999999998</v>
      </c>
      <c r="K20" s="145">
        <f t="shared" si="12"/>
        <v>3.1662400000000002</v>
      </c>
      <c r="L20" s="146">
        <f t="shared" si="13"/>
        <v>-301.64089999999999</v>
      </c>
      <c r="M20" s="145">
        <f t="shared" si="14"/>
        <v>0.57764000000000015</v>
      </c>
      <c r="N20" s="133">
        <f t="shared" si="15"/>
        <v>-298.53030000000001</v>
      </c>
    </row>
    <row r="21" spans="1:14" x14ac:dyDescent="0.25">
      <c r="A21" s="43" t="s">
        <v>9</v>
      </c>
      <c r="B21" s="43">
        <v>25.7</v>
      </c>
      <c r="C21" s="44">
        <v>0</v>
      </c>
      <c r="D21" s="44">
        <v>0.15175097276264587</v>
      </c>
      <c r="E21" s="44">
        <v>0</v>
      </c>
      <c r="F21" s="45">
        <v>1</v>
      </c>
      <c r="G21" s="145">
        <v>-7.6535000000000002</v>
      </c>
      <c r="H21" s="146">
        <v>0.32235000000000003</v>
      </c>
      <c r="I21" s="146">
        <v>-1.1203000000000001</v>
      </c>
      <c r="J21" s="133">
        <v>1.5567</v>
      </c>
      <c r="K21" s="143">
        <f t="shared" si="12"/>
        <v>8.284395</v>
      </c>
      <c r="L21" s="144">
        <f t="shared" si="13"/>
        <v>-28.791710000000002</v>
      </c>
      <c r="M21" s="143">
        <f t="shared" si="14"/>
        <v>0.63089499999999976</v>
      </c>
      <c r="N21" s="141">
        <f t="shared" si="15"/>
        <v>-27.235010000000003</v>
      </c>
    </row>
    <row r="22" spans="1:14" x14ac:dyDescent="0.25">
      <c r="A22" s="46" t="s">
        <v>61</v>
      </c>
      <c r="B22" s="46">
        <v>25.7</v>
      </c>
      <c r="C22" s="3">
        <v>2.7237354085603085E-2</v>
      </c>
      <c r="D22" s="3">
        <v>0.15175097276264587</v>
      </c>
      <c r="E22" s="3">
        <v>0.17948717948717935</v>
      </c>
      <c r="F22" s="47">
        <v>0.82051282051282071</v>
      </c>
      <c r="G22" s="145">
        <v>-3.5364</v>
      </c>
      <c r="H22" s="146">
        <v>0.16353999999999999</v>
      </c>
      <c r="I22" s="146">
        <v>-6.2187999999999999</v>
      </c>
      <c r="J22" s="133">
        <v>4.7525000000000004</v>
      </c>
      <c r="K22" s="145">
        <f t="shared" si="12"/>
        <v>4.2029779999999999</v>
      </c>
      <c r="L22" s="146">
        <f t="shared" si="13"/>
        <v>-159.82316</v>
      </c>
      <c r="M22" s="145">
        <f t="shared" si="14"/>
        <v>0.66657799999999989</v>
      </c>
      <c r="N22" s="133">
        <f t="shared" si="15"/>
        <v>-155.07066</v>
      </c>
    </row>
    <row r="23" spans="1:14" x14ac:dyDescent="0.25">
      <c r="A23" s="46"/>
      <c r="B23" s="46">
        <v>25.7</v>
      </c>
      <c r="C23" s="3">
        <v>5.8365758754863814E-2</v>
      </c>
      <c r="D23" s="3">
        <v>0.15175097276264587</v>
      </c>
      <c r="E23" s="3">
        <v>0.38461538461538475</v>
      </c>
      <c r="F23" s="47">
        <v>0.6153846153846152</v>
      </c>
      <c r="G23" s="145">
        <v>0.28299999999999997</v>
      </c>
      <c r="H23" s="146">
        <v>1.2734000000000001E-2</v>
      </c>
      <c r="I23" s="146">
        <v>-7.6136999999999997</v>
      </c>
      <c r="J23" s="133">
        <v>5.1365999999999996</v>
      </c>
      <c r="K23" s="145">
        <f t="shared" si="12"/>
        <v>0.32726379999999999</v>
      </c>
      <c r="L23" s="146">
        <f t="shared" si="13"/>
        <v>-195.67209</v>
      </c>
      <c r="M23" s="145">
        <f t="shared" si="14"/>
        <v>0.61026380000000002</v>
      </c>
      <c r="N23" s="133">
        <f t="shared" si="15"/>
        <v>-190.53549000000001</v>
      </c>
    </row>
    <row r="24" spans="1:14" ht="15.75" thickBot="1" x14ac:dyDescent="0.3">
      <c r="A24" s="46"/>
      <c r="B24" s="46">
        <v>25.7</v>
      </c>
      <c r="C24" s="3">
        <v>0.12062256809338513</v>
      </c>
      <c r="D24" s="3">
        <v>0.15175097276264587</v>
      </c>
      <c r="E24" s="3">
        <v>0.79487179487179449</v>
      </c>
      <c r="F24" s="47">
        <v>0.20512820512820551</v>
      </c>
      <c r="G24" s="145">
        <v>9.9469999999999992</v>
      </c>
      <c r="H24" s="146">
        <v>-0.36975000000000002</v>
      </c>
      <c r="I24" s="146">
        <v>-8.4341000000000008</v>
      </c>
      <c r="J24" s="133">
        <v>6.9149000000000003</v>
      </c>
      <c r="K24" s="145">
        <f t="shared" si="12"/>
        <v>-9.5025750000000002</v>
      </c>
      <c r="L24" s="146">
        <f t="shared" si="13"/>
        <v>-216.75637</v>
      </c>
      <c r="M24" s="145">
        <f t="shared" si="14"/>
        <v>0.44442499999999896</v>
      </c>
      <c r="N24" s="133">
        <f t="shared" si="15"/>
        <v>-209.84147000000002</v>
      </c>
    </row>
    <row r="25" spans="1:14" x14ac:dyDescent="0.25">
      <c r="A25" s="155" t="s">
        <v>20</v>
      </c>
      <c r="B25" s="155">
        <v>9.8000000000000007</v>
      </c>
      <c r="C25" s="157">
        <v>0</v>
      </c>
      <c r="D25" s="157">
        <v>0.22448979591836743</v>
      </c>
      <c r="E25" s="157">
        <f>C25/D25</f>
        <v>0</v>
      </c>
      <c r="F25" s="158">
        <f t="shared" ref="F25:F27" si="17">1-E25</f>
        <v>1</v>
      </c>
      <c r="G25" s="155">
        <v>-3.9413</v>
      </c>
      <c r="H25" s="157">
        <v>0.57877999999999996</v>
      </c>
      <c r="I25" s="157">
        <v>-13.4</v>
      </c>
      <c r="J25" s="158">
        <v>11.145</v>
      </c>
      <c r="K25" s="162">
        <f t="shared" si="12"/>
        <v>5.6720439999999996</v>
      </c>
      <c r="L25" s="163">
        <f t="shared" si="13"/>
        <v>-131.32000000000002</v>
      </c>
      <c r="M25" s="162">
        <f t="shared" si="14"/>
        <v>1.7307439999999996</v>
      </c>
      <c r="N25" s="164">
        <f t="shared" si="15"/>
        <v>-120.17500000000003</v>
      </c>
    </row>
    <row r="26" spans="1:14" x14ac:dyDescent="0.25">
      <c r="A26" s="121" t="s">
        <v>62</v>
      </c>
      <c r="B26" s="121">
        <v>9.8000000000000007</v>
      </c>
      <c r="C26" s="117">
        <v>0.13265306122448986</v>
      </c>
      <c r="D26" s="117">
        <v>0.22448979591836743</v>
      </c>
      <c r="E26" s="117">
        <f t="shared" ref="E26:E27" si="18">C26/D26</f>
        <v>0.59090909090909094</v>
      </c>
      <c r="F26" s="47">
        <f t="shared" si="17"/>
        <v>0.40909090909090906</v>
      </c>
      <c r="G26" s="46">
        <v>3.1909000000000001</v>
      </c>
      <c r="H26" s="3">
        <v>-0.23902999999999999</v>
      </c>
      <c r="I26" s="3">
        <v>-27.128</v>
      </c>
      <c r="J26" s="47">
        <v>10.856</v>
      </c>
      <c r="K26" s="145">
        <f t="shared" si="12"/>
        <v>-2.3424940000000003</v>
      </c>
      <c r="L26" s="146">
        <f t="shared" si="13"/>
        <v>-265.8544</v>
      </c>
      <c r="M26" s="145">
        <f t="shared" si="14"/>
        <v>0.84840599999999977</v>
      </c>
      <c r="N26" s="133">
        <f t="shared" si="15"/>
        <v>-254.9984</v>
      </c>
    </row>
    <row r="27" spans="1:14" ht="15.75" thickBot="1" x14ac:dyDescent="0.3">
      <c r="A27" s="125"/>
      <c r="B27" s="125">
        <v>9.8000000000000007</v>
      </c>
      <c r="C27" s="126">
        <v>0.20408163265306131</v>
      </c>
      <c r="D27" s="126">
        <v>0.22448979591836743</v>
      </c>
      <c r="E27" s="126">
        <f t="shared" si="18"/>
        <v>0.90909090909090917</v>
      </c>
      <c r="F27" s="50">
        <f t="shared" si="17"/>
        <v>9.0909090909090828E-2</v>
      </c>
      <c r="G27" s="48">
        <v>-8.8758999999999997</v>
      </c>
      <c r="H27" s="49">
        <v>0.95999000000000001</v>
      </c>
      <c r="I27" s="49">
        <v>-25.838999999999999</v>
      </c>
      <c r="J27" s="50">
        <v>-2.7534999999999998</v>
      </c>
      <c r="K27" s="147">
        <f t="shared" si="12"/>
        <v>9.407902</v>
      </c>
      <c r="L27" s="148">
        <f t="shared" si="13"/>
        <v>-253.22220000000002</v>
      </c>
      <c r="M27" s="147">
        <f t="shared" si="14"/>
        <v>0.53200200000000031</v>
      </c>
      <c r="N27" s="135">
        <f t="shared" si="15"/>
        <v>-255.97570000000002</v>
      </c>
    </row>
    <row r="28" spans="1:14" x14ac:dyDescent="0.25">
      <c r="A28" s="139" t="s">
        <v>20</v>
      </c>
      <c r="B28" s="121">
        <v>9.8000000000000007</v>
      </c>
      <c r="C28" s="117">
        <v>0</v>
      </c>
      <c r="D28" s="117">
        <v>0.22448979591836743</v>
      </c>
      <c r="E28" s="117">
        <f>C28/D28</f>
        <v>0</v>
      </c>
      <c r="F28" s="47">
        <f>1-E28</f>
        <v>1</v>
      </c>
      <c r="G28" s="145">
        <v>2.0505</v>
      </c>
      <c r="H28" s="146">
        <v>-3.7643000000000003E-2</v>
      </c>
      <c r="I28" s="146">
        <v>-12.816000000000001</v>
      </c>
      <c r="J28" s="133">
        <v>7.7667999999999999</v>
      </c>
      <c r="K28" s="145">
        <f t="shared" si="12"/>
        <v>-0.36890140000000005</v>
      </c>
      <c r="L28" s="146">
        <f t="shared" si="13"/>
        <v>-125.59680000000002</v>
      </c>
      <c r="M28" s="145">
        <f t="shared" si="14"/>
        <v>1.6815986000000001</v>
      </c>
      <c r="N28" s="133">
        <f t="shared" si="15"/>
        <v>-117.83000000000001</v>
      </c>
    </row>
    <row r="29" spans="1:14" x14ac:dyDescent="0.25">
      <c r="A29" s="121" t="s">
        <v>63</v>
      </c>
      <c r="B29" s="121">
        <v>9.8000000000000007</v>
      </c>
      <c r="C29" s="117">
        <v>0.13265306122448986</v>
      </c>
      <c r="D29" s="117">
        <v>0.22448979591836743</v>
      </c>
      <c r="E29" s="117">
        <f t="shared" ref="E29:E30" si="19">C29/D29</f>
        <v>0.59090909090909094</v>
      </c>
      <c r="F29" s="47">
        <f>1-E29</f>
        <v>0.40909090909090906</v>
      </c>
      <c r="G29" s="145">
        <v>-5.5019999999999998</v>
      </c>
      <c r="H29" s="146">
        <v>0.64532</v>
      </c>
      <c r="I29" s="146">
        <v>-24.353000000000002</v>
      </c>
      <c r="J29" s="133">
        <v>2.5598999999999998</v>
      </c>
      <c r="K29" s="145">
        <f t="shared" si="12"/>
        <v>6.3241360000000002</v>
      </c>
      <c r="L29" s="146">
        <f t="shared" si="13"/>
        <v>-238.65940000000003</v>
      </c>
      <c r="M29" s="145">
        <f t="shared" si="14"/>
        <v>0.82213600000000042</v>
      </c>
      <c r="N29" s="133">
        <f t="shared" si="15"/>
        <v>-236.09950000000003</v>
      </c>
    </row>
    <row r="30" spans="1:14" ht="15.75" thickBot="1" x14ac:dyDescent="0.3">
      <c r="A30" s="121"/>
      <c r="B30" s="121">
        <v>9.8000000000000007</v>
      </c>
      <c r="C30" s="117">
        <v>0.20408163265306131</v>
      </c>
      <c r="D30" s="117">
        <v>0.22448979591836743</v>
      </c>
      <c r="E30" s="117">
        <f t="shared" si="19"/>
        <v>0.90909090909090917</v>
      </c>
      <c r="F30" s="47">
        <f>1-E30</f>
        <v>9.0909090909090828E-2</v>
      </c>
      <c r="G30" s="145">
        <v>31.390999999999998</v>
      </c>
      <c r="H30" s="146">
        <v>-3.1534</v>
      </c>
      <c r="I30" s="146">
        <v>-24.902000000000001</v>
      </c>
      <c r="J30" s="133">
        <v>18.911000000000001</v>
      </c>
      <c r="K30" s="145">
        <f t="shared" si="12"/>
        <v>-30.903320000000001</v>
      </c>
      <c r="L30" s="146">
        <f t="shared" si="13"/>
        <v>-244.03960000000004</v>
      </c>
      <c r="M30" s="145">
        <f t="shared" si="14"/>
        <v>0.48767999999999745</v>
      </c>
      <c r="N30" s="133">
        <f t="shared" si="15"/>
        <v>-225.12860000000003</v>
      </c>
    </row>
    <row r="31" spans="1:14" x14ac:dyDescent="0.25">
      <c r="A31" s="155" t="s">
        <v>22</v>
      </c>
      <c r="B31" s="155">
        <v>22.5</v>
      </c>
      <c r="C31" s="157">
        <v>0</v>
      </c>
      <c r="D31" s="163">
        <v>0.24444444444444444</v>
      </c>
      <c r="E31" s="163">
        <f>C31/D31</f>
        <v>0</v>
      </c>
      <c r="F31" s="164">
        <f>1-E31</f>
        <v>1</v>
      </c>
      <c r="G31" s="163">
        <v>2.3163</v>
      </c>
      <c r="H31" s="163">
        <v>-5.8586999999999997E-3</v>
      </c>
      <c r="I31" s="163">
        <v>-8.8831000000000007</v>
      </c>
      <c r="J31" s="163">
        <v>6.7557</v>
      </c>
      <c r="K31" s="162">
        <f t="shared" ref="K31:K36" si="20">H31*B31</f>
        <v>-0.13182074999999999</v>
      </c>
      <c r="L31" s="163">
        <f t="shared" ref="L31:L36" si="21">I31*B31</f>
        <v>-199.86975000000001</v>
      </c>
      <c r="M31" s="162">
        <f t="shared" ref="M31:M36" si="22">G31+K31</f>
        <v>2.1844792499999999</v>
      </c>
      <c r="N31" s="164">
        <f t="shared" ref="N31:N36" si="23">J31+L31</f>
        <v>-193.11405000000002</v>
      </c>
    </row>
    <row r="32" spans="1:14" x14ac:dyDescent="0.25">
      <c r="A32" s="121" t="s">
        <v>60</v>
      </c>
      <c r="B32" s="121">
        <v>22.5</v>
      </c>
      <c r="C32" s="3">
        <v>2.6666666666666731E-2</v>
      </c>
      <c r="D32" s="146">
        <v>0.24444444444444444</v>
      </c>
      <c r="E32" s="117">
        <f>C32/D32</f>
        <v>0.10909090909090936</v>
      </c>
      <c r="F32" s="122">
        <f>1-E32</f>
        <v>0.89090909090909065</v>
      </c>
      <c r="G32" s="146">
        <v>0.51197999999999999</v>
      </c>
      <c r="H32" s="146">
        <v>5.9389999999999998E-2</v>
      </c>
      <c r="I32" s="146">
        <v>-12.997999999999999</v>
      </c>
      <c r="J32" s="146">
        <v>6.9187000000000003</v>
      </c>
      <c r="K32" s="145">
        <f t="shared" si="20"/>
        <v>1.3362749999999999</v>
      </c>
      <c r="L32" s="146">
        <f t="shared" si="21"/>
        <v>-292.45499999999998</v>
      </c>
      <c r="M32" s="145">
        <f t="shared" si="22"/>
        <v>1.848255</v>
      </c>
      <c r="N32" s="133">
        <f t="shared" si="23"/>
        <v>-285.53629999999998</v>
      </c>
    </row>
    <row r="33" spans="1:14" ht="15.75" thickBot="1" x14ac:dyDescent="0.3">
      <c r="A33" s="147"/>
      <c r="B33" s="125">
        <v>22.5</v>
      </c>
      <c r="C33" s="49">
        <v>7.111111111111118E-2</v>
      </c>
      <c r="D33" s="148">
        <v>0.24444444444444444</v>
      </c>
      <c r="E33" s="126">
        <f t="shared" ref="E33:E36" si="24">C33/D33</f>
        <v>0.29090909090909123</v>
      </c>
      <c r="F33" s="142">
        <f t="shared" ref="F33:F36" si="25">1-E33</f>
        <v>0.70909090909090877</v>
      </c>
      <c r="G33" s="148">
        <v>3.9752000000000001</v>
      </c>
      <c r="H33" s="148">
        <v>-0.10954</v>
      </c>
      <c r="I33" s="148">
        <v>-13.593</v>
      </c>
      <c r="J33" s="148">
        <v>6.1919000000000004</v>
      </c>
      <c r="K33" s="147">
        <f t="shared" si="20"/>
        <v>-2.4646499999999998</v>
      </c>
      <c r="L33" s="148">
        <f t="shared" si="21"/>
        <v>-305.84249999999997</v>
      </c>
      <c r="M33" s="147">
        <f t="shared" si="22"/>
        <v>1.5105500000000003</v>
      </c>
      <c r="N33" s="135">
        <f t="shared" si="23"/>
        <v>-299.6506</v>
      </c>
    </row>
    <row r="34" spans="1:14" x14ac:dyDescent="0.25">
      <c r="A34" s="145" t="s">
        <v>22</v>
      </c>
      <c r="B34" s="121">
        <v>22.5</v>
      </c>
      <c r="C34" s="146">
        <v>0</v>
      </c>
      <c r="D34" s="146">
        <v>0.24444444444444444</v>
      </c>
      <c r="E34" s="117">
        <f t="shared" si="24"/>
        <v>0</v>
      </c>
      <c r="F34" s="122">
        <f t="shared" si="25"/>
        <v>1</v>
      </c>
      <c r="G34" s="146">
        <v>5.7512999999999996</v>
      </c>
      <c r="H34" s="146">
        <v>-0.16006999999999999</v>
      </c>
      <c r="I34" s="146">
        <v>-8.3618000000000006</v>
      </c>
      <c r="J34" s="146">
        <v>7.1276999999999999</v>
      </c>
      <c r="K34" s="143">
        <f t="shared" si="20"/>
        <v>-3.601575</v>
      </c>
      <c r="L34" s="144">
        <f t="shared" si="21"/>
        <v>-188.1405</v>
      </c>
      <c r="M34" s="143">
        <f t="shared" si="22"/>
        <v>2.1497249999999997</v>
      </c>
      <c r="N34" s="141">
        <f t="shared" si="23"/>
        <v>-181.0128</v>
      </c>
    </row>
    <row r="35" spans="1:14" x14ac:dyDescent="0.25">
      <c r="A35" s="145" t="s">
        <v>61</v>
      </c>
      <c r="B35" s="121">
        <v>22.5</v>
      </c>
      <c r="C35" s="146">
        <v>2.6666666666666731E-2</v>
      </c>
      <c r="D35" s="146">
        <v>0.24444444444444444</v>
      </c>
      <c r="E35" s="117">
        <f t="shared" si="24"/>
        <v>0.10909090909090936</v>
      </c>
      <c r="F35" s="122">
        <f t="shared" si="25"/>
        <v>0.89090909090909065</v>
      </c>
      <c r="G35" s="146">
        <v>3.2301000000000002</v>
      </c>
      <c r="H35" s="146">
        <v>-6.3365000000000005E-2</v>
      </c>
      <c r="I35" s="146">
        <v>-11.906000000000001</v>
      </c>
      <c r="J35" s="146">
        <v>4.9939999999999998</v>
      </c>
      <c r="K35" s="145">
        <f t="shared" si="20"/>
        <v>-1.4257125000000002</v>
      </c>
      <c r="L35" s="146">
        <f t="shared" si="21"/>
        <v>-267.88499999999999</v>
      </c>
      <c r="M35" s="145">
        <f t="shared" si="22"/>
        <v>1.8043875</v>
      </c>
      <c r="N35" s="133">
        <f t="shared" si="23"/>
        <v>-262.89099999999996</v>
      </c>
    </row>
    <row r="36" spans="1:14" ht="15.75" thickBot="1" x14ac:dyDescent="0.3">
      <c r="A36" s="147"/>
      <c r="B36" s="125">
        <v>22.5</v>
      </c>
      <c r="C36" s="148">
        <v>7.111111111111118E-2</v>
      </c>
      <c r="D36" s="148">
        <v>0.24444444444444444</v>
      </c>
      <c r="E36" s="126">
        <f t="shared" si="24"/>
        <v>0.29090909090909123</v>
      </c>
      <c r="F36" s="142">
        <f t="shared" si="25"/>
        <v>0.70909090909090877</v>
      </c>
      <c r="G36" s="148">
        <v>0.59662000000000004</v>
      </c>
      <c r="H36" s="148">
        <v>3.8473E-2</v>
      </c>
      <c r="I36" s="148">
        <v>-12.33</v>
      </c>
      <c r="J36" s="148">
        <v>4.0107999999999997</v>
      </c>
      <c r="K36" s="147">
        <f t="shared" si="20"/>
        <v>0.86564249999999998</v>
      </c>
      <c r="L36" s="148">
        <f t="shared" si="21"/>
        <v>-277.42500000000001</v>
      </c>
      <c r="M36" s="147">
        <f t="shared" si="22"/>
        <v>1.4622625</v>
      </c>
      <c r="N36" s="135">
        <f t="shared" si="23"/>
        <v>-273.41419999999999</v>
      </c>
    </row>
    <row r="37" spans="1:14" x14ac:dyDescent="0.25">
      <c r="A37" s="168" t="s">
        <v>24</v>
      </c>
      <c r="B37" s="169">
        <v>39.799999999999997</v>
      </c>
      <c r="C37" s="170">
        <v>0</v>
      </c>
      <c r="D37" s="170">
        <v>0.24874371859296482</v>
      </c>
      <c r="E37" s="170">
        <f>C37/D37</f>
        <v>0</v>
      </c>
      <c r="F37" s="171">
        <f t="shared" ref="F37:F44" si="26">1-E37</f>
        <v>1</v>
      </c>
      <c r="G37" s="159">
        <v>4.7976000000000001</v>
      </c>
      <c r="H37" s="160">
        <v>-6.2989000000000003E-2</v>
      </c>
      <c r="I37" s="160">
        <v>-4.3029000000000002</v>
      </c>
      <c r="J37" s="161">
        <v>8.7112999999999996</v>
      </c>
      <c r="K37" s="159">
        <f t="shared" ref="K37:K44" si="27">H37*B37</f>
        <v>-2.5069621999999998</v>
      </c>
      <c r="L37" s="160">
        <f t="shared" ref="L37:L44" si="28">I37*B37</f>
        <v>-171.25541999999999</v>
      </c>
      <c r="M37" s="159">
        <f t="shared" ref="M37:M44" si="29">G37+K37</f>
        <v>2.2906378000000003</v>
      </c>
      <c r="N37" s="161">
        <f t="shared" ref="N37:N44" si="30">J37+L37</f>
        <v>-162.54411999999999</v>
      </c>
    </row>
    <row r="38" spans="1:14" x14ac:dyDescent="0.25">
      <c r="A38" s="124" t="s">
        <v>62</v>
      </c>
      <c r="B38" s="121">
        <v>39.799999999999997</v>
      </c>
      <c r="C38" s="117">
        <v>9.0452261306532528E-2</v>
      </c>
      <c r="D38" s="117">
        <v>0.24874371859296482</v>
      </c>
      <c r="E38" s="117">
        <f t="shared" ref="E38:E40" si="31">C38/D38</f>
        <v>0.36363636363636309</v>
      </c>
      <c r="F38" s="47">
        <f t="shared" si="26"/>
        <v>0.63636363636363691</v>
      </c>
      <c r="G38" s="145">
        <v>-1.8636999999999999</v>
      </c>
      <c r="H38" s="146">
        <v>9.1713000000000003E-2</v>
      </c>
      <c r="I38" s="146">
        <v>-8.6715999999999998</v>
      </c>
      <c r="J38" s="133">
        <v>4.4757999999999996</v>
      </c>
      <c r="K38" s="145">
        <f t="shared" si="27"/>
        <v>3.6501774</v>
      </c>
      <c r="L38" s="146">
        <f t="shared" si="28"/>
        <v>-345.12967999999995</v>
      </c>
      <c r="M38" s="145">
        <f t="shared" si="29"/>
        <v>1.7864774000000001</v>
      </c>
      <c r="N38" s="133">
        <f t="shared" si="30"/>
        <v>-340.65387999999996</v>
      </c>
    </row>
    <row r="39" spans="1:14" x14ac:dyDescent="0.25">
      <c r="A39" s="124"/>
      <c r="B39" s="121">
        <v>39.799999999999997</v>
      </c>
      <c r="C39" s="117">
        <v>0.11809045226130643</v>
      </c>
      <c r="D39" s="117">
        <v>0.24874371859296482</v>
      </c>
      <c r="E39" s="117">
        <f t="shared" si="31"/>
        <v>0.47474747474747436</v>
      </c>
      <c r="F39" s="47">
        <f t="shared" si="26"/>
        <v>0.52525252525252564</v>
      </c>
      <c r="G39" s="145">
        <v>3.9899</v>
      </c>
      <c r="H39" s="146">
        <v>-6.1374999999999999E-2</v>
      </c>
      <c r="I39" s="146">
        <v>-8.8515999999999995</v>
      </c>
      <c r="J39" s="133">
        <v>8.0645000000000007</v>
      </c>
      <c r="K39" s="145">
        <f t="shared" si="27"/>
        <v>-2.4427249999999998</v>
      </c>
      <c r="L39" s="146">
        <f t="shared" si="28"/>
        <v>-352.29367999999994</v>
      </c>
      <c r="M39" s="145">
        <f t="shared" si="29"/>
        <v>1.5471750000000002</v>
      </c>
      <c r="N39" s="133">
        <f t="shared" si="30"/>
        <v>-344.22917999999993</v>
      </c>
    </row>
    <row r="40" spans="1:14" ht="15.75" thickBot="1" x14ac:dyDescent="0.3">
      <c r="A40" s="134"/>
      <c r="B40" s="125">
        <v>39.799999999999997</v>
      </c>
      <c r="C40" s="126">
        <v>0.17587939698492464</v>
      </c>
      <c r="D40" s="126">
        <v>0.24874371859296482</v>
      </c>
      <c r="E40" s="126">
        <f t="shared" si="31"/>
        <v>0.70707070707070718</v>
      </c>
      <c r="F40" s="50">
        <f t="shared" si="26"/>
        <v>0.29292929292929282</v>
      </c>
      <c r="G40" s="147">
        <v>11.167</v>
      </c>
      <c r="H40" s="148">
        <v>-0.25279000000000001</v>
      </c>
      <c r="I40" s="148">
        <v>-9.3026999999999997</v>
      </c>
      <c r="J40" s="135">
        <v>14.954000000000001</v>
      </c>
      <c r="K40" s="147">
        <f t="shared" si="27"/>
        <v>-10.061042</v>
      </c>
      <c r="L40" s="148">
        <f t="shared" si="28"/>
        <v>-370.24745999999999</v>
      </c>
      <c r="M40" s="147">
        <f t="shared" si="29"/>
        <v>1.1059579999999993</v>
      </c>
      <c r="N40" s="135">
        <f t="shared" si="30"/>
        <v>-355.29345999999998</v>
      </c>
    </row>
    <row r="41" spans="1:14" x14ac:dyDescent="0.25">
      <c r="A41" s="118" t="s">
        <v>24</v>
      </c>
      <c r="B41" s="121">
        <v>39.799999999999997</v>
      </c>
      <c r="C41" s="117">
        <v>0</v>
      </c>
      <c r="D41" s="117">
        <v>0.24874371859296482</v>
      </c>
      <c r="E41" s="117">
        <f>C41/D41</f>
        <v>0</v>
      </c>
      <c r="F41" s="47">
        <f t="shared" si="26"/>
        <v>1</v>
      </c>
      <c r="G41" s="145">
        <v>0.17977000000000001</v>
      </c>
      <c r="H41" s="146">
        <v>5.2313999999999999E-2</v>
      </c>
      <c r="I41" s="146">
        <v>-3.9811000000000001</v>
      </c>
      <c r="J41" s="133">
        <v>5.1317000000000004</v>
      </c>
      <c r="K41" s="145">
        <f t="shared" si="27"/>
        <v>2.0820971999999998</v>
      </c>
      <c r="L41" s="146">
        <f t="shared" si="28"/>
        <v>-158.44777999999999</v>
      </c>
      <c r="M41" s="145">
        <f t="shared" si="29"/>
        <v>2.2618671999999997</v>
      </c>
      <c r="N41" s="133">
        <f t="shared" si="30"/>
        <v>-153.31608</v>
      </c>
    </row>
    <row r="42" spans="1:14" x14ac:dyDescent="0.25">
      <c r="A42" s="124" t="s">
        <v>63</v>
      </c>
      <c r="B42" s="121">
        <v>39.799999999999997</v>
      </c>
      <c r="C42" s="117">
        <v>9.0452261306532528E-2</v>
      </c>
      <c r="D42" s="117">
        <v>0.24874371859296482</v>
      </c>
      <c r="E42" s="117">
        <f t="shared" ref="E42:E44" si="32">C42/D42</f>
        <v>0.36363636363636309</v>
      </c>
      <c r="F42" s="47">
        <f t="shared" si="26"/>
        <v>0.63636363636363691</v>
      </c>
      <c r="G42" s="145">
        <v>2.9807000000000001</v>
      </c>
      <c r="H42" s="146">
        <v>-3.1115E-2</v>
      </c>
      <c r="I42" s="146">
        <v>-8.1890000000000001</v>
      </c>
      <c r="J42" s="133">
        <v>7.0145</v>
      </c>
      <c r="K42" s="145">
        <f t="shared" si="27"/>
        <v>-1.2383769999999998</v>
      </c>
      <c r="L42" s="146">
        <f t="shared" si="28"/>
        <v>-325.92219999999998</v>
      </c>
      <c r="M42" s="145">
        <f t="shared" si="29"/>
        <v>1.7423230000000003</v>
      </c>
      <c r="N42" s="133">
        <f t="shared" si="30"/>
        <v>-318.90769999999998</v>
      </c>
    </row>
    <row r="43" spans="1:14" x14ac:dyDescent="0.25">
      <c r="A43" s="124"/>
      <c r="B43" s="121">
        <v>39.799999999999997</v>
      </c>
      <c r="C43" s="117">
        <v>0.11809045226130643</v>
      </c>
      <c r="D43" s="117">
        <v>0.24874371859296482</v>
      </c>
      <c r="E43" s="117">
        <f t="shared" si="32"/>
        <v>0.47474747474747436</v>
      </c>
      <c r="F43" s="47">
        <f t="shared" si="26"/>
        <v>0.52525252525252564</v>
      </c>
      <c r="G43" s="145">
        <v>6.1128</v>
      </c>
      <c r="H43" s="146">
        <v>-0.11600000000000001</v>
      </c>
      <c r="I43" s="146">
        <v>-8.1696000000000009</v>
      </c>
      <c r="J43" s="133">
        <v>5.7586000000000004</v>
      </c>
      <c r="K43" s="145">
        <f t="shared" si="27"/>
        <v>-4.6167999999999996</v>
      </c>
      <c r="L43" s="146">
        <f t="shared" si="28"/>
        <v>-325.15008</v>
      </c>
      <c r="M43" s="145">
        <f t="shared" si="29"/>
        <v>1.4960000000000004</v>
      </c>
      <c r="N43" s="133">
        <f t="shared" si="30"/>
        <v>-319.39148</v>
      </c>
    </row>
    <row r="44" spans="1:14" ht="15.75" thickBot="1" x14ac:dyDescent="0.3">
      <c r="A44" s="134"/>
      <c r="B44" s="125">
        <v>39.799999999999997</v>
      </c>
      <c r="C44" s="126">
        <v>0.17587939698492464</v>
      </c>
      <c r="D44" s="126">
        <v>0.24874371859296482</v>
      </c>
      <c r="E44" s="126">
        <f t="shared" si="32"/>
        <v>0.70707070707070718</v>
      </c>
      <c r="F44" s="50">
        <f t="shared" si="26"/>
        <v>0.29292929292929282</v>
      </c>
      <c r="G44" s="147">
        <v>-6.6165000000000003</v>
      </c>
      <c r="H44" s="148">
        <v>0.19227</v>
      </c>
      <c r="I44" s="148">
        <v>-8.2277000000000005</v>
      </c>
      <c r="J44" s="135">
        <v>6.2687999999999997</v>
      </c>
      <c r="K44" s="147">
        <f t="shared" si="27"/>
        <v>7.6523459999999996</v>
      </c>
      <c r="L44" s="148">
        <f t="shared" si="28"/>
        <v>-327.46246000000002</v>
      </c>
      <c r="M44" s="147">
        <f t="shared" si="29"/>
        <v>1.0358459999999994</v>
      </c>
      <c r="N44" s="135">
        <f t="shared" si="30"/>
        <v>-321.19366000000002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EB8A-3C69-4823-B776-A10FC519D63C}">
  <dimension ref="A1:P66"/>
  <sheetViews>
    <sheetView topLeftCell="A52" zoomScale="85" zoomScaleNormal="85" workbookViewId="0">
      <selection sqref="A1:L66"/>
    </sheetView>
  </sheetViews>
  <sheetFormatPr defaultRowHeight="15" x14ac:dyDescent="0.25"/>
  <cols>
    <col min="1" max="1" width="24.85546875" style="150" bestFit="1" customWidth="1"/>
    <col min="2" max="3" width="9.140625" style="150"/>
    <col min="4" max="4" width="12" style="150" bestFit="1" customWidth="1"/>
    <col min="5" max="5" width="13.42578125" style="150" bestFit="1" customWidth="1"/>
    <col min="6" max="6" width="15.140625" style="150" bestFit="1" customWidth="1"/>
    <col min="7" max="10" width="9.140625" style="150"/>
    <col min="11" max="11" width="16.7109375" style="150" bestFit="1" customWidth="1"/>
    <col min="12" max="12" width="20.42578125" style="150" bestFit="1" customWidth="1"/>
    <col min="13" max="16384" width="9.140625" style="150"/>
  </cols>
  <sheetData>
    <row r="1" spans="1:16" ht="15.75" thickBot="1" x14ac:dyDescent="0.3">
      <c r="A1" s="150" t="s">
        <v>76</v>
      </c>
      <c r="B1" s="150" t="s">
        <v>77</v>
      </c>
    </row>
    <row r="2" spans="1:16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10" t="s">
        <v>79</v>
      </c>
      <c r="I2" s="150" t="s">
        <v>84</v>
      </c>
      <c r="J2" s="150" t="s">
        <v>85</v>
      </c>
      <c r="K2" s="150" t="s">
        <v>88</v>
      </c>
      <c r="L2" s="150" t="s">
        <v>87</v>
      </c>
      <c r="P2" s="150" t="s">
        <v>86</v>
      </c>
    </row>
    <row r="3" spans="1:16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20">
        <v>0.64119999999999999</v>
      </c>
      <c r="I3" s="42">
        <v>12</v>
      </c>
      <c r="J3" s="150">
        <f>B3-I3</f>
        <v>0</v>
      </c>
      <c r="K3" s="150">
        <f>B3*C3</f>
        <v>0</v>
      </c>
      <c r="L3" s="150">
        <f>B3*F3</f>
        <v>12</v>
      </c>
    </row>
    <row r="4" spans="1:16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23">
        <v>0.64490000000000003</v>
      </c>
      <c r="I4" s="1">
        <v>11.6</v>
      </c>
      <c r="J4" s="151">
        <f t="shared" ref="J4:J66" si="2">B4-I4</f>
        <v>0.40000000000000036</v>
      </c>
      <c r="K4" s="202">
        <f t="shared" ref="K4:K66" si="3">B4*C4</f>
        <v>0.40000000000000036</v>
      </c>
      <c r="L4" s="202">
        <f t="shared" ref="L4:L66" si="4">B4*F4</f>
        <v>9.5999999999999979</v>
      </c>
    </row>
    <row r="5" spans="1:16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23">
        <v>0.58840000000000003</v>
      </c>
      <c r="I5" s="1">
        <v>11.2</v>
      </c>
      <c r="J5" s="151">
        <f t="shared" si="2"/>
        <v>0.80000000000000071</v>
      </c>
      <c r="K5" s="202">
        <f t="shared" si="3"/>
        <v>0.80000000000000071</v>
      </c>
      <c r="L5" s="202">
        <f t="shared" si="4"/>
        <v>7.1999999999999957</v>
      </c>
    </row>
    <row r="6" spans="1:16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8">
        <v>0.53600000000000003</v>
      </c>
      <c r="I6" s="1">
        <v>10.8</v>
      </c>
      <c r="J6" s="151">
        <f t="shared" si="2"/>
        <v>1.1999999999999993</v>
      </c>
      <c r="K6" s="202">
        <f t="shared" si="3"/>
        <v>1.1999999999999993</v>
      </c>
      <c r="L6" s="202">
        <f t="shared" si="4"/>
        <v>4.8000000000000043</v>
      </c>
    </row>
    <row r="7" spans="1:16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9">
        <v>0.61460000000000004</v>
      </c>
      <c r="I7" s="42">
        <v>12</v>
      </c>
      <c r="J7" s="151">
        <f t="shared" si="2"/>
        <v>0</v>
      </c>
      <c r="K7" s="202">
        <f t="shared" si="3"/>
        <v>0</v>
      </c>
      <c r="L7" s="202">
        <f t="shared" si="4"/>
        <v>12</v>
      </c>
    </row>
    <row r="8" spans="1:16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9" si="5">C8/D8</f>
        <v>0.20000000000000018</v>
      </c>
      <c r="F8" s="192">
        <f t="shared" ref="F8:F33" si="6">1-E8</f>
        <v>0.79999999999999982</v>
      </c>
      <c r="G8" s="191">
        <v>-106.24509999999999</v>
      </c>
      <c r="H8" s="192">
        <v>0.59699999999999998</v>
      </c>
      <c r="I8" s="1">
        <v>11.6</v>
      </c>
      <c r="J8" s="151">
        <f t="shared" si="2"/>
        <v>0.40000000000000036</v>
      </c>
      <c r="K8" s="202">
        <f t="shared" si="3"/>
        <v>0.40000000000000036</v>
      </c>
      <c r="L8" s="202">
        <f t="shared" si="4"/>
        <v>9.5999999999999979</v>
      </c>
    </row>
    <row r="9" spans="1:16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2">
        <v>0.55279999999999996</v>
      </c>
      <c r="I9" s="1">
        <v>11.2</v>
      </c>
      <c r="J9" s="151">
        <f t="shared" si="2"/>
        <v>0.80000000000000071</v>
      </c>
      <c r="K9" s="202">
        <f t="shared" si="3"/>
        <v>0.80000000000000071</v>
      </c>
      <c r="L9" s="202">
        <f t="shared" si="4"/>
        <v>7.1999999999999957</v>
      </c>
    </row>
    <row r="10" spans="1:16" ht="15.75" thickBot="1" x14ac:dyDescent="0.3">
      <c r="A10" s="190"/>
      <c r="B10" s="190">
        <v>12</v>
      </c>
      <c r="C10" s="191">
        <v>9.9999999999999936E-2</v>
      </c>
      <c r="D10" s="191">
        <v>0.16666666666666666</v>
      </c>
      <c r="E10" s="191">
        <f t="shared" ref="E10:E32" si="7">C10/D10</f>
        <v>0.59999999999999964</v>
      </c>
      <c r="F10" s="192">
        <f t="shared" si="6"/>
        <v>0.40000000000000036</v>
      </c>
      <c r="G10" s="191">
        <v>-161.69499999999999</v>
      </c>
      <c r="H10" s="192">
        <v>0.4294</v>
      </c>
      <c r="I10" s="1">
        <v>10.8</v>
      </c>
      <c r="J10" s="151">
        <f t="shared" si="2"/>
        <v>1.1999999999999993</v>
      </c>
      <c r="K10" s="202">
        <f t="shared" si="3"/>
        <v>1.1999999999999993</v>
      </c>
      <c r="L10" s="202">
        <f t="shared" si="4"/>
        <v>4.8000000000000043</v>
      </c>
    </row>
    <row r="11" spans="1:16" x14ac:dyDescent="0.25">
      <c r="A11" s="176" t="s">
        <v>8</v>
      </c>
      <c r="B11" s="173">
        <v>22</v>
      </c>
      <c r="C11" s="173">
        <v>0</v>
      </c>
      <c r="D11" s="173">
        <v>0.15909090909090909</v>
      </c>
      <c r="E11" s="119">
        <f t="shared" si="7"/>
        <v>0</v>
      </c>
      <c r="F11" s="120">
        <f t="shared" si="6"/>
        <v>1</v>
      </c>
      <c r="G11" s="173">
        <v>-58.102400000000003</v>
      </c>
      <c r="H11" s="172">
        <v>0.6986</v>
      </c>
      <c r="I11" s="42">
        <v>22</v>
      </c>
      <c r="J11" s="151">
        <f t="shared" si="2"/>
        <v>0</v>
      </c>
      <c r="K11" s="202">
        <f t="shared" si="3"/>
        <v>0</v>
      </c>
      <c r="L11" s="202">
        <f t="shared" si="4"/>
        <v>22</v>
      </c>
    </row>
    <row r="12" spans="1:16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7"/>
        <v>0.42857142857142855</v>
      </c>
      <c r="F12" s="123">
        <f t="shared" si="6"/>
        <v>0.5714285714285714</v>
      </c>
      <c r="G12" s="6">
        <v>-269.3295</v>
      </c>
      <c r="H12" s="174">
        <v>0.67720000000000002</v>
      </c>
      <c r="I12" s="1">
        <v>20.5</v>
      </c>
      <c r="J12" s="151">
        <f t="shared" si="2"/>
        <v>1.5</v>
      </c>
      <c r="K12" s="202">
        <f t="shared" si="3"/>
        <v>1.5</v>
      </c>
      <c r="L12" s="202">
        <f t="shared" si="4"/>
        <v>12.571428571428571</v>
      </c>
    </row>
    <row r="13" spans="1:16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7"/>
        <v>0.88571428571428623</v>
      </c>
      <c r="F13" s="123">
        <f t="shared" si="6"/>
        <v>0.11428571428571377</v>
      </c>
      <c r="G13" s="6">
        <v>-336.84469999999999</v>
      </c>
      <c r="H13" s="174">
        <v>0.59370000000000001</v>
      </c>
      <c r="I13" s="181">
        <v>18.899999999999999</v>
      </c>
      <c r="J13" s="151">
        <f t="shared" si="2"/>
        <v>3.1000000000000014</v>
      </c>
      <c r="K13" s="202">
        <f t="shared" si="3"/>
        <v>3.1000000000000014</v>
      </c>
      <c r="L13" s="202">
        <f t="shared" si="4"/>
        <v>2.5142857142857027</v>
      </c>
    </row>
    <row r="14" spans="1:16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7"/>
        <v>0</v>
      </c>
      <c r="F14" s="189">
        <f t="shared" si="6"/>
        <v>1</v>
      </c>
      <c r="G14" s="188">
        <v>-48.6449</v>
      </c>
      <c r="H14" s="189">
        <v>0.6593</v>
      </c>
      <c r="I14" s="42">
        <v>22</v>
      </c>
      <c r="J14" s="151">
        <f t="shared" si="2"/>
        <v>0</v>
      </c>
      <c r="K14" s="202">
        <f t="shared" si="3"/>
        <v>0</v>
      </c>
      <c r="L14" s="202">
        <f t="shared" si="4"/>
        <v>22</v>
      </c>
    </row>
    <row r="15" spans="1:16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7"/>
        <v>0.42857142857142855</v>
      </c>
      <c r="F15" s="192">
        <f t="shared" si="6"/>
        <v>0.5714285714285714</v>
      </c>
      <c r="G15" s="191">
        <v>-222.54589999999999</v>
      </c>
      <c r="H15" s="192">
        <v>0.61519999999999997</v>
      </c>
      <c r="I15" s="1">
        <v>20.5</v>
      </c>
      <c r="J15" s="151">
        <f t="shared" si="2"/>
        <v>1.5</v>
      </c>
      <c r="K15" s="202">
        <f t="shared" si="3"/>
        <v>1.5</v>
      </c>
      <c r="L15" s="202">
        <f t="shared" si="4"/>
        <v>12.571428571428571</v>
      </c>
    </row>
    <row r="16" spans="1:16" ht="15.75" thickBot="1" x14ac:dyDescent="0.3">
      <c r="A16" s="194"/>
      <c r="B16" s="191">
        <v>22</v>
      </c>
      <c r="C16" s="191">
        <v>0.14090909090909098</v>
      </c>
      <c r="D16" s="191">
        <v>0.15909090909090909</v>
      </c>
      <c r="E16" s="191">
        <f t="shared" si="7"/>
        <v>0.88571428571428623</v>
      </c>
      <c r="F16" s="192">
        <f t="shared" si="6"/>
        <v>0.11428571428571377</v>
      </c>
      <c r="G16" s="191">
        <v>-223.6328</v>
      </c>
      <c r="H16" s="192">
        <v>0.42559999999999998</v>
      </c>
      <c r="I16" s="181">
        <v>18.899999999999999</v>
      </c>
      <c r="J16" s="151">
        <f t="shared" si="2"/>
        <v>3.1000000000000014</v>
      </c>
      <c r="K16" s="202">
        <f t="shared" si="3"/>
        <v>3.1000000000000014</v>
      </c>
      <c r="L16" s="202">
        <f t="shared" si="4"/>
        <v>2.5142857142857027</v>
      </c>
    </row>
    <row r="17" spans="1:12" x14ac:dyDescent="0.25">
      <c r="A17" s="180" t="s">
        <v>9</v>
      </c>
      <c r="B17" s="173">
        <v>25.7</v>
      </c>
      <c r="C17" s="173">
        <v>0</v>
      </c>
      <c r="D17" s="173">
        <v>0.15175097276264587</v>
      </c>
      <c r="E17" s="119">
        <f t="shared" si="7"/>
        <v>0</v>
      </c>
      <c r="F17" s="120">
        <f t="shared" si="6"/>
        <v>1</v>
      </c>
      <c r="G17" s="173">
        <v>-46.625100000000003</v>
      </c>
      <c r="H17" s="172">
        <v>0.68930000000000002</v>
      </c>
      <c r="I17" s="42">
        <v>25.7</v>
      </c>
      <c r="J17" s="151">
        <f t="shared" si="2"/>
        <v>0</v>
      </c>
      <c r="K17" s="202">
        <f t="shared" si="3"/>
        <v>0</v>
      </c>
      <c r="L17" s="202">
        <f t="shared" si="4"/>
        <v>25.7</v>
      </c>
    </row>
    <row r="18" spans="1:12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7"/>
        <v>0.17948717948717935</v>
      </c>
      <c r="F18" s="123">
        <f t="shared" si="6"/>
        <v>0.82051282051282071</v>
      </c>
      <c r="G18" s="6">
        <v>-196.2748</v>
      </c>
      <c r="H18" s="174">
        <v>0.72840000000000005</v>
      </c>
      <c r="I18" s="1">
        <v>25</v>
      </c>
      <c r="J18" s="151">
        <f t="shared" si="2"/>
        <v>0.69999999999999929</v>
      </c>
      <c r="K18" s="202">
        <f t="shared" si="3"/>
        <v>0.69999999999999929</v>
      </c>
      <c r="L18" s="202">
        <f t="shared" si="4"/>
        <v>21.08717948717949</v>
      </c>
    </row>
    <row r="19" spans="1:12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7"/>
        <v>0.38461538461538475</v>
      </c>
      <c r="F19" s="123">
        <f t="shared" si="6"/>
        <v>0.6153846153846152</v>
      </c>
      <c r="G19" s="6">
        <v>-244.33580000000001</v>
      </c>
      <c r="H19" s="174">
        <v>0.68989999999999996</v>
      </c>
      <c r="I19" s="1">
        <v>24.2</v>
      </c>
      <c r="J19" s="151">
        <f t="shared" si="2"/>
        <v>1.5</v>
      </c>
      <c r="K19" s="202">
        <f t="shared" si="3"/>
        <v>1.5</v>
      </c>
      <c r="L19" s="202">
        <f t="shared" si="4"/>
        <v>15.815384615384611</v>
      </c>
    </row>
    <row r="20" spans="1:12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7"/>
        <v>0.79487179487179449</v>
      </c>
      <c r="F20" s="128">
        <f t="shared" si="6"/>
        <v>0.20512820512820551</v>
      </c>
      <c r="G20" s="7">
        <v>-298.53039999999999</v>
      </c>
      <c r="H20" s="175">
        <v>0.57769999999999999</v>
      </c>
      <c r="I20" s="181">
        <v>22.6</v>
      </c>
      <c r="J20" s="151">
        <f t="shared" si="2"/>
        <v>3.0999999999999979</v>
      </c>
      <c r="K20" s="202">
        <f t="shared" si="3"/>
        <v>3.0999999999999979</v>
      </c>
      <c r="L20" s="202">
        <f t="shared" si="4"/>
        <v>5.2717948717948815</v>
      </c>
    </row>
    <row r="21" spans="1:12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7"/>
        <v>0</v>
      </c>
      <c r="F21" s="192">
        <f t="shared" si="6"/>
        <v>1</v>
      </c>
      <c r="G21" s="191">
        <v>-27.235800000000001</v>
      </c>
      <c r="H21" s="192">
        <v>0.63100000000000001</v>
      </c>
      <c r="I21" s="42">
        <v>25.7</v>
      </c>
      <c r="J21" s="151">
        <f t="shared" si="2"/>
        <v>0</v>
      </c>
      <c r="K21" s="202">
        <f t="shared" si="3"/>
        <v>0</v>
      </c>
      <c r="L21" s="202">
        <f t="shared" si="4"/>
        <v>25.7</v>
      </c>
    </row>
    <row r="22" spans="1:12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7"/>
        <v>0.17948717948717935</v>
      </c>
      <c r="F22" s="192">
        <f t="shared" si="6"/>
        <v>0.82051282051282071</v>
      </c>
      <c r="G22" s="191">
        <v>-155.07159999999999</v>
      </c>
      <c r="H22" s="192">
        <v>0.66659999999999997</v>
      </c>
      <c r="I22" s="1">
        <v>25</v>
      </c>
      <c r="J22" s="151">
        <f t="shared" si="2"/>
        <v>0.69999999999999929</v>
      </c>
      <c r="K22" s="202">
        <f t="shared" si="3"/>
        <v>0.69999999999999929</v>
      </c>
      <c r="L22" s="202">
        <f t="shared" si="4"/>
        <v>21.08717948717949</v>
      </c>
    </row>
    <row r="23" spans="1:12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7"/>
        <v>0.38461538461538475</v>
      </c>
      <c r="F23" s="192">
        <f t="shared" si="6"/>
        <v>0.6153846153846152</v>
      </c>
      <c r="G23" s="191">
        <v>-190.53569999999999</v>
      </c>
      <c r="H23" s="192">
        <v>0.61029999999999995</v>
      </c>
      <c r="I23" s="1">
        <v>24.2</v>
      </c>
      <c r="J23" s="151">
        <f t="shared" si="2"/>
        <v>1.5</v>
      </c>
      <c r="K23" s="202">
        <f t="shared" si="3"/>
        <v>1.5</v>
      </c>
      <c r="L23" s="202">
        <f t="shared" si="4"/>
        <v>15.815384615384611</v>
      </c>
    </row>
    <row r="24" spans="1:12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7"/>
        <v>0.79487179487179449</v>
      </c>
      <c r="F24" s="197">
        <f t="shared" si="6"/>
        <v>0.20512820512820551</v>
      </c>
      <c r="G24" s="196">
        <v>-209.84059999999999</v>
      </c>
      <c r="H24" s="197">
        <v>0.44440000000000002</v>
      </c>
      <c r="I24" s="181">
        <v>22.6</v>
      </c>
      <c r="J24" s="151">
        <f t="shared" si="2"/>
        <v>3.0999999999999979</v>
      </c>
      <c r="K24" s="202">
        <f t="shared" si="3"/>
        <v>3.0999999999999979</v>
      </c>
      <c r="L24" s="202">
        <f t="shared" si="4"/>
        <v>5.2717948717948815</v>
      </c>
    </row>
    <row r="25" spans="1:12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7"/>
        <v>0</v>
      </c>
      <c r="F25" s="123">
        <f t="shared" si="6"/>
        <v>1</v>
      </c>
      <c r="G25" s="6">
        <v>-38.988900000000001</v>
      </c>
      <c r="H25" s="174">
        <v>0.71599999999999997</v>
      </c>
      <c r="I25" s="1">
        <v>28.1</v>
      </c>
      <c r="J25" s="151">
        <f t="shared" si="2"/>
        <v>0</v>
      </c>
      <c r="K25" s="202">
        <f t="shared" si="3"/>
        <v>0</v>
      </c>
      <c r="L25" s="202">
        <f t="shared" si="4"/>
        <v>28.1</v>
      </c>
    </row>
    <row r="26" spans="1:12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7"/>
        <v>0.29268292682926889</v>
      </c>
      <c r="F26" s="123">
        <f t="shared" si="6"/>
        <v>0.70731707317073111</v>
      </c>
      <c r="G26" s="6">
        <v>-243.6489</v>
      </c>
      <c r="H26" s="174">
        <v>0.74390000000000001</v>
      </c>
      <c r="I26" s="1">
        <v>26.9</v>
      </c>
      <c r="J26" s="151">
        <f t="shared" si="2"/>
        <v>1.2000000000000028</v>
      </c>
      <c r="K26" s="202">
        <f t="shared" si="3"/>
        <v>1.2000000000000028</v>
      </c>
      <c r="L26" s="202">
        <f t="shared" si="4"/>
        <v>19.875609756097546</v>
      </c>
    </row>
    <row r="27" spans="1:12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7"/>
        <v>0.53658536585365912</v>
      </c>
      <c r="F27" s="123">
        <f t="shared" si="6"/>
        <v>0.46341463414634088</v>
      </c>
      <c r="G27" s="6">
        <v>-280.41789999999997</v>
      </c>
      <c r="H27" s="174">
        <v>0.68220000000000003</v>
      </c>
      <c r="I27" s="1">
        <v>25.9</v>
      </c>
      <c r="J27" s="151">
        <f t="shared" si="2"/>
        <v>2.2000000000000028</v>
      </c>
      <c r="K27" s="202">
        <f t="shared" si="3"/>
        <v>2.2000000000000028</v>
      </c>
      <c r="L27" s="202">
        <f t="shared" si="4"/>
        <v>13.021951219512179</v>
      </c>
    </row>
    <row r="28" spans="1:12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7"/>
        <v>0.80487804878048785</v>
      </c>
      <c r="F28" s="128">
        <f t="shared" si="6"/>
        <v>0.19512195121951215</v>
      </c>
      <c r="G28" s="7">
        <v>-309.52609999999999</v>
      </c>
      <c r="H28" s="175">
        <v>0.61329999999999996</v>
      </c>
      <c r="I28" s="181">
        <v>24.8</v>
      </c>
      <c r="J28" s="151">
        <f t="shared" si="2"/>
        <v>3.3000000000000007</v>
      </c>
      <c r="K28" s="202">
        <f t="shared" si="3"/>
        <v>3.3000000000000007</v>
      </c>
      <c r="L28" s="202">
        <f t="shared" si="4"/>
        <v>5.4829268292682913</v>
      </c>
    </row>
    <row r="29" spans="1:12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7"/>
        <v>0</v>
      </c>
      <c r="F29" s="192">
        <f t="shared" si="6"/>
        <v>1</v>
      </c>
      <c r="G29" s="191">
        <v>-25.816400000000002</v>
      </c>
      <c r="H29" s="192">
        <v>0.66180000000000005</v>
      </c>
      <c r="I29" s="1">
        <v>28.1</v>
      </c>
      <c r="J29" s="151">
        <f t="shared" si="2"/>
        <v>0</v>
      </c>
      <c r="K29" s="202">
        <f t="shared" si="3"/>
        <v>0</v>
      </c>
      <c r="L29" s="202">
        <f t="shared" si="4"/>
        <v>28.1</v>
      </c>
    </row>
    <row r="30" spans="1:12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7"/>
        <v>0.29268292682926889</v>
      </c>
      <c r="F30" s="192">
        <f t="shared" si="6"/>
        <v>0.70731707317073111</v>
      </c>
      <c r="G30" s="191">
        <v>-194.6311</v>
      </c>
      <c r="H30" s="192">
        <v>0.66930000000000001</v>
      </c>
      <c r="I30" s="1">
        <v>26.9</v>
      </c>
      <c r="J30" s="151">
        <f t="shared" si="2"/>
        <v>1.2000000000000028</v>
      </c>
      <c r="K30" s="202">
        <f t="shared" si="3"/>
        <v>1.2000000000000028</v>
      </c>
      <c r="L30" s="202">
        <f t="shared" si="4"/>
        <v>19.875609756097546</v>
      </c>
    </row>
    <row r="31" spans="1:12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7"/>
        <v>0.53658536585365912</v>
      </c>
      <c r="F31" s="192">
        <f t="shared" si="6"/>
        <v>0.46341463414634088</v>
      </c>
      <c r="G31" s="191">
        <v>-232.2979</v>
      </c>
      <c r="H31" s="192">
        <v>0.61660000000000004</v>
      </c>
      <c r="I31" s="1">
        <v>25.9</v>
      </c>
      <c r="J31" s="151">
        <f t="shared" si="2"/>
        <v>2.2000000000000028</v>
      </c>
      <c r="K31" s="202">
        <f t="shared" si="3"/>
        <v>2.2000000000000028</v>
      </c>
      <c r="L31" s="202">
        <f t="shared" si="4"/>
        <v>13.021951219512179</v>
      </c>
    </row>
    <row r="32" spans="1:12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7"/>
        <v>0.80487804878048785</v>
      </c>
      <c r="F32" s="197">
        <f t="shared" si="6"/>
        <v>0.19512195121951215</v>
      </c>
      <c r="G32" s="196">
        <v>-235.2483</v>
      </c>
      <c r="H32" s="197">
        <v>0.50409999999999999</v>
      </c>
      <c r="I32" s="181">
        <v>24.8</v>
      </c>
      <c r="J32" s="151">
        <f t="shared" si="2"/>
        <v>3.3000000000000007</v>
      </c>
      <c r="K32" s="202">
        <f t="shared" si="3"/>
        <v>3.3000000000000007</v>
      </c>
      <c r="L32" s="202">
        <f t="shared" si="4"/>
        <v>5.4829268292682913</v>
      </c>
    </row>
    <row r="33" spans="1:12" x14ac:dyDescent="0.25">
      <c r="A33" s="183" t="s">
        <v>83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2">
        <v>1.7307999999999999</v>
      </c>
      <c r="I33" s="42">
        <v>9.8000000000000007</v>
      </c>
      <c r="J33" s="151">
        <f t="shared" si="2"/>
        <v>0</v>
      </c>
      <c r="K33" s="202">
        <f t="shared" si="3"/>
        <v>0</v>
      </c>
      <c r="L33" s="202">
        <f t="shared" si="4"/>
        <v>9.8000000000000007</v>
      </c>
    </row>
    <row r="34" spans="1:12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8">C34/D34</f>
        <v>0.59090909090909094</v>
      </c>
      <c r="F34" s="6">
        <f t="shared" ref="F34:F66" si="9">1-E34</f>
        <v>0.40909090909090906</v>
      </c>
      <c r="G34" s="6">
        <v>-254.9974</v>
      </c>
      <c r="H34" s="174">
        <v>0.84840000000000004</v>
      </c>
      <c r="I34" s="1">
        <v>8.5</v>
      </c>
      <c r="J34" s="151">
        <f t="shared" si="2"/>
        <v>1.3000000000000007</v>
      </c>
      <c r="K34" s="202">
        <f t="shared" si="3"/>
        <v>1.3000000000000007</v>
      </c>
      <c r="L34" s="202">
        <f t="shared" si="4"/>
        <v>4.0090909090909088</v>
      </c>
    </row>
    <row r="35" spans="1:12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8"/>
        <v>0.90909090909090917</v>
      </c>
      <c r="F35" s="182">
        <f t="shared" si="9"/>
        <v>9.0909090909090828E-2</v>
      </c>
      <c r="G35" s="182">
        <v>-255.97409999999999</v>
      </c>
      <c r="H35" s="186">
        <v>0.53200000000000003</v>
      </c>
      <c r="I35" s="1">
        <v>7.8</v>
      </c>
      <c r="J35" s="151">
        <f t="shared" si="2"/>
        <v>2.0000000000000009</v>
      </c>
      <c r="K35" s="202">
        <f t="shared" si="3"/>
        <v>2.0000000000000009</v>
      </c>
      <c r="L35" s="202">
        <f t="shared" si="4"/>
        <v>0.89090909090909021</v>
      </c>
    </row>
    <row r="36" spans="1:12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8"/>
        <v>0</v>
      </c>
      <c r="F36" s="31">
        <f t="shared" si="9"/>
        <v>1</v>
      </c>
      <c r="G36" s="31">
        <v>-117.83069999999999</v>
      </c>
      <c r="H36" s="32">
        <v>1.6816</v>
      </c>
      <c r="I36" s="42">
        <v>9.8000000000000007</v>
      </c>
      <c r="J36" s="151">
        <f t="shared" si="2"/>
        <v>0</v>
      </c>
      <c r="K36" s="202">
        <f t="shared" si="3"/>
        <v>0</v>
      </c>
      <c r="L36" s="202">
        <f t="shared" si="4"/>
        <v>9.8000000000000007</v>
      </c>
    </row>
    <row r="37" spans="1:12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8"/>
        <v>0.59090909090909094</v>
      </c>
      <c r="F37" s="31">
        <f t="shared" si="9"/>
        <v>0.40909090909090906</v>
      </c>
      <c r="G37" s="31">
        <v>-236.10159999999999</v>
      </c>
      <c r="H37" s="32">
        <v>0.82220000000000004</v>
      </c>
      <c r="I37" s="1">
        <v>8.5</v>
      </c>
      <c r="J37" s="151">
        <f t="shared" si="2"/>
        <v>1.3000000000000007</v>
      </c>
      <c r="K37" s="202">
        <f t="shared" si="3"/>
        <v>1.3000000000000007</v>
      </c>
      <c r="L37" s="202">
        <f t="shared" si="4"/>
        <v>4.0090909090909088</v>
      </c>
    </row>
    <row r="38" spans="1:12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8"/>
        <v>0.90909090909090917</v>
      </c>
      <c r="F38" s="35">
        <f t="shared" si="9"/>
        <v>9.0909090909090828E-2</v>
      </c>
      <c r="G38" s="35">
        <v>-225.1293</v>
      </c>
      <c r="H38" s="36">
        <v>0.48759999999999998</v>
      </c>
      <c r="I38" s="1">
        <v>7.8</v>
      </c>
      <c r="J38" s="151">
        <f t="shared" si="2"/>
        <v>2.0000000000000009</v>
      </c>
      <c r="K38" s="202">
        <f t="shared" si="3"/>
        <v>2.0000000000000009</v>
      </c>
      <c r="L38" s="202">
        <f t="shared" si="4"/>
        <v>0.89090909090909021</v>
      </c>
    </row>
    <row r="39" spans="1:12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8"/>
        <v>0</v>
      </c>
      <c r="F39" s="173">
        <f t="shared" si="9"/>
        <v>1</v>
      </c>
      <c r="G39" s="173">
        <v>-73.956199999999995</v>
      </c>
      <c r="H39" s="172">
        <v>1.8329</v>
      </c>
      <c r="I39" s="42">
        <v>12</v>
      </c>
      <c r="J39" s="151">
        <f t="shared" si="2"/>
        <v>0</v>
      </c>
      <c r="K39" s="202">
        <f t="shared" si="3"/>
        <v>0</v>
      </c>
      <c r="L39" s="202">
        <f t="shared" si="4"/>
        <v>12</v>
      </c>
    </row>
    <row r="40" spans="1:12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8"/>
        <v>0.34482758620689646</v>
      </c>
      <c r="F40" s="6">
        <f t="shared" si="9"/>
        <v>0.65517241379310354</v>
      </c>
      <c r="G40" s="6">
        <v>-228.17840000000001</v>
      </c>
      <c r="H40" s="174">
        <v>1.3149</v>
      </c>
      <c r="I40" s="1">
        <v>11</v>
      </c>
      <c r="J40" s="151">
        <f t="shared" si="2"/>
        <v>1</v>
      </c>
      <c r="K40" s="202">
        <f t="shared" si="3"/>
        <v>1</v>
      </c>
      <c r="L40" s="202">
        <f t="shared" si="4"/>
        <v>7.862068965517242</v>
      </c>
    </row>
    <row r="41" spans="1:12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8"/>
        <v>0.68965517241379293</v>
      </c>
      <c r="F41" s="182">
        <f t="shared" si="9"/>
        <v>0.31034482758620707</v>
      </c>
      <c r="G41" s="182">
        <v>-246.81209999999999</v>
      </c>
      <c r="H41" s="186">
        <v>0.89610000000000001</v>
      </c>
      <c r="I41" s="181">
        <v>10</v>
      </c>
      <c r="J41" s="151">
        <f t="shared" si="2"/>
        <v>2</v>
      </c>
      <c r="K41" s="202">
        <f t="shared" si="3"/>
        <v>2</v>
      </c>
      <c r="L41" s="202">
        <f t="shared" si="4"/>
        <v>3.7241379310344849</v>
      </c>
    </row>
    <row r="42" spans="1:12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8"/>
        <v>0</v>
      </c>
      <c r="F42" s="31">
        <f t="shared" si="9"/>
        <v>1</v>
      </c>
      <c r="G42" s="31">
        <v>-78.972899999999996</v>
      </c>
      <c r="H42" s="32">
        <v>1.7966</v>
      </c>
      <c r="I42" s="42">
        <v>12</v>
      </c>
      <c r="J42" s="151">
        <f t="shared" si="2"/>
        <v>0</v>
      </c>
      <c r="K42" s="202">
        <f t="shared" si="3"/>
        <v>0</v>
      </c>
      <c r="L42" s="202">
        <f t="shared" si="4"/>
        <v>12</v>
      </c>
    </row>
    <row r="43" spans="1:12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8"/>
        <v>0.34482758620689646</v>
      </c>
      <c r="F43" s="31">
        <f t="shared" si="9"/>
        <v>0.65517241379310354</v>
      </c>
      <c r="G43" s="31">
        <v>-224.06909999999999</v>
      </c>
      <c r="H43" s="32">
        <v>1.3085</v>
      </c>
      <c r="I43" s="1">
        <v>11</v>
      </c>
      <c r="J43" s="151">
        <f t="shared" si="2"/>
        <v>1</v>
      </c>
      <c r="K43" s="202">
        <f t="shared" si="3"/>
        <v>1</v>
      </c>
      <c r="L43" s="202">
        <f t="shared" si="4"/>
        <v>7.862068965517242</v>
      </c>
    </row>
    <row r="44" spans="1:12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8"/>
        <v>0.68965517241379293</v>
      </c>
      <c r="F44" s="35">
        <f t="shared" si="9"/>
        <v>0.31034482758620707</v>
      </c>
      <c r="G44" s="35">
        <v>-225.2483</v>
      </c>
      <c r="H44" s="36">
        <v>0.86080000000000001</v>
      </c>
      <c r="I44" s="181">
        <v>10</v>
      </c>
      <c r="J44" s="151">
        <f t="shared" si="2"/>
        <v>2</v>
      </c>
      <c r="K44" s="202">
        <f t="shared" si="3"/>
        <v>2</v>
      </c>
      <c r="L44" s="202">
        <f t="shared" si="4"/>
        <v>3.7241379310344849</v>
      </c>
    </row>
    <row r="45" spans="1:12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8"/>
        <v>0</v>
      </c>
      <c r="F45" s="173">
        <f t="shared" si="9"/>
        <v>1</v>
      </c>
      <c r="G45" s="173">
        <v>-193.11320000000001</v>
      </c>
      <c r="H45" s="172">
        <v>2.1844999999999999</v>
      </c>
      <c r="I45" s="42">
        <v>22.8</v>
      </c>
      <c r="J45" s="151">
        <f t="shared" si="2"/>
        <v>0</v>
      </c>
      <c r="K45" s="202">
        <f t="shared" si="3"/>
        <v>0</v>
      </c>
      <c r="L45" s="202">
        <f t="shared" si="4"/>
        <v>22.8</v>
      </c>
    </row>
    <row r="46" spans="1:12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8"/>
        <v>0.15517241379310381</v>
      </c>
      <c r="F46" s="6">
        <f t="shared" si="9"/>
        <v>0.84482758620689613</v>
      </c>
      <c r="G46" s="6">
        <v>-285.53410000000002</v>
      </c>
      <c r="H46" s="174">
        <v>1.8482000000000001</v>
      </c>
      <c r="I46" s="1">
        <v>21.9</v>
      </c>
      <c r="J46" s="151">
        <f t="shared" si="2"/>
        <v>0.90000000000000213</v>
      </c>
      <c r="K46" s="202">
        <f t="shared" si="3"/>
        <v>0.90000000000000224</v>
      </c>
      <c r="L46" s="202">
        <f t="shared" si="4"/>
        <v>19.262068965517233</v>
      </c>
    </row>
    <row r="47" spans="1:12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8"/>
        <v>0.32758620689655205</v>
      </c>
      <c r="F47" s="182">
        <f t="shared" si="9"/>
        <v>0.67241379310344795</v>
      </c>
      <c r="G47" s="182">
        <v>-299.6463</v>
      </c>
      <c r="H47" s="186">
        <v>1.5105999999999999</v>
      </c>
      <c r="I47" s="181">
        <v>20.9</v>
      </c>
      <c r="J47" s="151">
        <f t="shared" si="2"/>
        <v>1.9000000000000021</v>
      </c>
      <c r="K47" s="202">
        <f t="shared" si="3"/>
        <v>1.9000000000000021</v>
      </c>
      <c r="L47" s="202">
        <f t="shared" si="4"/>
        <v>15.331034482758614</v>
      </c>
    </row>
    <row r="48" spans="1:12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8"/>
        <v>0</v>
      </c>
      <c r="F48" s="31">
        <f t="shared" si="9"/>
        <v>1</v>
      </c>
      <c r="G48" s="31">
        <v>-181.01349999999999</v>
      </c>
      <c r="H48" s="32">
        <v>2.1497999999999999</v>
      </c>
      <c r="I48" s="42">
        <v>22.8</v>
      </c>
      <c r="J48" s="151">
        <f t="shared" si="2"/>
        <v>0</v>
      </c>
      <c r="K48" s="202">
        <f t="shared" si="3"/>
        <v>0</v>
      </c>
      <c r="L48" s="202">
        <f t="shared" si="4"/>
        <v>22.8</v>
      </c>
    </row>
    <row r="49" spans="1:12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8"/>
        <v>0.15517241379310381</v>
      </c>
      <c r="F49" s="31">
        <f t="shared" si="9"/>
        <v>0.84482758620689613</v>
      </c>
      <c r="G49" s="31">
        <v>-262.88290000000001</v>
      </c>
      <c r="H49" s="32">
        <v>1.8044</v>
      </c>
      <c r="I49" s="1">
        <v>21.9</v>
      </c>
      <c r="J49" s="151">
        <f t="shared" si="2"/>
        <v>0.90000000000000213</v>
      </c>
      <c r="K49" s="202">
        <f t="shared" si="3"/>
        <v>0.90000000000000224</v>
      </c>
      <c r="L49" s="202">
        <f t="shared" si="4"/>
        <v>19.262068965517233</v>
      </c>
    </row>
    <row r="50" spans="1:12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8"/>
        <v>0.32758620689655205</v>
      </c>
      <c r="F50" s="35">
        <f t="shared" si="9"/>
        <v>0.67241379310344795</v>
      </c>
      <c r="G50" s="35">
        <v>-273.4042</v>
      </c>
      <c r="H50" s="36">
        <v>1.4622999999999999</v>
      </c>
      <c r="I50" s="181">
        <v>20.9</v>
      </c>
      <c r="J50" s="151">
        <f t="shared" si="2"/>
        <v>1.9000000000000021</v>
      </c>
      <c r="K50" s="202">
        <f t="shared" si="3"/>
        <v>1.9000000000000021</v>
      </c>
      <c r="L50" s="202">
        <f t="shared" si="4"/>
        <v>15.331034482758614</v>
      </c>
    </row>
    <row r="51" spans="1:12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8"/>
        <v>0</v>
      </c>
      <c r="F51" s="173">
        <f t="shared" si="9"/>
        <v>1</v>
      </c>
      <c r="G51" s="173">
        <v>-138.41810000000001</v>
      </c>
      <c r="H51" s="172">
        <v>2.3146</v>
      </c>
      <c r="I51" s="1">
        <v>27.5</v>
      </c>
      <c r="J51" s="151">
        <f t="shared" si="2"/>
        <v>0</v>
      </c>
      <c r="K51" s="202">
        <f t="shared" si="3"/>
        <v>0</v>
      </c>
      <c r="L51" s="202">
        <f t="shared" si="4"/>
        <v>27.5</v>
      </c>
    </row>
    <row r="52" spans="1:12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8"/>
        <v>0.20588235294117621</v>
      </c>
      <c r="F52" s="6">
        <f t="shared" si="9"/>
        <v>0.79411764705882382</v>
      </c>
      <c r="G52" s="6">
        <v>-284.46539999999999</v>
      </c>
      <c r="H52" s="174">
        <v>2.0556999999999999</v>
      </c>
      <c r="I52" s="1">
        <v>26.1</v>
      </c>
      <c r="J52" s="151">
        <f t="shared" si="2"/>
        <v>1.3999999999999986</v>
      </c>
      <c r="K52" s="202">
        <f t="shared" si="3"/>
        <v>1.3999999999999986</v>
      </c>
      <c r="L52" s="202">
        <f t="shared" si="4"/>
        <v>21.838235294117656</v>
      </c>
    </row>
    <row r="53" spans="1:12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8"/>
        <v>0.33823529411764713</v>
      </c>
      <c r="F53" s="6">
        <f t="shared" si="9"/>
        <v>0.66176470588235281</v>
      </c>
      <c r="G53" s="6">
        <v>-309.7835</v>
      </c>
      <c r="H53" s="174">
        <v>1.8758999999999999</v>
      </c>
      <c r="I53" s="1">
        <v>25.2</v>
      </c>
      <c r="J53" s="151">
        <f t="shared" si="2"/>
        <v>2.3000000000000007</v>
      </c>
      <c r="K53" s="202">
        <f t="shared" si="3"/>
        <v>2.3000000000000007</v>
      </c>
      <c r="L53" s="202">
        <f t="shared" si="4"/>
        <v>18.198529411764703</v>
      </c>
    </row>
    <row r="54" spans="1:12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8"/>
        <v>0.49999999999999972</v>
      </c>
      <c r="F54" s="182">
        <f t="shared" si="9"/>
        <v>0.50000000000000022</v>
      </c>
      <c r="G54" s="182">
        <v>-331.17039999999997</v>
      </c>
      <c r="H54" s="186">
        <v>1.4738</v>
      </c>
      <c r="I54" s="181">
        <v>24.1</v>
      </c>
      <c r="J54" s="151">
        <f t="shared" si="2"/>
        <v>3.3999999999999986</v>
      </c>
      <c r="K54" s="202">
        <f t="shared" si="3"/>
        <v>3.3999999999999986</v>
      </c>
      <c r="L54" s="202">
        <f t="shared" si="4"/>
        <v>13.750000000000005</v>
      </c>
    </row>
    <row r="55" spans="1:12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8"/>
        <v>0</v>
      </c>
      <c r="F55" s="31">
        <f t="shared" si="9"/>
        <v>1</v>
      </c>
      <c r="G55" s="31">
        <v>-132.66659999999999</v>
      </c>
      <c r="H55" s="32">
        <v>2.2915999999999999</v>
      </c>
      <c r="I55" s="1">
        <v>27.5</v>
      </c>
      <c r="J55" s="151">
        <f t="shared" si="2"/>
        <v>0</v>
      </c>
      <c r="K55" s="202">
        <f t="shared" si="3"/>
        <v>0</v>
      </c>
      <c r="L55" s="202">
        <f t="shared" si="4"/>
        <v>27.5</v>
      </c>
    </row>
    <row r="56" spans="1:12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8"/>
        <v>0.20588235294117621</v>
      </c>
      <c r="F56" s="31">
        <f t="shared" si="9"/>
        <v>0.79411764705882382</v>
      </c>
      <c r="G56" s="31">
        <v>-269.9289</v>
      </c>
      <c r="H56" s="32">
        <v>2.0255000000000001</v>
      </c>
      <c r="I56" s="1">
        <v>26.1</v>
      </c>
      <c r="J56" s="151">
        <f t="shared" si="2"/>
        <v>1.3999999999999986</v>
      </c>
      <c r="K56" s="202">
        <f t="shared" si="3"/>
        <v>1.3999999999999986</v>
      </c>
      <c r="L56" s="202">
        <f t="shared" si="4"/>
        <v>21.838235294117656</v>
      </c>
    </row>
    <row r="57" spans="1:12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8"/>
        <v>0.33823529411764713</v>
      </c>
      <c r="F57" s="31">
        <f t="shared" si="9"/>
        <v>0.66176470588235281</v>
      </c>
      <c r="G57" s="31">
        <v>-290.98180000000002</v>
      </c>
      <c r="H57" s="32">
        <v>1.8374999999999999</v>
      </c>
      <c r="I57" s="1">
        <v>25.2</v>
      </c>
      <c r="J57" s="151">
        <f t="shared" si="2"/>
        <v>2.3000000000000007</v>
      </c>
      <c r="K57" s="202">
        <f t="shared" si="3"/>
        <v>2.3000000000000007</v>
      </c>
      <c r="L57" s="202">
        <f t="shared" si="4"/>
        <v>18.198529411764703</v>
      </c>
    </row>
    <row r="58" spans="1:12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8"/>
        <v>0.49999999999999972</v>
      </c>
      <c r="F58" s="35">
        <f t="shared" si="9"/>
        <v>0.50000000000000022</v>
      </c>
      <c r="G58" s="35">
        <v>-304.34429999999998</v>
      </c>
      <c r="H58" s="36">
        <v>1.4227000000000001</v>
      </c>
      <c r="I58" s="181">
        <v>24.1</v>
      </c>
      <c r="J58" s="151">
        <f t="shared" si="2"/>
        <v>3.3999999999999986</v>
      </c>
      <c r="K58" s="202">
        <f t="shared" si="3"/>
        <v>3.3999999999999986</v>
      </c>
      <c r="L58" s="202">
        <f t="shared" si="4"/>
        <v>13.750000000000005</v>
      </c>
    </row>
    <row r="59" spans="1:12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8"/>
        <v>0</v>
      </c>
      <c r="F59" s="173">
        <f t="shared" si="9"/>
        <v>1</v>
      </c>
      <c r="G59" s="173">
        <v>-162.54490000000001</v>
      </c>
      <c r="H59" s="172">
        <v>2.2906</v>
      </c>
      <c r="I59" s="1">
        <v>39.700000000000003</v>
      </c>
      <c r="J59" s="151">
        <f t="shared" si="2"/>
        <v>0</v>
      </c>
      <c r="K59" s="202">
        <f t="shared" si="3"/>
        <v>0</v>
      </c>
      <c r="L59" s="202">
        <f t="shared" si="4"/>
        <v>39.700000000000003</v>
      </c>
    </row>
    <row r="60" spans="1:12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8"/>
        <v>0.35714285714285698</v>
      </c>
      <c r="F60" s="6">
        <f t="shared" si="9"/>
        <v>0.64285714285714302</v>
      </c>
      <c r="G60" s="6">
        <v>-340.6542</v>
      </c>
      <c r="H60" s="174">
        <v>1.7865</v>
      </c>
      <c r="I60" s="1">
        <v>36.200000000000003</v>
      </c>
      <c r="J60" s="151">
        <f t="shared" si="2"/>
        <v>3.5</v>
      </c>
      <c r="K60" s="202">
        <f t="shared" si="3"/>
        <v>3.5</v>
      </c>
      <c r="L60" s="202">
        <f t="shared" si="4"/>
        <v>25.521428571428579</v>
      </c>
    </row>
    <row r="61" spans="1:12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8"/>
        <v>0.46938775510204078</v>
      </c>
      <c r="F61" s="6">
        <f t="shared" si="9"/>
        <v>0.53061224489795922</v>
      </c>
      <c r="G61" s="6">
        <v>-344.23099999999999</v>
      </c>
      <c r="H61" s="174">
        <v>1.5471999999999999</v>
      </c>
      <c r="I61" s="1">
        <v>35.1</v>
      </c>
      <c r="J61" s="151">
        <f t="shared" si="2"/>
        <v>4.6000000000000014</v>
      </c>
      <c r="K61" s="202">
        <f t="shared" si="3"/>
        <v>4.6000000000000014</v>
      </c>
      <c r="L61" s="202">
        <f t="shared" si="4"/>
        <v>21.065306122448984</v>
      </c>
    </row>
    <row r="62" spans="1:12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8"/>
        <v>0.70408163265306156</v>
      </c>
      <c r="F62" s="182">
        <f t="shared" si="9"/>
        <v>0.29591836734693844</v>
      </c>
      <c r="G62" s="182">
        <v>-355.29509999999999</v>
      </c>
      <c r="H62" s="186">
        <v>1.1063000000000001</v>
      </c>
      <c r="I62" s="181">
        <v>32.799999999999997</v>
      </c>
      <c r="J62" s="151">
        <f t="shared" si="2"/>
        <v>6.9000000000000057</v>
      </c>
      <c r="K62" s="202">
        <f t="shared" si="3"/>
        <v>6.9000000000000057</v>
      </c>
      <c r="L62" s="202">
        <f t="shared" si="4"/>
        <v>11.747959183673457</v>
      </c>
    </row>
    <row r="63" spans="1:12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8"/>
        <v>0</v>
      </c>
      <c r="F63" s="31">
        <f t="shared" si="9"/>
        <v>1</v>
      </c>
      <c r="G63" s="31">
        <v>-153.3159</v>
      </c>
      <c r="H63" s="32">
        <v>2.2618999999999998</v>
      </c>
      <c r="I63" s="1">
        <v>39.700000000000003</v>
      </c>
      <c r="J63" s="151">
        <f t="shared" si="2"/>
        <v>0</v>
      </c>
      <c r="K63" s="202">
        <f t="shared" si="3"/>
        <v>0</v>
      </c>
      <c r="L63" s="202">
        <f t="shared" si="4"/>
        <v>39.700000000000003</v>
      </c>
    </row>
    <row r="64" spans="1:12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8"/>
        <v>0.35714285714285698</v>
      </c>
      <c r="F64" s="31">
        <f t="shared" si="9"/>
        <v>0.64285714285714302</v>
      </c>
      <c r="G64" s="31">
        <v>-318.90879999999999</v>
      </c>
      <c r="H64" s="32">
        <v>1.7423</v>
      </c>
      <c r="I64" s="1">
        <v>36.200000000000003</v>
      </c>
      <c r="J64" s="151">
        <f t="shared" si="2"/>
        <v>3.5</v>
      </c>
      <c r="K64" s="202">
        <f t="shared" si="3"/>
        <v>3.5</v>
      </c>
      <c r="L64" s="202">
        <f t="shared" si="4"/>
        <v>25.521428571428579</v>
      </c>
    </row>
    <row r="65" spans="1:12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8"/>
        <v>0.46938775510204078</v>
      </c>
      <c r="F65" s="31">
        <f t="shared" si="9"/>
        <v>0.53061224489795922</v>
      </c>
      <c r="G65" s="31">
        <v>-319.39260000000002</v>
      </c>
      <c r="H65" s="32">
        <v>1.496</v>
      </c>
      <c r="I65" s="1">
        <v>35.1</v>
      </c>
      <c r="J65" s="151">
        <f t="shared" si="2"/>
        <v>4.6000000000000014</v>
      </c>
      <c r="K65" s="202">
        <f t="shared" si="3"/>
        <v>4.6000000000000014</v>
      </c>
      <c r="L65" s="202">
        <f t="shared" si="4"/>
        <v>21.065306122448984</v>
      </c>
    </row>
    <row r="66" spans="1:12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8"/>
        <v>0.70408163265306156</v>
      </c>
      <c r="F66" s="35">
        <f t="shared" si="9"/>
        <v>0.29591836734693844</v>
      </c>
      <c r="G66" s="35">
        <v>-321.19310000000002</v>
      </c>
      <c r="H66" s="36">
        <v>1.036</v>
      </c>
      <c r="I66" s="181">
        <v>32.799999999999997</v>
      </c>
      <c r="J66" s="151">
        <f t="shared" si="2"/>
        <v>6.9000000000000057</v>
      </c>
      <c r="K66" s="202">
        <f t="shared" si="3"/>
        <v>6.9000000000000057</v>
      </c>
      <c r="L66" s="202">
        <f t="shared" si="4"/>
        <v>11.747959183673457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3763-9ED8-419E-98F8-96CB6338CE3D}">
  <dimension ref="A1:S66"/>
  <sheetViews>
    <sheetView workbookViewId="0">
      <selection activeCell="Q26" sqref="A1:S66"/>
    </sheetView>
  </sheetViews>
  <sheetFormatPr defaultRowHeight="15" x14ac:dyDescent="0.25"/>
  <cols>
    <col min="1" max="1" width="14.28515625" bestFit="1" customWidth="1"/>
    <col min="11" max="11" width="16.140625" bestFit="1" customWidth="1"/>
    <col min="19" max="19" width="59.28515625" bestFit="1" customWidth="1"/>
  </cols>
  <sheetData>
    <row r="1" spans="1:19" ht="15.75" thickBot="1" x14ac:dyDescent="0.3">
      <c r="A1" t="s">
        <v>13</v>
      </c>
      <c r="B1" t="s">
        <v>95</v>
      </c>
      <c r="F1" t="s">
        <v>96</v>
      </c>
      <c r="M1" s="217" t="s">
        <v>92</v>
      </c>
      <c r="N1" s="217"/>
      <c r="O1" s="218" t="s">
        <v>93</v>
      </c>
      <c r="P1" s="218"/>
    </row>
    <row r="2" spans="1:19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04" t="s">
        <v>85</v>
      </c>
      <c r="K2" s="204" t="s">
        <v>88</v>
      </c>
      <c r="L2" s="204" t="s">
        <v>87</v>
      </c>
      <c r="M2" s="205" t="s">
        <v>89</v>
      </c>
      <c r="N2" s="206" t="s">
        <v>90</v>
      </c>
      <c r="O2" s="118" t="s">
        <v>89</v>
      </c>
      <c r="P2" s="120" t="s">
        <v>91</v>
      </c>
      <c r="R2" s="116" t="s">
        <v>27</v>
      </c>
      <c r="S2" s="116" t="s">
        <v>94</v>
      </c>
    </row>
    <row r="3" spans="1:19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6">
        <f>B3*C3</f>
        <v>0</v>
      </c>
      <c r="L3" s="6">
        <f>B3*F3</f>
        <v>12</v>
      </c>
      <c r="M3" s="6">
        <v>0.47239999999999999</v>
      </c>
      <c r="N3" s="174">
        <v>0.18609999999999999</v>
      </c>
      <c r="O3" s="143">
        <v>-357.3562</v>
      </c>
      <c r="P3" s="120">
        <v>290.52769999999998</v>
      </c>
    </row>
    <row r="4" spans="1:19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6">
        <f t="shared" ref="K4:K66" si="3">B4*C4</f>
        <v>0.40000000000000036</v>
      </c>
      <c r="L4" s="6">
        <f t="shared" ref="L4:L66" si="4">B4*F4</f>
        <v>9.5999999999999979</v>
      </c>
      <c r="M4" s="6"/>
      <c r="N4" s="174"/>
      <c r="O4" s="145"/>
      <c r="P4" s="133"/>
    </row>
    <row r="5" spans="1:19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6">
        <f t="shared" si="3"/>
        <v>0.80000000000000071</v>
      </c>
      <c r="L5" s="6">
        <f t="shared" si="4"/>
        <v>7.1999999999999957</v>
      </c>
      <c r="M5" s="6"/>
      <c r="N5" s="174"/>
      <c r="O5" s="145"/>
      <c r="P5" s="133"/>
    </row>
    <row r="6" spans="1:19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6">
        <f t="shared" si="3"/>
        <v>1.1999999999999993</v>
      </c>
      <c r="L6" s="6">
        <f t="shared" si="4"/>
        <v>4.8000000000000043</v>
      </c>
      <c r="M6" s="6"/>
      <c r="N6" s="174"/>
      <c r="O6" s="147"/>
      <c r="P6" s="135"/>
    </row>
    <row r="7" spans="1:19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88">
        <f t="shared" si="3"/>
        <v>0</v>
      </c>
      <c r="L7" s="188">
        <f t="shared" si="4"/>
        <v>12</v>
      </c>
      <c r="M7" s="189">
        <v>0.33850000000000002</v>
      </c>
      <c r="N7" s="189">
        <v>0.2999</v>
      </c>
      <c r="O7" s="143">
        <v>-257.36439999999999</v>
      </c>
      <c r="P7" s="189">
        <v>194.2296</v>
      </c>
    </row>
    <row r="8" spans="1:19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1">
        <f t="shared" si="3"/>
        <v>0.40000000000000036</v>
      </c>
      <c r="L8" s="191">
        <f t="shared" si="4"/>
        <v>9.5999999999999979</v>
      </c>
      <c r="M8" s="192"/>
      <c r="N8" s="192"/>
      <c r="O8" s="145"/>
      <c r="P8" s="133"/>
    </row>
    <row r="9" spans="1:19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1">
        <f t="shared" si="3"/>
        <v>0.80000000000000071</v>
      </c>
      <c r="L9" s="191">
        <f t="shared" si="4"/>
        <v>7.1999999999999957</v>
      </c>
      <c r="M9" s="192"/>
      <c r="N9" s="192"/>
      <c r="O9" s="145"/>
      <c r="P9" s="133"/>
    </row>
    <row r="10" spans="1:19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6">
        <f t="shared" si="3"/>
        <v>1.1999999999999993</v>
      </c>
      <c r="L10" s="196">
        <f t="shared" si="4"/>
        <v>4.8000000000000043</v>
      </c>
      <c r="M10" s="197"/>
      <c r="N10" s="197"/>
      <c r="O10" s="147"/>
      <c r="P10" s="135"/>
    </row>
    <row r="11" spans="1:19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6">
        <f t="shared" si="3"/>
        <v>0</v>
      </c>
      <c r="L11" s="6">
        <f t="shared" si="4"/>
        <v>22</v>
      </c>
      <c r="M11" s="146">
        <v>0.58960000000000001</v>
      </c>
      <c r="N11" s="133">
        <v>0.1191</v>
      </c>
      <c r="O11" s="143">
        <v>-397.22070000000002</v>
      </c>
      <c r="P11" s="141">
        <v>312.85579999999999</v>
      </c>
    </row>
    <row r="12" spans="1:19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6">
        <f t="shared" si="3"/>
        <v>1.5</v>
      </c>
      <c r="L12" s="6">
        <f t="shared" si="4"/>
        <v>12.571428571428571</v>
      </c>
      <c r="M12" s="146"/>
      <c r="N12" s="133"/>
      <c r="O12" s="145"/>
      <c r="P12" s="133"/>
    </row>
    <row r="13" spans="1:19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6">
        <f t="shared" si="3"/>
        <v>3.1000000000000014</v>
      </c>
      <c r="L13" s="6">
        <f t="shared" si="4"/>
        <v>2.5142857142857027</v>
      </c>
      <c r="M13" s="146"/>
      <c r="N13" s="133"/>
      <c r="O13" s="145"/>
      <c r="P13" s="133"/>
    </row>
    <row r="14" spans="1:19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88">
        <f t="shared" si="3"/>
        <v>0</v>
      </c>
      <c r="L14" s="188">
        <f t="shared" si="4"/>
        <v>22</v>
      </c>
      <c r="M14" s="189">
        <v>0.41749999999999998</v>
      </c>
      <c r="N14" s="189">
        <v>0.26550000000000001</v>
      </c>
      <c r="O14" s="143">
        <v>-274.73809999999997</v>
      </c>
      <c r="P14" s="189">
        <v>195.40119999999999</v>
      </c>
    </row>
    <row r="15" spans="1:19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1">
        <f t="shared" si="3"/>
        <v>1.5</v>
      </c>
      <c r="L15" s="191">
        <f t="shared" si="4"/>
        <v>12.571428571428571</v>
      </c>
      <c r="M15" s="192"/>
      <c r="N15" s="192"/>
      <c r="O15" s="145"/>
      <c r="P15" s="133"/>
    </row>
    <row r="16" spans="1:19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6">
        <f t="shared" si="3"/>
        <v>3.1000000000000014</v>
      </c>
      <c r="L16" s="196">
        <f t="shared" si="4"/>
        <v>2.5142857142857027</v>
      </c>
      <c r="M16" s="197"/>
      <c r="N16" s="197"/>
      <c r="O16" s="147"/>
      <c r="P16" s="135"/>
    </row>
    <row r="17" spans="1:16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6">
        <f t="shared" si="3"/>
        <v>0</v>
      </c>
      <c r="L17" s="6">
        <f t="shared" si="4"/>
        <v>25.7</v>
      </c>
      <c r="M17" s="146">
        <v>0.56379999999999997</v>
      </c>
      <c r="N17" s="133">
        <v>0.1628</v>
      </c>
      <c r="O17" s="145">
        <v>-384.07470000000001</v>
      </c>
      <c r="P17" s="133">
        <v>284.18220000000002</v>
      </c>
    </row>
    <row r="18" spans="1:16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6">
        <f t="shared" si="3"/>
        <v>0.69999999999999929</v>
      </c>
      <c r="L18" s="6">
        <f t="shared" si="4"/>
        <v>21.08717948717949</v>
      </c>
      <c r="M18" s="146"/>
      <c r="N18" s="133"/>
      <c r="O18" s="145"/>
      <c r="P18" s="133"/>
    </row>
    <row r="19" spans="1:16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6">
        <f t="shared" si="3"/>
        <v>1.5</v>
      </c>
      <c r="L19" s="6">
        <f t="shared" si="4"/>
        <v>15.815384615384611</v>
      </c>
      <c r="M19" s="146"/>
      <c r="N19" s="133"/>
      <c r="O19" s="145"/>
      <c r="P19" s="133"/>
    </row>
    <row r="20" spans="1:16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6">
        <f t="shared" si="3"/>
        <v>3.0999999999999979</v>
      </c>
      <c r="L20" s="6">
        <f t="shared" si="4"/>
        <v>5.2717948717948815</v>
      </c>
      <c r="M20" s="146"/>
      <c r="N20" s="133"/>
      <c r="O20" s="145"/>
      <c r="P20" s="133"/>
    </row>
    <row r="21" spans="1:16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1">
        <f t="shared" si="3"/>
        <v>0</v>
      </c>
      <c r="L21" s="191">
        <f t="shared" si="4"/>
        <v>25.7</v>
      </c>
      <c r="M21" s="192">
        <v>0.41549999999999998</v>
      </c>
      <c r="N21" s="192">
        <v>0.26140000000000002</v>
      </c>
      <c r="O21" s="143">
        <v>-277.52809999999999</v>
      </c>
      <c r="P21" s="189">
        <v>199.70609999999999</v>
      </c>
    </row>
    <row r="22" spans="1:16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1">
        <f t="shared" si="3"/>
        <v>0.69999999999999929</v>
      </c>
      <c r="L22" s="191">
        <f t="shared" si="4"/>
        <v>21.08717948717949</v>
      </c>
      <c r="M22" s="192"/>
      <c r="N22" s="192"/>
      <c r="O22" s="145"/>
      <c r="P22" s="133"/>
    </row>
    <row r="23" spans="1:16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1">
        <f t="shared" si="3"/>
        <v>1.5</v>
      </c>
      <c r="L23" s="191">
        <f t="shared" si="4"/>
        <v>15.815384615384611</v>
      </c>
      <c r="M23" s="192"/>
      <c r="N23" s="192"/>
      <c r="O23" s="145"/>
      <c r="P23" s="133"/>
    </row>
    <row r="24" spans="1:16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6">
        <f t="shared" si="3"/>
        <v>3.0999999999999979</v>
      </c>
      <c r="L24" s="196">
        <f t="shared" si="4"/>
        <v>5.2717948717948815</v>
      </c>
      <c r="M24" s="197"/>
      <c r="N24" s="197"/>
      <c r="O24" s="145"/>
      <c r="P24" s="133"/>
    </row>
    <row r="25" spans="1:16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6">
        <f t="shared" si="3"/>
        <v>0</v>
      </c>
      <c r="L25" s="6">
        <f t="shared" si="4"/>
        <v>28.1</v>
      </c>
      <c r="M25" s="146">
        <v>0.60819999999999996</v>
      </c>
      <c r="N25" s="133">
        <v>0.13639999999999999</v>
      </c>
      <c r="O25" s="143">
        <v>-409.43799999999999</v>
      </c>
      <c r="P25" s="141">
        <v>323.42239999999998</v>
      </c>
    </row>
    <row r="26" spans="1:16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6">
        <f t="shared" si="3"/>
        <v>1.2000000000000028</v>
      </c>
      <c r="L26" s="6">
        <f t="shared" si="4"/>
        <v>19.875609756097546</v>
      </c>
      <c r="M26" s="146"/>
      <c r="N26" s="133"/>
      <c r="O26" s="145"/>
      <c r="P26" s="133"/>
    </row>
    <row r="27" spans="1:16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6">
        <f t="shared" si="3"/>
        <v>2.2000000000000028</v>
      </c>
      <c r="L27" s="6">
        <f t="shared" si="4"/>
        <v>13.021951219512179</v>
      </c>
      <c r="M27" s="146"/>
      <c r="N27" s="133"/>
      <c r="O27" s="145"/>
      <c r="P27" s="133"/>
    </row>
    <row r="28" spans="1:16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6">
        <f t="shared" si="3"/>
        <v>3.3000000000000007</v>
      </c>
      <c r="L28" s="6">
        <f t="shared" si="4"/>
        <v>5.4829268292682913</v>
      </c>
      <c r="M28" s="146"/>
      <c r="N28" s="133"/>
      <c r="O28" s="145"/>
      <c r="P28" s="133"/>
    </row>
    <row r="29" spans="1:16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198">
        <f t="shared" si="3"/>
        <v>0</v>
      </c>
      <c r="L29" s="191">
        <f t="shared" si="4"/>
        <v>28.1</v>
      </c>
      <c r="M29" s="192">
        <v>0.49730000000000002</v>
      </c>
      <c r="N29" s="211">
        <v>0.19550000000000001</v>
      </c>
      <c r="O29" s="143">
        <v>-322.26589999999999</v>
      </c>
      <c r="P29" s="141">
        <v>254.06049999999999</v>
      </c>
    </row>
    <row r="30" spans="1:16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198">
        <f t="shared" si="3"/>
        <v>1.2000000000000028</v>
      </c>
      <c r="L30" s="191">
        <f t="shared" si="4"/>
        <v>19.875609756097546</v>
      </c>
      <c r="M30" s="192"/>
      <c r="N30" s="211"/>
      <c r="O30" s="145"/>
      <c r="P30" s="133"/>
    </row>
    <row r="31" spans="1:16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198">
        <f t="shared" si="3"/>
        <v>2.2000000000000028</v>
      </c>
      <c r="L31" s="191">
        <f t="shared" si="4"/>
        <v>13.021951219512179</v>
      </c>
      <c r="M31" s="192"/>
      <c r="N31" s="211"/>
      <c r="O31" s="145"/>
      <c r="P31" s="133"/>
    </row>
    <row r="32" spans="1:16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199">
        <f t="shared" si="3"/>
        <v>3.3000000000000007</v>
      </c>
      <c r="L32" s="196">
        <f t="shared" si="4"/>
        <v>5.4829268292682913</v>
      </c>
      <c r="M32" s="197"/>
      <c r="N32" s="213"/>
      <c r="O32" s="145"/>
      <c r="P32" s="133"/>
    </row>
    <row r="33" spans="1:16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6">
        <f t="shared" si="3"/>
        <v>0</v>
      </c>
      <c r="L33" s="6">
        <f t="shared" si="4"/>
        <v>9.8000000000000007</v>
      </c>
      <c r="M33" s="146">
        <v>0.36670000000000003</v>
      </c>
      <c r="N33" s="133">
        <v>1.3407</v>
      </c>
      <c r="O33" s="143">
        <v>-290.04399999999998</v>
      </c>
      <c r="P33" s="141">
        <v>159.3253</v>
      </c>
    </row>
    <row r="34" spans="1:16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6">
        <f t="shared" si="3"/>
        <v>1.3000000000000007</v>
      </c>
      <c r="L34" s="6">
        <f t="shared" si="4"/>
        <v>4.0090909090909088</v>
      </c>
      <c r="M34" s="146"/>
      <c r="N34" s="133"/>
      <c r="O34" s="145"/>
      <c r="P34" s="133"/>
    </row>
    <row r="35" spans="1:16" ht="15.75" thickBot="1" x14ac:dyDescent="0.3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6">
        <f t="shared" si="3"/>
        <v>2.0000000000000009</v>
      </c>
      <c r="L35" s="6">
        <f t="shared" si="4"/>
        <v>0.89090909090909021</v>
      </c>
      <c r="M35" s="146"/>
      <c r="N35" s="133"/>
      <c r="O35" s="145"/>
      <c r="P35" s="133"/>
    </row>
    <row r="36" spans="1:16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00">
        <f t="shared" si="3"/>
        <v>0</v>
      </c>
      <c r="L36" s="31">
        <f t="shared" si="4"/>
        <v>9.8000000000000007</v>
      </c>
      <c r="M36" s="31">
        <v>0.33150000000000002</v>
      </c>
      <c r="N36" s="32">
        <v>1.3311999999999999</v>
      </c>
      <c r="O36" s="143">
        <v>-257.21719999999999</v>
      </c>
      <c r="P36" s="30">
        <v>128.39340000000001</v>
      </c>
    </row>
    <row r="37" spans="1:16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00">
        <f t="shared" si="3"/>
        <v>1.3000000000000007</v>
      </c>
      <c r="L37" s="31">
        <f t="shared" si="4"/>
        <v>4.0090909090909088</v>
      </c>
      <c r="M37" s="31"/>
      <c r="N37" s="32"/>
      <c r="O37" s="145"/>
      <c r="P37" s="133"/>
    </row>
    <row r="38" spans="1:16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01">
        <f t="shared" si="3"/>
        <v>2.0000000000000009</v>
      </c>
      <c r="L38" s="35">
        <f t="shared" si="4"/>
        <v>0.89090909090909021</v>
      </c>
      <c r="M38" s="35"/>
      <c r="N38" s="36"/>
      <c r="O38" s="145"/>
      <c r="P38" s="133"/>
    </row>
    <row r="39" spans="1:16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6">
        <f t="shared" si="3"/>
        <v>0</v>
      </c>
      <c r="L39" s="6">
        <f t="shared" si="4"/>
        <v>12</v>
      </c>
      <c r="M39" s="146">
        <v>0.45800000000000002</v>
      </c>
      <c r="N39" s="133">
        <v>1.3584000000000001</v>
      </c>
      <c r="O39" s="143">
        <v>-347.19529999999997</v>
      </c>
      <c r="P39" s="141">
        <v>250.64109999999999</v>
      </c>
    </row>
    <row r="40" spans="1:16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6">
        <f t="shared" si="3"/>
        <v>1</v>
      </c>
      <c r="L40" s="6">
        <f t="shared" si="4"/>
        <v>7.862068965517242</v>
      </c>
      <c r="M40" s="146"/>
      <c r="N40" s="133"/>
      <c r="O40" s="145"/>
      <c r="P40" s="133"/>
    </row>
    <row r="41" spans="1:16" ht="15.75" thickBot="1" x14ac:dyDescent="0.3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6">
        <f t="shared" si="3"/>
        <v>2</v>
      </c>
      <c r="L41" s="6">
        <f t="shared" si="4"/>
        <v>3.7241379310344849</v>
      </c>
      <c r="M41" s="146"/>
      <c r="N41" s="133"/>
      <c r="O41" s="147"/>
      <c r="P41" s="135"/>
    </row>
    <row r="42" spans="1:16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31">
        <f t="shared" si="3"/>
        <v>0</v>
      </c>
      <c r="L42" s="31">
        <f t="shared" si="4"/>
        <v>12</v>
      </c>
      <c r="M42" s="31">
        <v>0.433</v>
      </c>
      <c r="N42" s="32">
        <v>1.3569</v>
      </c>
      <c r="O42" s="145">
        <v>-315.05840000000001</v>
      </c>
      <c r="P42" s="32">
        <v>212.0993</v>
      </c>
    </row>
    <row r="43" spans="1:16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31">
        <f t="shared" si="3"/>
        <v>1</v>
      </c>
      <c r="L43" s="31">
        <f t="shared" si="4"/>
        <v>7.862068965517242</v>
      </c>
      <c r="M43" s="31"/>
      <c r="N43" s="32"/>
      <c r="O43" s="145"/>
      <c r="P43" s="133"/>
    </row>
    <row r="44" spans="1:16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5">
        <f t="shared" si="3"/>
        <v>2</v>
      </c>
      <c r="L44" s="35">
        <f t="shared" si="4"/>
        <v>3.7241379310344849</v>
      </c>
      <c r="M44" s="35"/>
      <c r="N44" s="36"/>
      <c r="O44" s="147"/>
      <c r="P44" s="135"/>
    </row>
    <row r="45" spans="1:16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6">
        <f t="shared" si="3"/>
        <v>0</v>
      </c>
      <c r="L45" s="6">
        <f t="shared" si="4"/>
        <v>22.8</v>
      </c>
      <c r="M45" s="146">
        <v>-0.1192</v>
      </c>
      <c r="N45" s="133">
        <v>2.2696000000000001</v>
      </c>
      <c r="O45" s="145">
        <v>-551.28949999999998</v>
      </c>
      <c r="P45" s="133">
        <v>336.7595</v>
      </c>
    </row>
    <row r="46" spans="1:16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6">
        <f t="shared" si="3"/>
        <v>0.90000000000000224</v>
      </c>
      <c r="L46" s="6">
        <f t="shared" si="4"/>
        <v>19.262068965517233</v>
      </c>
      <c r="M46" s="146"/>
      <c r="N46" s="133"/>
      <c r="O46" s="145"/>
      <c r="P46" s="133"/>
    </row>
    <row r="47" spans="1:16" ht="15.75" thickBot="1" x14ac:dyDescent="0.3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6">
        <f t="shared" si="3"/>
        <v>1.9000000000000021</v>
      </c>
      <c r="L47" s="6">
        <f t="shared" si="4"/>
        <v>15.331034482758614</v>
      </c>
      <c r="M47" s="146"/>
      <c r="N47" s="133"/>
      <c r="O47" s="147"/>
      <c r="P47" s="135"/>
    </row>
    <row r="48" spans="1:16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31">
        <f t="shared" si="3"/>
        <v>0</v>
      </c>
      <c r="L48" s="31">
        <f t="shared" si="4"/>
        <v>22.8</v>
      </c>
      <c r="M48" s="31">
        <v>-0.2001</v>
      </c>
      <c r="N48" s="32">
        <v>2.3140999999999998</v>
      </c>
      <c r="O48" s="145">
        <v>-491.37849999999997</v>
      </c>
      <c r="P48" s="32">
        <v>291.09039999999999</v>
      </c>
    </row>
    <row r="49" spans="1:16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31">
        <f t="shared" si="3"/>
        <v>0.90000000000000224</v>
      </c>
      <c r="L49" s="31">
        <f t="shared" si="4"/>
        <v>19.262068965517233</v>
      </c>
      <c r="M49" s="31"/>
      <c r="N49" s="32"/>
      <c r="O49" s="145"/>
      <c r="P49" s="133"/>
    </row>
    <row r="50" spans="1:16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5">
        <f t="shared" si="3"/>
        <v>1.9000000000000021</v>
      </c>
      <c r="L50" s="35">
        <f t="shared" si="4"/>
        <v>15.331034482758614</v>
      </c>
      <c r="M50" s="35"/>
      <c r="N50" s="36"/>
      <c r="O50" s="147"/>
      <c r="P50" s="135"/>
    </row>
    <row r="51" spans="1:16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6">
        <f t="shared" si="3"/>
        <v>0</v>
      </c>
      <c r="L51" s="6">
        <f t="shared" si="4"/>
        <v>27.5</v>
      </c>
      <c r="M51" s="116">
        <v>0.68340000000000001</v>
      </c>
      <c r="N51" s="123">
        <v>1.6705000000000001</v>
      </c>
      <c r="O51" s="145">
        <v>-552.36500000000001</v>
      </c>
      <c r="P51" s="123">
        <v>383.78359999999998</v>
      </c>
    </row>
    <row r="52" spans="1:16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6">
        <f t="shared" si="3"/>
        <v>1.3999999999999986</v>
      </c>
      <c r="L52" s="6">
        <f t="shared" si="4"/>
        <v>21.838235294117656</v>
      </c>
      <c r="M52" s="116"/>
      <c r="N52" s="123"/>
      <c r="O52" s="145"/>
      <c r="P52" s="133"/>
    </row>
    <row r="53" spans="1:16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6">
        <f t="shared" si="3"/>
        <v>2.3000000000000007</v>
      </c>
      <c r="L53" s="6">
        <f t="shared" si="4"/>
        <v>18.198529411764703</v>
      </c>
      <c r="M53" s="116"/>
      <c r="N53" s="123"/>
      <c r="O53" s="145"/>
      <c r="P53" s="133"/>
    </row>
    <row r="54" spans="1:16" ht="15.75" thickBot="1" x14ac:dyDescent="0.3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6">
        <f t="shared" si="3"/>
        <v>3.3999999999999986</v>
      </c>
      <c r="L54" s="6">
        <f t="shared" si="4"/>
        <v>13.750000000000005</v>
      </c>
      <c r="M54" s="116"/>
      <c r="N54" s="123"/>
      <c r="O54" s="147"/>
      <c r="P54" s="135"/>
    </row>
    <row r="55" spans="1:16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31">
        <f t="shared" si="3"/>
        <v>0</v>
      </c>
      <c r="L55" s="31">
        <f t="shared" si="4"/>
        <v>27.5</v>
      </c>
      <c r="M55" s="31">
        <v>0.60519999999999996</v>
      </c>
      <c r="N55" s="32">
        <v>1.7274</v>
      </c>
      <c r="O55" s="145">
        <v>-504.54610000000002</v>
      </c>
      <c r="P55" s="32">
        <v>341.78800000000001</v>
      </c>
    </row>
    <row r="56" spans="1:16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31">
        <f t="shared" si="3"/>
        <v>1.3999999999999986</v>
      </c>
      <c r="L56" s="31">
        <f t="shared" si="4"/>
        <v>21.838235294117656</v>
      </c>
      <c r="M56" s="31"/>
      <c r="N56" s="32"/>
      <c r="O56" s="145"/>
      <c r="P56" s="133"/>
    </row>
    <row r="57" spans="1:16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31">
        <f t="shared" si="3"/>
        <v>2.3000000000000007</v>
      </c>
      <c r="L57" s="31">
        <f t="shared" si="4"/>
        <v>18.198529411764703</v>
      </c>
      <c r="M57" s="31"/>
      <c r="N57" s="32"/>
      <c r="O57" s="145"/>
      <c r="P57" s="133"/>
    </row>
    <row r="58" spans="1:16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31">
        <f t="shared" si="3"/>
        <v>3.3999999999999986</v>
      </c>
      <c r="L58" s="31">
        <f t="shared" si="4"/>
        <v>13.750000000000005</v>
      </c>
      <c r="M58" s="31"/>
      <c r="N58" s="32"/>
      <c r="O58" s="147"/>
      <c r="P58" s="135"/>
    </row>
    <row r="59" spans="1:16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6">
        <f t="shared" si="3"/>
        <v>0</v>
      </c>
      <c r="L59" s="6">
        <f t="shared" si="4"/>
        <v>39.700000000000003</v>
      </c>
      <c r="M59" s="146">
        <v>0.66</v>
      </c>
      <c r="N59" s="133">
        <v>1.6665000000000001</v>
      </c>
      <c r="O59" s="145">
        <v>-474.61579999999998</v>
      </c>
      <c r="P59" s="133">
        <v>283.44880000000001</v>
      </c>
    </row>
    <row r="60" spans="1:16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6">
        <f t="shared" si="3"/>
        <v>3.5</v>
      </c>
      <c r="L60" s="6">
        <f t="shared" si="4"/>
        <v>25.521428571428579</v>
      </c>
      <c r="M60" s="146"/>
      <c r="N60" s="133"/>
      <c r="O60" s="145"/>
      <c r="P60" s="133"/>
    </row>
    <row r="61" spans="1:16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6">
        <f t="shared" si="3"/>
        <v>4.6000000000000014</v>
      </c>
      <c r="L61" s="6">
        <f t="shared" si="4"/>
        <v>21.065306122448984</v>
      </c>
      <c r="M61" s="146"/>
      <c r="N61" s="133"/>
      <c r="O61" s="145"/>
      <c r="P61" s="133"/>
    </row>
    <row r="62" spans="1:16" ht="15.75" thickBot="1" x14ac:dyDescent="0.3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6">
        <f t="shared" si="3"/>
        <v>6.9000000000000057</v>
      </c>
      <c r="L62" s="6">
        <f t="shared" si="4"/>
        <v>11.747959183673457</v>
      </c>
      <c r="M62" s="146"/>
      <c r="N62" s="133"/>
      <c r="O62" s="147"/>
      <c r="P62" s="135"/>
    </row>
    <row r="63" spans="1:16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31">
        <f t="shared" si="3"/>
        <v>0</v>
      </c>
      <c r="L63" s="31">
        <f t="shared" si="4"/>
        <v>39.700000000000003</v>
      </c>
      <c r="M63" s="31">
        <v>0.57609999999999995</v>
      </c>
      <c r="N63" s="32">
        <v>1.724</v>
      </c>
      <c r="O63" s="145">
        <v>-430.76330000000002</v>
      </c>
      <c r="P63" s="32">
        <v>248.6174</v>
      </c>
    </row>
    <row r="64" spans="1:16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31">
        <f t="shared" si="3"/>
        <v>3.5</v>
      </c>
      <c r="L64" s="31">
        <f t="shared" si="4"/>
        <v>25.521428571428579</v>
      </c>
      <c r="M64" s="31"/>
      <c r="N64" s="32"/>
      <c r="O64" s="145"/>
      <c r="P64" s="133"/>
    </row>
    <row r="65" spans="1:16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31">
        <f t="shared" si="3"/>
        <v>4.6000000000000014</v>
      </c>
      <c r="L65" s="31">
        <f t="shared" si="4"/>
        <v>21.065306122448984</v>
      </c>
      <c r="M65" s="31"/>
      <c r="N65" s="32"/>
      <c r="O65" s="145"/>
      <c r="P65" s="133"/>
    </row>
    <row r="66" spans="1:16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5">
        <f t="shared" si="3"/>
        <v>6.9000000000000057</v>
      </c>
      <c r="L66" s="35">
        <f t="shared" si="4"/>
        <v>11.747959183673457</v>
      </c>
      <c r="M66" s="35"/>
      <c r="N66" s="36"/>
      <c r="O66" s="147"/>
      <c r="P66" s="135"/>
    </row>
  </sheetData>
  <mergeCells count="2">
    <mergeCell ref="M1:N1"/>
    <mergeCell ref="O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Model1</vt:lpstr>
      <vt:lpstr>Model2</vt:lpstr>
      <vt:lpstr>Model 3</vt:lpstr>
      <vt:lpstr>Model 4 - 10mm13cm</vt:lpstr>
      <vt:lpstr>Model 4 - 20mm40cm</vt:lpstr>
      <vt:lpstr>Model 5</vt:lpstr>
      <vt:lpstr>Model 6</vt:lpstr>
      <vt:lpstr>Model7- Pressure</vt:lpstr>
      <vt:lpstr>Model7 - strain</vt:lpstr>
      <vt:lpstr>Model7 - Length</vt:lpstr>
      <vt:lpstr>Model 7 -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cp:lastPrinted>2022-09-08T19:13:57Z</cp:lastPrinted>
  <dcterms:created xsi:type="dcterms:W3CDTF">2022-08-08T23:18:08Z</dcterms:created>
  <dcterms:modified xsi:type="dcterms:W3CDTF">2022-09-26T23:49:25Z</dcterms:modified>
</cp:coreProperties>
</file>