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oost\Dropbox\2Stuward gauge\"/>
    </mc:Choice>
  </mc:AlternateContent>
  <bookViews>
    <workbookView xWindow="0" yWindow="0" windowWidth="19560" windowHeight="8340"/>
  </bookViews>
  <sheets>
    <sheet name="Stewart Gough Platform" sheetId="4" r:id="rId1"/>
    <sheet name="Angle Actuators" sheetId="2" r:id="rId2"/>
    <sheet name="Angle II" sheetId="3" r:id="rId3"/>
    <sheet name="Angle I" sheetId="5" r:id="rId4"/>
  </sheets>
  <definedNames>
    <definedName name="_RMX2">#REF!</definedName>
    <definedName name="_RMY1">#REF!</definedName>
    <definedName name="_RMY2">#REF!</definedName>
    <definedName name="_RMZ1">#REF!</definedName>
    <definedName name="_RMZ2">#REF!</definedName>
    <definedName name="solver_adj" localSheetId="0" hidden="1">'Stewart Gough Platform'!$D$7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'Stewart Gough Platform'!$D$7</definedName>
    <definedName name="solver_lhs2" localSheetId="0" hidden="1">'Stewart Gough Platform'!$D$7</definedName>
    <definedName name="solver_lhs3" localSheetId="0" hidden="1">'Stewart Gough Platform'!$E$7</definedName>
    <definedName name="solver_lhs4" localSheetId="0" hidden="1">'Stewart Gough Platform'!$E$7</definedName>
    <definedName name="solver_mip" localSheetId="0" hidden="1">50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'Stewart Gough Platform'!$I$30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2</definedName>
    <definedName name="solver_rhs1" localSheetId="0" hidden="1">75</definedName>
    <definedName name="solver_rhs2" localSheetId="0" hidden="1">-75</definedName>
    <definedName name="solver_rhs3" localSheetId="0" hidden="1">75</definedName>
    <definedName name="solver_rhs4" localSheetId="0" hidden="1">-75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6</definedName>
    <definedName name="solver_ver" localSheetId="0" hidden="1">3</definedName>
    <definedName name="TBD">#REF!</definedName>
    <definedName name="XCOS">#REF!</definedName>
    <definedName name="XROTATE">#REF!</definedName>
    <definedName name="XSIN">#REF!</definedName>
    <definedName name="YCOS">#REF!</definedName>
    <definedName name="YROTATE">#REF!</definedName>
    <definedName name="YSIN">#REF!</definedName>
    <definedName name="ZCOS">#REF!</definedName>
    <definedName name="ZROTATE">#REF!</definedName>
    <definedName name="ZSIN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1" i="4" l="1"/>
  <c r="S31" i="4"/>
  <c r="T30" i="4"/>
  <c r="S30" i="4"/>
  <c r="G27" i="2"/>
  <c r="E27" i="2"/>
  <c r="T22" i="2" l="1"/>
  <c r="R31" i="4" l="1"/>
  <c r="D4" i="2" l="1"/>
  <c r="C4" i="2" l="1"/>
  <c r="O28" i="4"/>
  <c r="P28" i="4"/>
  <c r="Q28" i="4"/>
  <c r="R28" i="4"/>
  <c r="S28" i="4"/>
  <c r="N28" i="4"/>
  <c r="R8" i="5" l="1"/>
  <c r="R7" i="5"/>
  <c r="R6" i="5"/>
  <c r="R5" i="5"/>
  <c r="D5" i="5"/>
  <c r="C5" i="5"/>
  <c r="B5" i="5"/>
  <c r="R4" i="5"/>
  <c r="R3" i="5"/>
  <c r="G3" i="5"/>
  <c r="F3" i="5"/>
  <c r="E3" i="5"/>
  <c r="D3" i="5"/>
  <c r="C3" i="5"/>
  <c r="B3" i="5"/>
  <c r="T2" i="5"/>
  <c r="S2" i="5"/>
  <c r="R2" i="5"/>
  <c r="B2" i="5"/>
  <c r="E15" i="4"/>
  <c r="C12" i="2" s="1"/>
  <c r="D4" i="5"/>
  <c r="I15" i="2"/>
  <c r="K4" i="5" s="1"/>
  <c r="I12" i="2"/>
  <c r="I9" i="2"/>
  <c r="J5" i="2"/>
  <c r="L5" i="2"/>
  <c r="L4" i="5" s="1"/>
  <c r="M5" i="2"/>
  <c r="I5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B13" i="2"/>
  <c r="C13" i="2"/>
  <c r="D13" i="2"/>
  <c r="E13" i="2"/>
  <c r="F13" i="2"/>
  <c r="G13" i="2"/>
  <c r="B14" i="2"/>
  <c r="C14" i="2"/>
  <c r="B15" i="2"/>
  <c r="I4" i="5" s="1"/>
  <c r="C15" i="2"/>
  <c r="J4" i="5" s="1"/>
  <c r="B16" i="2"/>
  <c r="C16" i="2"/>
  <c r="C9" i="2"/>
  <c r="D9" i="2"/>
  <c r="E9" i="2"/>
  <c r="F9" i="2"/>
  <c r="G9" i="2"/>
  <c r="B9" i="2"/>
  <c r="C4" i="5"/>
  <c r="E4" i="2"/>
  <c r="E4" i="5" s="1"/>
  <c r="F4" i="2"/>
  <c r="F4" i="5" s="1"/>
  <c r="G4" i="2"/>
  <c r="G4" i="5" s="1"/>
  <c r="B4" i="2"/>
  <c r="B4" i="5" s="1"/>
  <c r="G15" i="4"/>
  <c r="E12" i="2" s="1"/>
  <c r="P14" i="4"/>
  <c r="N12" i="2" s="1"/>
  <c r="M14" i="4"/>
  <c r="K12" i="2" s="1"/>
  <c r="L14" i="4"/>
  <c r="J12" i="2" s="1"/>
  <c r="I15" i="4"/>
  <c r="G12" i="2" s="1"/>
  <c r="F15" i="4"/>
  <c r="H15" i="4" s="1"/>
  <c r="F12" i="2" s="1"/>
  <c r="P11" i="4"/>
  <c r="N9" i="2" s="1"/>
  <c r="O11" i="4"/>
  <c r="M9" i="2" s="1"/>
  <c r="N11" i="4"/>
  <c r="L9" i="2" s="1"/>
  <c r="M11" i="4"/>
  <c r="K9" i="2" s="1"/>
  <c r="L11" i="4"/>
  <c r="J9" i="2" s="1"/>
  <c r="B4" i="3" l="1"/>
  <c r="N14" i="4"/>
  <c r="L12" i="2" s="1"/>
  <c r="O14" i="4"/>
  <c r="M12" i="2" s="1"/>
  <c r="D12" i="2"/>
  <c r="C14" i="3"/>
  <c r="L4" i="3" l="1"/>
  <c r="D13" i="3"/>
  <c r="D13" i="5" s="1"/>
  <c r="C13" i="5" s="1"/>
  <c r="K4" i="3"/>
  <c r="J4" i="3"/>
  <c r="I4" i="3"/>
  <c r="C18" i="3"/>
  <c r="C17" i="3"/>
  <c r="C16" i="3"/>
  <c r="C15" i="3"/>
  <c r="C13" i="3"/>
  <c r="G4" i="3"/>
  <c r="F4" i="3"/>
  <c r="E4" i="3"/>
  <c r="K22" i="2"/>
  <c r="P2" i="3"/>
  <c r="Q2" i="3"/>
  <c r="R2" i="3"/>
  <c r="P3" i="3"/>
  <c r="P4" i="3"/>
  <c r="P5" i="3"/>
  <c r="P6" i="3"/>
  <c r="P7" i="3"/>
  <c r="P8" i="3"/>
  <c r="B2" i="3"/>
  <c r="B3" i="3"/>
  <c r="C3" i="3"/>
  <c r="D3" i="3"/>
  <c r="E3" i="3"/>
  <c r="F3" i="3"/>
  <c r="G3" i="3"/>
  <c r="C4" i="3"/>
  <c r="D4" i="3"/>
  <c r="B5" i="3"/>
  <c r="C5" i="3"/>
  <c r="D5" i="3"/>
  <c r="D6" i="3"/>
  <c r="M13" i="3" l="1"/>
  <c r="L13" i="3"/>
  <c r="K13" i="3"/>
  <c r="O22" i="2" l="1"/>
  <c r="K49" i="2" l="1"/>
  <c r="L151" i="2"/>
  <c r="X150" i="2"/>
  <c r="W150" i="2"/>
  <c r="U150" i="2"/>
  <c r="T150" i="2"/>
  <c r="S150" i="2"/>
  <c r="P150" i="2"/>
  <c r="L150" i="2"/>
  <c r="K150" i="2"/>
  <c r="I150" i="2"/>
  <c r="H150" i="2"/>
  <c r="G150" i="2"/>
  <c r="H155" i="2" s="1"/>
  <c r="F150" i="2"/>
  <c r="E150" i="2"/>
  <c r="D150" i="2"/>
  <c r="L126" i="2"/>
  <c r="X125" i="2"/>
  <c r="W125" i="2"/>
  <c r="U125" i="2"/>
  <c r="T125" i="2"/>
  <c r="S125" i="2"/>
  <c r="P125" i="2"/>
  <c r="L125" i="2"/>
  <c r="K125" i="2"/>
  <c r="I125" i="2"/>
  <c r="H125" i="2"/>
  <c r="G125" i="2"/>
  <c r="F125" i="2"/>
  <c r="E125" i="2"/>
  <c r="D125" i="2"/>
  <c r="L101" i="2"/>
  <c r="X100" i="2"/>
  <c r="W100" i="2"/>
  <c r="U100" i="2"/>
  <c r="T100" i="2"/>
  <c r="S100" i="2"/>
  <c r="P100" i="2"/>
  <c r="L100" i="2"/>
  <c r="K100" i="2"/>
  <c r="I100" i="2"/>
  <c r="H100" i="2"/>
  <c r="G100" i="2"/>
  <c r="F100" i="2"/>
  <c r="E100" i="2"/>
  <c r="D100" i="2"/>
  <c r="L76" i="2"/>
  <c r="X75" i="2"/>
  <c r="W75" i="2"/>
  <c r="U75" i="2"/>
  <c r="T75" i="2"/>
  <c r="S75" i="2"/>
  <c r="P75" i="2"/>
  <c r="L75" i="2"/>
  <c r="K75" i="2"/>
  <c r="I75" i="2"/>
  <c r="H75" i="2"/>
  <c r="G75" i="2"/>
  <c r="F75" i="2"/>
  <c r="E75" i="2"/>
  <c r="D75" i="2"/>
  <c r="L50" i="2"/>
  <c r="X49" i="2"/>
  <c r="W49" i="2"/>
  <c r="U49" i="2"/>
  <c r="T49" i="2"/>
  <c r="S49" i="2"/>
  <c r="P49" i="2"/>
  <c r="M49" i="2"/>
  <c r="L49" i="2"/>
  <c r="I49" i="2"/>
  <c r="H49" i="2"/>
  <c r="G49" i="2"/>
  <c r="F49" i="2"/>
  <c r="E49" i="2"/>
  <c r="D49" i="2"/>
  <c r="L23" i="2"/>
  <c r="X22" i="2"/>
  <c r="W22" i="2"/>
  <c r="B27" i="2" s="1"/>
  <c r="C27" i="2" s="1"/>
  <c r="D27" i="2" s="1"/>
  <c r="U22" i="2"/>
  <c r="S22" i="2"/>
  <c r="Q22" i="2"/>
  <c r="P22" i="2"/>
  <c r="M22" i="2"/>
  <c r="L22" i="2"/>
  <c r="I22" i="2"/>
  <c r="H22" i="2"/>
  <c r="G22" i="2"/>
  <c r="F22" i="2"/>
  <c r="J28" i="2" s="1"/>
  <c r="E22" i="2"/>
  <c r="D22" i="2"/>
  <c r="I81" i="2" l="1"/>
  <c r="H54" i="2"/>
  <c r="I55" i="2"/>
  <c r="H28" i="2"/>
  <c r="H39" i="2" s="1"/>
  <c r="H27" i="2"/>
  <c r="H31" i="2" s="1"/>
  <c r="I28" i="2"/>
  <c r="I27" i="2"/>
  <c r="I40" i="2" s="1"/>
  <c r="H130" i="2"/>
  <c r="I131" i="2"/>
  <c r="H105" i="2"/>
  <c r="I106" i="2"/>
  <c r="O150" i="2"/>
  <c r="D18" i="3"/>
  <c r="D18" i="5" s="1"/>
  <c r="C18" i="5" s="1"/>
  <c r="O125" i="2"/>
  <c r="D17" i="3"/>
  <c r="D17" i="5" s="1"/>
  <c r="C17" i="5" s="1"/>
  <c r="O100" i="2"/>
  <c r="D16" i="3"/>
  <c r="D16" i="5" s="1"/>
  <c r="C16" i="5" s="1"/>
  <c r="O75" i="2"/>
  <c r="D15" i="3"/>
  <c r="D15" i="5" s="1"/>
  <c r="C15" i="5" s="1"/>
  <c r="O49" i="2"/>
  <c r="D14" i="3"/>
  <c r="D14" i="5" s="1"/>
  <c r="C14" i="5" s="1"/>
  <c r="S131" i="2"/>
  <c r="B130" i="2"/>
  <c r="C130" i="2" s="1"/>
  <c r="D130" i="2" s="1"/>
  <c r="G130" i="2" s="1"/>
  <c r="R156" i="2"/>
  <c r="R155" i="2"/>
  <c r="B156" i="2"/>
  <c r="C156" i="2" s="1"/>
  <c r="D156" i="2" s="1"/>
  <c r="G156" i="2" s="1"/>
  <c r="B105" i="2"/>
  <c r="C105" i="2" s="1"/>
  <c r="D105" i="2" s="1"/>
  <c r="S106" i="2"/>
  <c r="B80" i="2"/>
  <c r="C80" i="2" s="1"/>
  <c r="D80" i="2" s="1"/>
  <c r="G80" i="2" s="1"/>
  <c r="S81" i="2"/>
  <c r="R106" i="2"/>
  <c r="B106" i="2"/>
  <c r="C106" i="2" s="1"/>
  <c r="D106" i="2" s="1"/>
  <c r="G106" i="2" s="1"/>
  <c r="R105" i="2"/>
  <c r="B54" i="2"/>
  <c r="C54" i="2" s="1"/>
  <c r="D54" i="2" s="1"/>
  <c r="G54" i="2" s="1"/>
  <c r="S55" i="2"/>
  <c r="R81" i="2"/>
  <c r="R80" i="2"/>
  <c r="B81" i="2"/>
  <c r="C81" i="2" s="1"/>
  <c r="D81" i="2" s="1"/>
  <c r="G81" i="2" s="1"/>
  <c r="B55" i="2"/>
  <c r="C55" i="2" s="1"/>
  <c r="D55" i="2" s="1"/>
  <c r="F55" i="2" s="1"/>
  <c r="R54" i="2"/>
  <c r="T54" i="2" s="1"/>
  <c r="R55" i="2"/>
  <c r="R130" i="2"/>
  <c r="T130" i="2" s="1"/>
  <c r="R131" i="2"/>
  <c r="B131" i="2"/>
  <c r="C131" i="2" s="1"/>
  <c r="D131" i="2" s="1"/>
  <c r="S156" i="2"/>
  <c r="B155" i="2"/>
  <c r="C155" i="2" s="1"/>
  <c r="D155" i="2" s="1"/>
  <c r="G155" i="2" s="1"/>
  <c r="S28" i="2"/>
  <c r="R27" i="2"/>
  <c r="T27" i="2" s="1"/>
  <c r="R28" i="2"/>
  <c r="Q49" i="2"/>
  <c r="B28" i="2"/>
  <c r="C28" i="2" s="1"/>
  <c r="D28" i="2" s="1"/>
  <c r="M125" i="2"/>
  <c r="J27" i="2"/>
  <c r="Q75" i="2"/>
  <c r="Q125" i="2"/>
  <c r="Q100" i="2"/>
  <c r="M100" i="2"/>
  <c r="Q150" i="2"/>
  <c r="M150" i="2"/>
  <c r="M75" i="2"/>
  <c r="H29" i="2" l="1"/>
  <c r="H40" i="2" s="1"/>
  <c r="H30" i="2"/>
  <c r="H41" i="2" s="1"/>
  <c r="I105" i="2"/>
  <c r="I119" i="2" s="1"/>
  <c r="E81" i="2"/>
  <c r="I54" i="2"/>
  <c r="I59" i="2" s="1"/>
  <c r="F131" i="2"/>
  <c r="L16" i="3"/>
  <c r="K16" i="3"/>
  <c r="M16" i="3"/>
  <c r="L17" i="3"/>
  <c r="M17" i="3"/>
  <c r="K17" i="3"/>
  <c r="M15" i="3"/>
  <c r="K15" i="3"/>
  <c r="L15" i="3"/>
  <c r="K14" i="3"/>
  <c r="L14" i="3"/>
  <c r="M14" i="3"/>
  <c r="M18" i="3"/>
  <c r="L18" i="3"/>
  <c r="K18" i="3"/>
  <c r="J155" i="2"/>
  <c r="J161" i="2" s="1"/>
  <c r="J130" i="2"/>
  <c r="J137" i="2" s="1"/>
  <c r="H65" i="2"/>
  <c r="J54" i="2"/>
  <c r="J55" i="2" s="1"/>
  <c r="J80" i="2"/>
  <c r="J86" i="2" s="1"/>
  <c r="G131" i="2"/>
  <c r="E131" i="2"/>
  <c r="F156" i="2"/>
  <c r="B29" i="2"/>
  <c r="C29" i="2" s="1"/>
  <c r="D29" i="2" s="1"/>
  <c r="F29" i="2" s="1"/>
  <c r="E55" i="2"/>
  <c r="G55" i="2"/>
  <c r="F54" i="2"/>
  <c r="E54" i="2"/>
  <c r="H162" i="2"/>
  <c r="I80" i="2"/>
  <c r="I87" i="2" s="1"/>
  <c r="I155" i="2"/>
  <c r="I162" i="2" s="1"/>
  <c r="T155" i="2"/>
  <c r="F155" i="2"/>
  <c r="E156" i="2"/>
  <c r="J105" i="2"/>
  <c r="J116" i="2" s="1"/>
  <c r="H134" i="2"/>
  <c r="I130" i="2"/>
  <c r="I141" i="2" s="1"/>
  <c r="H112" i="2"/>
  <c r="F81" i="2"/>
  <c r="F80" i="2"/>
  <c r="H80" i="2"/>
  <c r="H91" i="2" s="1"/>
  <c r="T105" i="2"/>
  <c r="T80" i="2"/>
  <c r="M27" i="2"/>
  <c r="F27" i="2"/>
  <c r="L27" i="2" s="1"/>
  <c r="E28" i="2"/>
  <c r="K28" i="2" s="1"/>
  <c r="F106" i="2"/>
  <c r="E106" i="2"/>
  <c r="G28" i="2"/>
  <c r="E130" i="2"/>
  <c r="E155" i="2"/>
  <c r="E80" i="2"/>
  <c r="F130" i="2"/>
  <c r="H38" i="2"/>
  <c r="H33" i="2"/>
  <c r="H36" i="2"/>
  <c r="H35" i="2"/>
  <c r="H37" i="2"/>
  <c r="H32" i="2"/>
  <c r="H34" i="2"/>
  <c r="I37" i="2"/>
  <c r="I33" i="2"/>
  <c r="I29" i="2"/>
  <c r="I30" i="2"/>
  <c r="I38" i="2"/>
  <c r="I41" i="2"/>
  <c r="I31" i="2"/>
  <c r="I32" i="2"/>
  <c r="I39" i="2"/>
  <c r="I35" i="2"/>
  <c r="I36" i="2"/>
  <c r="I34" i="2"/>
  <c r="K27" i="2"/>
  <c r="J40" i="2"/>
  <c r="J36" i="2"/>
  <c r="J39" i="2"/>
  <c r="J38" i="2"/>
  <c r="J37" i="2"/>
  <c r="J30" i="2"/>
  <c r="J34" i="2"/>
  <c r="J29" i="2"/>
  <c r="J35" i="2"/>
  <c r="J31" i="2"/>
  <c r="J33" i="2"/>
  <c r="J41" i="2"/>
  <c r="J32" i="2"/>
  <c r="J13" i="3" l="1"/>
  <c r="H22" i="3" s="1"/>
  <c r="J13" i="5"/>
  <c r="I16" i="3"/>
  <c r="G25" i="3" s="1"/>
  <c r="I16" i="5"/>
  <c r="I13" i="3"/>
  <c r="G22" i="3" s="1"/>
  <c r="I13" i="5"/>
  <c r="H13" i="3"/>
  <c r="F22" i="3" s="1"/>
  <c r="H13" i="5"/>
  <c r="I117" i="2"/>
  <c r="I112" i="2"/>
  <c r="I107" i="2"/>
  <c r="L106" i="2"/>
  <c r="I110" i="2"/>
  <c r="I111" i="2"/>
  <c r="I109" i="2"/>
  <c r="I115" i="2"/>
  <c r="I108" i="2"/>
  <c r="I114" i="2"/>
  <c r="I116" i="2"/>
  <c r="I113" i="2"/>
  <c r="I118" i="2"/>
  <c r="J59" i="2"/>
  <c r="L55" i="2"/>
  <c r="I56" i="2"/>
  <c r="I63" i="2"/>
  <c r="I57" i="2"/>
  <c r="I67" i="2"/>
  <c r="I60" i="2"/>
  <c r="I58" i="2"/>
  <c r="I64" i="2"/>
  <c r="L54" i="2"/>
  <c r="I62" i="2"/>
  <c r="I66" i="2"/>
  <c r="I65" i="2"/>
  <c r="I68" i="2"/>
  <c r="I61" i="2"/>
  <c r="J66" i="2"/>
  <c r="J65" i="2"/>
  <c r="J58" i="2"/>
  <c r="J68" i="2"/>
  <c r="J60" i="2"/>
  <c r="J63" i="2"/>
  <c r="M54" i="2"/>
  <c r="J57" i="2"/>
  <c r="H61" i="2"/>
  <c r="K54" i="2"/>
  <c r="J167" i="2"/>
  <c r="J156" i="2"/>
  <c r="M156" i="2" s="1"/>
  <c r="J160" i="2"/>
  <c r="J162" i="2"/>
  <c r="J163" i="2"/>
  <c r="J169" i="2"/>
  <c r="J158" i="2"/>
  <c r="J164" i="2"/>
  <c r="J166" i="2"/>
  <c r="J165" i="2"/>
  <c r="J157" i="2"/>
  <c r="M155" i="2"/>
  <c r="J168" i="2"/>
  <c r="J159" i="2"/>
  <c r="H63" i="2"/>
  <c r="H57" i="2"/>
  <c r="H68" i="2" s="1"/>
  <c r="J61" i="2"/>
  <c r="J67" i="2"/>
  <c r="H64" i="2"/>
  <c r="J56" i="2"/>
  <c r="J62" i="2"/>
  <c r="J64" i="2"/>
  <c r="H55" i="2"/>
  <c r="H66" i="2" s="1"/>
  <c r="H56" i="2"/>
  <c r="H67" i="2" s="1"/>
  <c r="J131" i="2"/>
  <c r="M131" i="2" s="1"/>
  <c r="J135" i="2"/>
  <c r="J142" i="2"/>
  <c r="J143" i="2"/>
  <c r="J139" i="2"/>
  <c r="M130" i="2"/>
  <c r="J134" i="2"/>
  <c r="J140" i="2"/>
  <c r="J141" i="2"/>
  <c r="J138" i="2"/>
  <c r="J133" i="2"/>
  <c r="J136" i="2"/>
  <c r="J144" i="2"/>
  <c r="J132" i="2"/>
  <c r="J90" i="2"/>
  <c r="J94" i="2"/>
  <c r="H62" i="2"/>
  <c r="H60" i="2"/>
  <c r="H59" i="2"/>
  <c r="H58" i="2"/>
  <c r="M80" i="2"/>
  <c r="J81" i="2"/>
  <c r="M81" i="2" s="1"/>
  <c r="J87" i="2"/>
  <c r="J85" i="2"/>
  <c r="J88" i="2"/>
  <c r="J89" i="2"/>
  <c r="J92" i="2"/>
  <c r="J93" i="2"/>
  <c r="J91" i="2"/>
  <c r="J83" i="2"/>
  <c r="J82" i="2"/>
  <c r="J84" i="2"/>
  <c r="H163" i="2"/>
  <c r="H161" i="2"/>
  <c r="H166" i="2"/>
  <c r="H156" i="2"/>
  <c r="H167" i="2" s="1"/>
  <c r="H164" i="2"/>
  <c r="H157" i="2"/>
  <c r="H168" i="2" s="1"/>
  <c r="H160" i="2"/>
  <c r="H159" i="2"/>
  <c r="H158" i="2"/>
  <c r="H169" i="2" s="1"/>
  <c r="H165" i="2"/>
  <c r="I143" i="2"/>
  <c r="I156" i="2"/>
  <c r="L156" i="2" s="1"/>
  <c r="I84" i="2"/>
  <c r="I93" i="2"/>
  <c r="I166" i="2"/>
  <c r="I157" i="2"/>
  <c r="I82" i="2"/>
  <c r="I161" i="2"/>
  <c r="I90" i="2"/>
  <c r="I164" i="2"/>
  <c r="I158" i="2"/>
  <c r="H132" i="2"/>
  <c r="H143" i="2" s="1"/>
  <c r="H140" i="2"/>
  <c r="H138" i="2"/>
  <c r="I168" i="2"/>
  <c r="I89" i="2"/>
  <c r="H131" i="2"/>
  <c r="H142" i="2" s="1"/>
  <c r="I83" i="2"/>
  <c r="H137" i="2"/>
  <c r="H133" i="2"/>
  <c r="H144" i="2" s="1"/>
  <c r="I159" i="2"/>
  <c r="I137" i="2"/>
  <c r="H136" i="2"/>
  <c r="I138" i="2"/>
  <c r="I94" i="2"/>
  <c r="I142" i="2"/>
  <c r="H135" i="2"/>
  <c r="H141" i="2"/>
  <c r="I88" i="2"/>
  <c r="I91" i="2"/>
  <c r="I140" i="2"/>
  <c r="H139" i="2"/>
  <c r="I139" i="2"/>
  <c r="L81" i="2"/>
  <c r="I132" i="2"/>
  <c r="M55" i="2"/>
  <c r="I92" i="2"/>
  <c r="I86" i="2"/>
  <c r="L130" i="2"/>
  <c r="K155" i="2"/>
  <c r="I136" i="2"/>
  <c r="I85" i="2"/>
  <c r="L80" i="2"/>
  <c r="K130" i="2"/>
  <c r="O130" i="2" s="1"/>
  <c r="I163" i="2"/>
  <c r="I165" i="2"/>
  <c r="I135" i="2"/>
  <c r="I144" i="2"/>
  <c r="L155" i="2"/>
  <c r="I167" i="2"/>
  <c r="I169" i="2"/>
  <c r="I134" i="2"/>
  <c r="I133" i="2"/>
  <c r="H109" i="2"/>
  <c r="H110" i="2"/>
  <c r="I160" i="2"/>
  <c r="L131" i="2"/>
  <c r="H116" i="2"/>
  <c r="M28" i="2"/>
  <c r="O28" i="2" s="1"/>
  <c r="H113" i="2"/>
  <c r="H106" i="2"/>
  <c r="H117" i="2" s="1"/>
  <c r="H107" i="2"/>
  <c r="H118" i="2" s="1"/>
  <c r="H111" i="2"/>
  <c r="H115" i="2"/>
  <c r="E29" i="2"/>
  <c r="K29" i="2" s="1"/>
  <c r="G29" i="2"/>
  <c r="M29" i="2" s="1"/>
  <c r="J109" i="2"/>
  <c r="J118" i="2"/>
  <c r="J110" i="2"/>
  <c r="J119" i="2"/>
  <c r="J113" i="2"/>
  <c r="J107" i="2"/>
  <c r="J115" i="2"/>
  <c r="J108" i="2"/>
  <c r="J112" i="2"/>
  <c r="J111" i="2"/>
  <c r="J117" i="2"/>
  <c r="J114" i="2"/>
  <c r="J106" i="2"/>
  <c r="M106" i="2" s="1"/>
  <c r="H89" i="2"/>
  <c r="H81" i="2"/>
  <c r="H92" i="2" s="1"/>
  <c r="H86" i="2"/>
  <c r="K80" i="2"/>
  <c r="H114" i="2"/>
  <c r="H84" i="2"/>
  <c r="H83" i="2"/>
  <c r="H94" i="2" s="1"/>
  <c r="H90" i="2"/>
  <c r="H108" i="2"/>
  <c r="H119" i="2" s="1"/>
  <c r="H85" i="2"/>
  <c r="H87" i="2"/>
  <c r="H82" i="2"/>
  <c r="H93" i="2" s="1"/>
  <c r="H88" i="2"/>
  <c r="F28" i="2"/>
  <c r="L28" i="2" s="1"/>
  <c r="L29" i="2"/>
  <c r="G105" i="2"/>
  <c r="M105" i="2" s="1"/>
  <c r="E105" i="2"/>
  <c r="K105" i="2" s="1"/>
  <c r="F105" i="2"/>
  <c r="L105" i="2" s="1"/>
  <c r="N27" i="2"/>
  <c r="Q27" i="2" s="1"/>
  <c r="O27" i="2"/>
  <c r="J16" i="3" l="1"/>
  <c r="H25" i="3" s="1"/>
  <c r="J16" i="5"/>
  <c r="J15" i="3"/>
  <c r="H24" i="3" s="1"/>
  <c r="J15" i="5"/>
  <c r="J14" i="3"/>
  <c r="H23" i="3" s="1"/>
  <c r="J14" i="5"/>
  <c r="J18" i="3"/>
  <c r="H27" i="3" s="1"/>
  <c r="J18" i="5"/>
  <c r="J17" i="3"/>
  <c r="H26" i="3" s="1"/>
  <c r="J17" i="5"/>
  <c r="I15" i="3"/>
  <c r="G24" i="3" s="1"/>
  <c r="I15" i="5"/>
  <c r="I17" i="3"/>
  <c r="G26" i="3" s="1"/>
  <c r="I17" i="5"/>
  <c r="I14" i="3"/>
  <c r="G23" i="3" s="1"/>
  <c r="I14" i="5"/>
  <c r="I18" i="3"/>
  <c r="G27" i="3" s="1"/>
  <c r="I18" i="5"/>
  <c r="H15" i="3"/>
  <c r="F24" i="3" s="1"/>
  <c r="H15" i="5"/>
  <c r="H17" i="3"/>
  <c r="F26" i="3" s="1"/>
  <c r="H17" i="5"/>
  <c r="H16" i="3"/>
  <c r="F25" i="3" s="1"/>
  <c r="H16" i="5"/>
  <c r="H18" i="3"/>
  <c r="F27" i="3" s="1"/>
  <c r="H18" i="5"/>
  <c r="H14" i="3"/>
  <c r="F23" i="3" s="1"/>
  <c r="H14" i="5"/>
  <c r="N54" i="2"/>
  <c r="Q54" i="2" s="1"/>
  <c r="O54" i="2"/>
  <c r="O155" i="2"/>
  <c r="K156" i="2"/>
  <c r="N156" i="2" s="1"/>
  <c r="Q156" i="2" s="1"/>
  <c r="K55" i="2"/>
  <c r="N55" i="2" s="1"/>
  <c r="Q55" i="2" s="1"/>
  <c r="N155" i="2"/>
  <c r="Q155" i="2" s="1"/>
  <c r="K131" i="2"/>
  <c r="N131" i="2" s="1"/>
  <c r="N130" i="2"/>
  <c r="Q130" i="2" s="1"/>
  <c r="K81" i="2"/>
  <c r="O81" i="2" s="1"/>
  <c r="N80" i="2"/>
  <c r="Q80" i="2" s="1"/>
  <c r="O80" i="2"/>
  <c r="K106" i="2"/>
  <c r="N28" i="2"/>
  <c r="Q28" i="2" s="1"/>
  <c r="P27" i="2"/>
  <c r="N29" i="2"/>
  <c r="Q29" i="2" s="1"/>
  <c r="S29" i="2" s="1"/>
  <c r="U27" i="2"/>
  <c r="O29" i="2"/>
  <c r="N105" i="2"/>
  <c r="Q105" i="2" s="1"/>
  <c r="O105" i="2"/>
  <c r="U54" i="2" l="1"/>
  <c r="P54" i="2"/>
  <c r="O55" i="2"/>
  <c r="O156" i="2"/>
  <c r="U155" i="2"/>
  <c r="P155" i="2"/>
  <c r="O131" i="2"/>
  <c r="P130" i="2"/>
  <c r="U130" i="2"/>
  <c r="U80" i="2"/>
  <c r="N81" i="2"/>
  <c r="Q81" i="2" s="1"/>
  <c r="P156" i="2"/>
  <c r="P29" i="2"/>
  <c r="P55" i="2"/>
  <c r="U131" i="2"/>
  <c r="Q131" i="2"/>
  <c r="P131" i="2"/>
  <c r="N106" i="2"/>
  <c r="P105" i="2"/>
  <c r="P80" i="2"/>
  <c r="B132" i="2"/>
  <c r="C132" i="2" s="1"/>
  <c r="D132" i="2" s="1"/>
  <c r="O106" i="2"/>
  <c r="P28" i="2"/>
  <c r="U55" i="2"/>
  <c r="R29" i="2"/>
  <c r="U28" i="2"/>
  <c r="U29" i="2"/>
  <c r="U105" i="2"/>
  <c r="B82" i="2"/>
  <c r="C82" i="2" s="1"/>
  <c r="D82" i="2" s="1"/>
  <c r="U156" i="2"/>
  <c r="P81" i="2" l="1"/>
  <c r="U81" i="2"/>
  <c r="U106" i="2"/>
  <c r="Q106" i="2"/>
  <c r="P106" i="2"/>
  <c r="G132" i="2"/>
  <c r="M132" i="2" s="1"/>
  <c r="F132" i="2"/>
  <c r="L132" i="2" s="1"/>
  <c r="E132" i="2"/>
  <c r="K132" i="2" s="1"/>
  <c r="G82" i="2"/>
  <c r="M82" i="2" s="1"/>
  <c r="E82" i="2"/>
  <c r="K82" i="2" s="1"/>
  <c r="F82" i="2"/>
  <c r="L82" i="2" s="1"/>
  <c r="B56" i="2"/>
  <c r="B30" i="2"/>
  <c r="C30" i="2" s="1"/>
  <c r="T28" i="2"/>
  <c r="T81" i="2"/>
  <c r="T55" i="2"/>
  <c r="T131" i="2"/>
  <c r="O132" i="2" l="1"/>
  <c r="O82" i="2"/>
  <c r="C56" i="2"/>
  <c r="D56" i="2" s="1"/>
  <c r="F56" i="2" s="1"/>
  <c r="L56" i="2" s="1"/>
  <c r="B157" i="2"/>
  <c r="C157" i="2" s="1"/>
  <c r="D157" i="2" s="1"/>
  <c r="N132" i="2"/>
  <c r="Q132" i="2" s="1"/>
  <c r="T106" i="2"/>
  <c r="B107" i="2"/>
  <c r="C107" i="2" s="1"/>
  <c r="D107" i="2" s="1"/>
  <c r="N82" i="2"/>
  <c r="Q82" i="2" s="1"/>
  <c r="D30" i="2"/>
  <c r="E30" i="2" s="1"/>
  <c r="K30" i="2" s="1"/>
  <c r="T29" i="2"/>
  <c r="T156" i="2"/>
  <c r="P132" i="2" l="1"/>
  <c r="S132" i="2"/>
  <c r="R132" i="2"/>
  <c r="S82" i="2"/>
  <c r="R82" i="2"/>
  <c r="P82" i="2"/>
  <c r="G56" i="2"/>
  <c r="M56" i="2" s="1"/>
  <c r="E56" i="2"/>
  <c r="K56" i="2" s="1"/>
  <c r="G157" i="2"/>
  <c r="M157" i="2" s="1"/>
  <c r="E157" i="2"/>
  <c r="K157" i="2" s="1"/>
  <c r="F157" i="2"/>
  <c r="L157" i="2" s="1"/>
  <c r="U132" i="2"/>
  <c r="F107" i="2"/>
  <c r="L107" i="2" s="1"/>
  <c r="G107" i="2"/>
  <c r="M107" i="2" s="1"/>
  <c r="E107" i="2"/>
  <c r="K107" i="2" s="1"/>
  <c r="U82" i="2"/>
  <c r="F30" i="2"/>
  <c r="L30" i="2" s="1"/>
  <c r="G30" i="2"/>
  <c r="M30" i="2" s="1"/>
  <c r="O30" i="2" s="1"/>
  <c r="O56" i="2" l="1"/>
  <c r="O157" i="2"/>
  <c r="O107" i="2"/>
  <c r="N107" i="2"/>
  <c r="Q107" i="2" s="1"/>
  <c r="N56" i="2"/>
  <c r="N157" i="2"/>
  <c r="Q157" i="2" s="1"/>
  <c r="N30" i="2"/>
  <c r="U107" i="2" l="1"/>
  <c r="R157" i="2"/>
  <c r="S157" i="2"/>
  <c r="P157" i="2"/>
  <c r="P107" i="2"/>
  <c r="R107" i="2"/>
  <c r="S107" i="2"/>
  <c r="Q56" i="2"/>
  <c r="U56" i="2"/>
  <c r="P56" i="2"/>
  <c r="U157" i="2"/>
  <c r="B133" i="2"/>
  <c r="C133" i="2" s="1"/>
  <c r="D133" i="2" s="1"/>
  <c r="T132" i="2"/>
  <c r="B83" i="2"/>
  <c r="C83" i="2" s="1"/>
  <c r="D83" i="2" s="1"/>
  <c r="T82" i="2"/>
  <c r="P30" i="2"/>
  <c r="Q30" i="2"/>
  <c r="R30" i="2" s="1"/>
  <c r="U30" i="2"/>
  <c r="S56" i="2" l="1"/>
  <c r="R56" i="2"/>
  <c r="F133" i="2"/>
  <c r="L133" i="2" s="1"/>
  <c r="E133" i="2"/>
  <c r="K133" i="2" s="1"/>
  <c r="G133" i="2"/>
  <c r="M133" i="2" s="1"/>
  <c r="T107" i="2"/>
  <c r="B108" i="2"/>
  <c r="C108" i="2" s="1"/>
  <c r="D108" i="2" s="1"/>
  <c r="G83" i="2"/>
  <c r="M83" i="2" s="1"/>
  <c r="F83" i="2"/>
  <c r="L83" i="2" s="1"/>
  <c r="E83" i="2"/>
  <c r="K83" i="2" s="1"/>
  <c r="S30" i="2"/>
  <c r="N133" i="2" l="1"/>
  <c r="Q133" i="2" s="1"/>
  <c r="O83" i="2"/>
  <c r="B57" i="2"/>
  <c r="T56" i="2"/>
  <c r="B158" i="2"/>
  <c r="C158" i="2" s="1"/>
  <c r="D158" i="2" s="1"/>
  <c r="T157" i="2"/>
  <c r="O133" i="2"/>
  <c r="G108" i="2"/>
  <c r="M108" i="2" s="1"/>
  <c r="E108" i="2"/>
  <c r="K108" i="2" s="1"/>
  <c r="F108" i="2"/>
  <c r="L108" i="2" s="1"/>
  <c r="N83" i="2"/>
  <c r="Q83" i="2" s="1"/>
  <c r="B31" i="2"/>
  <c r="C31" i="2" s="1"/>
  <c r="D31" i="2" s="1"/>
  <c r="E31" i="2" s="1"/>
  <c r="K31" i="2" s="1"/>
  <c r="T30" i="2"/>
  <c r="S133" i="2" l="1"/>
  <c r="R133" i="2"/>
  <c r="U133" i="2"/>
  <c r="P133" i="2"/>
  <c r="P83" i="2"/>
  <c r="S83" i="2"/>
  <c r="R83" i="2"/>
  <c r="C57" i="2"/>
  <c r="D57" i="2" s="1"/>
  <c r="G158" i="2"/>
  <c r="M158" i="2" s="1"/>
  <c r="F158" i="2"/>
  <c r="L158" i="2" s="1"/>
  <c r="E158" i="2"/>
  <c r="K158" i="2" s="1"/>
  <c r="O108" i="2"/>
  <c r="N108" i="2"/>
  <c r="Q108" i="2" s="1"/>
  <c r="U83" i="2"/>
  <c r="F31" i="2"/>
  <c r="L31" i="2" s="1"/>
  <c r="G31" i="2"/>
  <c r="M31" i="2" s="1"/>
  <c r="O31" i="2" s="1"/>
  <c r="N158" i="2" l="1"/>
  <c r="Q158" i="2" s="1"/>
  <c r="O158" i="2"/>
  <c r="S108" i="2"/>
  <c r="R108" i="2"/>
  <c r="P108" i="2"/>
  <c r="E57" i="2"/>
  <c r="K57" i="2" s="1"/>
  <c r="F57" i="2"/>
  <c r="L57" i="2" s="1"/>
  <c r="G57" i="2"/>
  <c r="M57" i="2" s="1"/>
  <c r="B134" i="2"/>
  <c r="C134" i="2" s="1"/>
  <c r="D134" i="2" s="1"/>
  <c r="T133" i="2"/>
  <c r="U108" i="2"/>
  <c r="N31" i="2"/>
  <c r="U158" i="2" l="1"/>
  <c r="O57" i="2"/>
  <c r="P158" i="2"/>
  <c r="S158" i="2"/>
  <c r="R158" i="2"/>
  <c r="N57" i="2"/>
  <c r="G134" i="2"/>
  <c r="M134" i="2" s="1"/>
  <c r="E134" i="2"/>
  <c r="K134" i="2" s="1"/>
  <c r="F134" i="2"/>
  <c r="L134" i="2" s="1"/>
  <c r="B84" i="2"/>
  <c r="C84" i="2" s="1"/>
  <c r="D84" i="2" s="1"/>
  <c r="T83" i="2"/>
  <c r="P31" i="2"/>
  <c r="Q31" i="2"/>
  <c r="U31" i="2"/>
  <c r="U57" i="2" l="1"/>
  <c r="Q57" i="2"/>
  <c r="P57" i="2"/>
  <c r="B159" i="2"/>
  <c r="C159" i="2" s="1"/>
  <c r="D159" i="2" s="1"/>
  <c r="T158" i="2"/>
  <c r="N134" i="2"/>
  <c r="Q134" i="2" s="1"/>
  <c r="O134" i="2"/>
  <c r="B109" i="2"/>
  <c r="C109" i="2" s="1"/>
  <c r="D109" i="2" s="1"/>
  <c r="T108" i="2"/>
  <c r="F84" i="2"/>
  <c r="L84" i="2" s="1"/>
  <c r="E84" i="2"/>
  <c r="K84" i="2" s="1"/>
  <c r="G84" i="2"/>
  <c r="M84" i="2" s="1"/>
  <c r="R31" i="2"/>
  <c r="S31" i="2"/>
  <c r="S134" i="2" l="1"/>
  <c r="R134" i="2"/>
  <c r="P134" i="2"/>
  <c r="N84" i="2"/>
  <c r="Q84" i="2" s="1"/>
  <c r="O84" i="2"/>
  <c r="R57" i="2"/>
  <c r="S57" i="2"/>
  <c r="F159" i="2"/>
  <c r="L159" i="2" s="1"/>
  <c r="G159" i="2"/>
  <c r="M159" i="2" s="1"/>
  <c r="E159" i="2"/>
  <c r="K159" i="2" s="1"/>
  <c r="U134" i="2"/>
  <c r="G109" i="2"/>
  <c r="M109" i="2" s="1"/>
  <c r="E109" i="2"/>
  <c r="K109" i="2" s="1"/>
  <c r="F109" i="2"/>
  <c r="L109" i="2" s="1"/>
  <c r="T31" i="2"/>
  <c r="B32" i="2"/>
  <c r="S84" i="2" l="1"/>
  <c r="R84" i="2"/>
  <c r="U84" i="2"/>
  <c r="P84" i="2"/>
  <c r="B58" i="2"/>
  <c r="T57" i="2"/>
  <c r="N159" i="2"/>
  <c r="Q159" i="2" s="1"/>
  <c r="O159" i="2"/>
  <c r="N109" i="2"/>
  <c r="Q109" i="2" s="1"/>
  <c r="O109" i="2"/>
  <c r="C32" i="2"/>
  <c r="D32" i="2" s="1"/>
  <c r="R159" i="2" l="1"/>
  <c r="S159" i="2"/>
  <c r="P159" i="2"/>
  <c r="R109" i="2"/>
  <c r="S109" i="2"/>
  <c r="P109" i="2"/>
  <c r="C58" i="2"/>
  <c r="D58" i="2" s="1"/>
  <c r="U159" i="2"/>
  <c r="B135" i="2"/>
  <c r="C135" i="2" s="1"/>
  <c r="D135" i="2" s="1"/>
  <c r="T134" i="2"/>
  <c r="U109" i="2"/>
  <c r="B85" i="2"/>
  <c r="C85" i="2" s="1"/>
  <c r="D85" i="2" s="1"/>
  <c r="T84" i="2"/>
  <c r="E32" i="2"/>
  <c r="K32" i="2" s="1"/>
  <c r="G32" i="2"/>
  <c r="M32" i="2" s="1"/>
  <c r="F32" i="2"/>
  <c r="L32" i="2" s="1"/>
  <c r="E58" i="2" l="1"/>
  <c r="K58" i="2" s="1"/>
  <c r="F58" i="2"/>
  <c r="L58" i="2" s="1"/>
  <c r="G58" i="2"/>
  <c r="M58" i="2" s="1"/>
  <c r="E135" i="2"/>
  <c r="K135" i="2" s="1"/>
  <c r="F135" i="2"/>
  <c r="L135" i="2" s="1"/>
  <c r="G135" i="2"/>
  <c r="M135" i="2" s="1"/>
  <c r="E85" i="2"/>
  <c r="K85" i="2" s="1"/>
  <c r="G85" i="2"/>
  <c r="M85" i="2" s="1"/>
  <c r="F85" i="2"/>
  <c r="L85" i="2" s="1"/>
  <c r="N32" i="2"/>
  <c r="Q32" i="2" s="1"/>
  <c r="S32" i="2" s="1"/>
  <c r="O32" i="2"/>
  <c r="O58" i="2" l="1"/>
  <c r="O135" i="2"/>
  <c r="O85" i="2"/>
  <c r="N58" i="2"/>
  <c r="P58" i="2" s="1"/>
  <c r="B160" i="2"/>
  <c r="C160" i="2" s="1"/>
  <c r="D160" i="2" s="1"/>
  <c r="T159" i="2"/>
  <c r="N135" i="2"/>
  <c r="Q135" i="2" s="1"/>
  <c r="B110" i="2"/>
  <c r="C110" i="2" s="1"/>
  <c r="D110" i="2" s="1"/>
  <c r="T109" i="2"/>
  <c r="N85" i="2"/>
  <c r="Q85" i="2" s="1"/>
  <c r="P32" i="2"/>
  <c r="U32" i="2"/>
  <c r="R32" i="2"/>
  <c r="S135" i="2" l="1"/>
  <c r="R135" i="2"/>
  <c r="P135" i="2"/>
  <c r="S85" i="2"/>
  <c r="R85" i="2"/>
  <c r="P85" i="2"/>
  <c r="Q58" i="2"/>
  <c r="U58" i="2"/>
  <c r="G160" i="2"/>
  <c r="M160" i="2" s="1"/>
  <c r="E160" i="2"/>
  <c r="K160" i="2" s="1"/>
  <c r="F160" i="2"/>
  <c r="L160" i="2" s="1"/>
  <c r="U135" i="2"/>
  <c r="G110" i="2"/>
  <c r="M110" i="2" s="1"/>
  <c r="F110" i="2"/>
  <c r="L110" i="2" s="1"/>
  <c r="E110" i="2"/>
  <c r="K110" i="2" s="1"/>
  <c r="U85" i="2"/>
  <c r="B33" i="2"/>
  <c r="C33" i="2" s="1"/>
  <c r="T32" i="2"/>
  <c r="D33" i="2" l="1"/>
  <c r="E33" i="2" s="1"/>
  <c r="K33" i="2" s="1"/>
  <c r="N110" i="2"/>
  <c r="Q110" i="2" s="1"/>
  <c r="S58" i="2"/>
  <c r="R58" i="2"/>
  <c r="N160" i="2"/>
  <c r="Q160" i="2" s="1"/>
  <c r="O160" i="2"/>
  <c r="O110" i="2"/>
  <c r="G33" i="2" l="1"/>
  <c r="M33" i="2" s="1"/>
  <c r="O33" i="2" s="1"/>
  <c r="F33" i="2"/>
  <c r="L33" i="2" s="1"/>
  <c r="S160" i="2"/>
  <c r="R160" i="2"/>
  <c r="P160" i="2"/>
  <c r="S110" i="2"/>
  <c r="R110" i="2"/>
  <c r="U110" i="2"/>
  <c r="P110" i="2"/>
  <c r="T58" i="2"/>
  <c r="B59" i="2"/>
  <c r="U160" i="2"/>
  <c r="B136" i="2"/>
  <c r="C136" i="2" s="1"/>
  <c r="D136" i="2" s="1"/>
  <c r="T135" i="2"/>
  <c r="B86" i="2"/>
  <c r="C86" i="2" s="1"/>
  <c r="D86" i="2" s="1"/>
  <c r="T85" i="2"/>
  <c r="N33" i="2" l="1"/>
  <c r="Q33" i="2" s="1"/>
  <c r="R33" i="2" s="1"/>
  <c r="T110" i="2"/>
  <c r="C59" i="2"/>
  <c r="D59" i="2" s="1"/>
  <c r="F136" i="2"/>
  <c r="L136" i="2" s="1"/>
  <c r="G136" i="2"/>
  <c r="M136" i="2" s="1"/>
  <c r="E136" i="2"/>
  <c r="K136" i="2" s="1"/>
  <c r="B111" i="2"/>
  <c r="C111" i="2" s="1"/>
  <c r="D111" i="2" s="1"/>
  <c r="F86" i="2"/>
  <c r="L86" i="2" s="1"/>
  <c r="G86" i="2"/>
  <c r="M86" i="2" s="1"/>
  <c r="E86" i="2"/>
  <c r="K86" i="2" s="1"/>
  <c r="U33" i="2" l="1"/>
  <c r="S33" i="2"/>
  <c r="B34" i="2" s="1"/>
  <c r="C34" i="2" s="1"/>
  <c r="D34" i="2" s="1"/>
  <c r="E34" i="2" s="1"/>
  <c r="K34" i="2" s="1"/>
  <c r="P33" i="2"/>
  <c r="N136" i="2"/>
  <c r="Q136" i="2" s="1"/>
  <c r="N86" i="2"/>
  <c r="P86" i="2" s="1"/>
  <c r="G59" i="2"/>
  <c r="M59" i="2" s="1"/>
  <c r="F59" i="2"/>
  <c r="L59" i="2" s="1"/>
  <c r="E59" i="2"/>
  <c r="K59" i="2" s="1"/>
  <c r="B161" i="2"/>
  <c r="C161" i="2" s="1"/>
  <c r="D161" i="2" s="1"/>
  <c r="T160" i="2"/>
  <c r="O136" i="2"/>
  <c r="E111" i="2"/>
  <c r="K111" i="2" s="1"/>
  <c r="F111" i="2"/>
  <c r="L111" i="2" s="1"/>
  <c r="G111" i="2"/>
  <c r="M111" i="2" s="1"/>
  <c r="O86" i="2"/>
  <c r="T33" i="2" l="1"/>
  <c r="U136" i="2"/>
  <c r="O111" i="2"/>
  <c r="O59" i="2"/>
  <c r="P136" i="2"/>
  <c r="S136" i="2"/>
  <c r="R136" i="2"/>
  <c r="Q86" i="2"/>
  <c r="U86" i="2"/>
  <c r="N59" i="2"/>
  <c r="E161" i="2"/>
  <c r="K161" i="2" s="1"/>
  <c r="G161" i="2"/>
  <c r="M161" i="2" s="1"/>
  <c r="F161" i="2"/>
  <c r="L161" i="2" s="1"/>
  <c r="N111" i="2"/>
  <c r="Q111" i="2" s="1"/>
  <c r="F34" i="2"/>
  <c r="L34" i="2" s="1"/>
  <c r="G34" i="2"/>
  <c r="M34" i="2" s="1"/>
  <c r="O34" i="2" s="1"/>
  <c r="P111" i="2" l="1"/>
  <c r="R111" i="2"/>
  <c r="S111" i="2"/>
  <c r="S86" i="2"/>
  <c r="R86" i="2"/>
  <c r="U59" i="2"/>
  <c r="Q59" i="2"/>
  <c r="P59" i="2"/>
  <c r="O161" i="2"/>
  <c r="N161" i="2"/>
  <c r="Q161" i="2" s="1"/>
  <c r="B137" i="2"/>
  <c r="C137" i="2" s="1"/>
  <c r="D137" i="2" s="1"/>
  <c r="T136" i="2"/>
  <c r="U111" i="2"/>
  <c r="N34" i="2"/>
  <c r="R161" i="2" l="1"/>
  <c r="S161" i="2"/>
  <c r="P161" i="2"/>
  <c r="B87" i="2"/>
  <c r="C87" i="2" s="1"/>
  <c r="D87" i="2" s="1"/>
  <c r="T86" i="2"/>
  <c r="R59" i="2"/>
  <c r="S59" i="2"/>
  <c r="U161" i="2"/>
  <c r="F137" i="2"/>
  <c r="L137" i="2" s="1"/>
  <c r="E137" i="2"/>
  <c r="K137" i="2" s="1"/>
  <c r="G137" i="2"/>
  <c r="M137" i="2" s="1"/>
  <c r="P34" i="2"/>
  <c r="Q34" i="2"/>
  <c r="U34" i="2"/>
  <c r="N137" i="2" l="1"/>
  <c r="Q137" i="2" s="1"/>
  <c r="G87" i="2"/>
  <c r="M87" i="2" s="1"/>
  <c r="E87" i="2"/>
  <c r="K87" i="2" s="1"/>
  <c r="F87" i="2"/>
  <c r="L87" i="2" s="1"/>
  <c r="B60" i="2"/>
  <c r="T59" i="2"/>
  <c r="O137" i="2"/>
  <c r="B112" i="2"/>
  <c r="C112" i="2" s="1"/>
  <c r="D112" i="2" s="1"/>
  <c r="T111" i="2"/>
  <c r="R34" i="2"/>
  <c r="S34" i="2"/>
  <c r="U137" i="2" l="1"/>
  <c r="P137" i="2"/>
  <c r="S137" i="2"/>
  <c r="R137" i="2"/>
  <c r="N87" i="2"/>
  <c r="O87" i="2"/>
  <c r="C60" i="2"/>
  <c r="D60" i="2" s="1"/>
  <c r="B162" i="2"/>
  <c r="C162" i="2" s="1"/>
  <c r="D162" i="2" s="1"/>
  <c r="T161" i="2"/>
  <c r="G112" i="2"/>
  <c r="M112" i="2" s="1"/>
  <c r="F112" i="2"/>
  <c r="L112" i="2" s="1"/>
  <c r="E112" i="2"/>
  <c r="K112" i="2" s="1"/>
  <c r="T34" i="2"/>
  <c r="B35" i="2"/>
  <c r="C35" i="2" s="1"/>
  <c r="D35" i="2" s="1"/>
  <c r="E35" i="2" s="1"/>
  <c r="K35" i="2" s="1"/>
  <c r="N112" i="2" l="1"/>
  <c r="Q112" i="2" s="1"/>
  <c r="U87" i="2"/>
  <c r="Q87" i="2"/>
  <c r="P87" i="2"/>
  <c r="E60" i="2"/>
  <c r="K60" i="2" s="1"/>
  <c r="G60" i="2"/>
  <c r="M60" i="2" s="1"/>
  <c r="F60" i="2"/>
  <c r="L60" i="2" s="1"/>
  <c r="E162" i="2"/>
  <c r="K162" i="2" s="1"/>
  <c r="F162" i="2"/>
  <c r="L162" i="2" s="1"/>
  <c r="G162" i="2"/>
  <c r="M162" i="2" s="1"/>
  <c r="B138" i="2"/>
  <c r="C138" i="2" s="1"/>
  <c r="D138" i="2" s="1"/>
  <c r="T137" i="2"/>
  <c r="O112" i="2"/>
  <c r="F35" i="2"/>
  <c r="L35" i="2" s="1"/>
  <c r="G35" i="2"/>
  <c r="M35" i="2" s="1"/>
  <c r="O35" i="2" s="1"/>
  <c r="O162" i="2" l="1"/>
  <c r="S112" i="2"/>
  <c r="R112" i="2"/>
  <c r="U112" i="2"/>
  <c r="P112" i="2"/>
  <c r="S87" i="2"/>
  <c r="R87" i="2"/>
  <c r="O60" i="2"/>
  <c r="N60" i="2"/>
  <c r="N162" i="2"/>
  <c r="Q162" i="2" s="1"/>
  <c r="E138" i="2"/>
  <c r="K138" i="2" s="1"/>
  <c r="G138" i="2"/>
  <c r="M138" i="2" s="1"/>
  <c r="F138" i="2"/>
  <c r="L138" i="2" s="1"/>
  <c r="N35" i="2"/>
  <c r="Q35" i="2" s="1"/>
  <c r="O138" i="2" l="1"/>
  <c r="R162" i="2"/>
  <c r="S162" i="2"/>
  <c r="P162" i="2"/>
  <c r="B88" i="2"/>
  <c r="C88" i="2" s="1"/>
  <c r="D88" i="2" s="1"/>
  <c r="T87" i="2"/>
  <c r="Q60" i="2"/>
  <c r="U60" i="2"/>
  <c r="P60" i="2"/>
  <c r="U162" i="2"/>
  <c r="N138" i="2"/>
  <c r="Q138" i="2" s="1"/>
  <c r="B113" i="2"/>
  <c r="C113" i="2" s="1"/>
  <c r="D113" i="2" s="1"/>
  <c r="T112" i="2"/>
  <c r="R35" i="2"/>
  <c r="S35" i="2"/>
  <c r="P35" i="2"/>
  <c r="U35" i="2"/>
  <c r="S138" i="2" l="1"/>
  <c r="R138" i="2"/>
  <c r="P138" i="2"/>
  <c r="E88" i="2"/>
  <c r="K88" i="2" s="1"/>
  <c r="G88" i="2"/>
  <c r="M88" i="2" s="1"/>
  <c r="F88" i="2"/>
  <c r="L88" i="2" s="1"/>
  <c r="S60" i="2"/>
  <c r="R60" i="2"/>
  <c r="U138" i="2"/>
  <c r="F113" i="2"/>
  <c r="L113" i="2" s="1"/>
  <c r="E113" i="2"/>
  <c r="K113" i="2" s="1"/>
  <c r="G113" i="2"/>
  <c r="M113" i="2" s="1"/>
  <c r="B36" i="2"/>
  <c r="C36" i="2" s="1"/>
  <c r="T35" i="2"/>
  <c r="O113" i="2" l="1"/>
  <c r="N113" i="2"/>
  <c r="Q113" i="2" s="1"/>
  <c r="O88" i="2"/>
  <c r="N88" i="2"/>
  <c r="T60" i="2"/>
  <c r="B61" i="2"/>
  <c r="B163" i="2"/>
  <c r="C163" i="2" s="1"/>
  <c r="D163" i="2" s="1"/>
  <c r="T162" i="2"/>
  <c r="D36" i="2"/>
  <c r="E36" i="2" s="1"/>
  <c r="K36" i="2" s="1"/>
  <c r="U113" i="2" l="1"/>
  <c r="P113" i="2"/>
  <c r="R113" i="2"/>
  <c r="S113" i="2"/>
  <c r="U88" i="2"/>
  <c r="Q88" i="2"/>
  <c r="P88" i="2"/>
  <c r="C61" i="2"/>
  <c r="D61" i="2" s="1"/>
  <c r="E163" i="2"/>
  <c r="K163" i="2" s="1"/>
  <c r="F163" i="2"/>
  <c r="L163" i="2" s="1"/>
  <c r="G163" i="2"/>
  <c r="M163" i="2" s="1"/>
  <c r="B139" i="2"/>
  <c r="C139" i="2" s="1"/>
  <c r="D139" i="2" s="1"/>
  <c r="T138" i="2"/>
  <c r="G36" i="2"/>
  <c r="M36" i="2" s="1"/>
  <c r="O36" i="2" s="1"/>
  <c r="F36" i="2"/>
  <c r="L36" i="2" s="1"/>
  <c r="O163" i="2" l="1"/>
  <c r="S88" i="2"/>
  <c r="R88" i="2"/>
  <c r="G61" i="2"/>
  <c r="M61" i="2" s="1"/>
  <c r="F61" i="2"/>
  <c r="L61" i="2" s="1"/>
  <c r="E61" i="2"/>
  <c r="K61" i="2" s="1"/>
  <c r="N163" i="2"/>
  <c r="Q163" i="2" s="1"/>
  <c r="G139" i="2"/>
  <c r="M139" i="2" s="1"/>
  <c r="F139" i="2"/>
  <c r="L139" i="2" s="1"/>
  <c r="E139" i="2"/>
  <c r="K139" i="2" s="1"/>
  <c r="B114" i="2"/>
  <c r="C114" i="2" s="1"/>
  <c r="D114" i="2" s="1"/>
  <c r="T113" i="2"/>
  <c r="N36" i="2"/>
  <c r="R163" i="2" l="1"/>
  <c r="S163" i="2"/>
  <c r="P163" i="2"/>
  <c r="N139" i="2"/>
  <c r="Q139" i="2" s="1"/>
  <c r="B89" i="2"/>
  <c r="C89" i="2" s="1"/>
  <c r="D89" i="2" s="1"/>
  <c r="T88" i="2"/>
  <c r="N61" i="2"/>
  <c r="O61" i="2"/>
  <c r="U163" i="2"/>
  <c r="O139" i="2"/>
  <c r="G114" i="2"/>
  <c r="M114" i="2" s="1"/>
  <c r="E114" i="2"/>
  <c r="K114" i="2" s="1"/>
  <c r="F114" i="2"/>
  <c r="L114" i="2" s="1"/>
  <c r="P36" i="2"/>
  <c r="Q36" i="2"/>
  <c r="U36" i="2"/>
  <c r="P139" i="2" l="1"/>
  <c r="U139" i="2"/>
  <c r="S139" i="2"/>
  <c r="R139" i="2"/>
  <c r="F89" i="2"/>
  <c r="L89" i="2" s="1"/>
  <c r="G89" i="2"/>
  <c r="M89" i="2" s="1"/>
  <c r="E89" i="2"/>
  <c r="K89" i="2" s="1"/>
  <c r="Q61" i="2"/>
  <c r="U61" i="2"/>
  <c r="P61" i="2"/>
  <c r="N114" i="2"/>
  <c r="Q114" i="2" s="1"/>
  <c r="O114" i="2"/>
  <c r="S36" i="2"/>
  <c r="R36" i="2"/>
  <c r="P114" i="2" l="1"/>
  <c r="S114" i="2"/>
  <c r="R114" i="2"/>
  <c r="N89" i="2"/>
  <c r="O89" i="2"/>
  <c r="R61" i="2"/>
  <c r="S61" i="2"/>
  <c r="B164" i="2"/>
  <c r="C164" i="2" s="1"/>
  <c r="D164" i="2" s="1"/>
  <c r="T163" i="2"/>
  <c r="B140" i="2"/>
  <c r="C140" i="2" s="1"/>
  <c r="D140" i="2" s="1"/>
  <c r="T139" i="2"/>
  <c r="U114" i="2"/>
  <c r="T36" i="2"/>
  <c r="B37" i="2"/>
  <c r="C37" i="2" s="1"/>
  <c r="D37" i="2" s="1"/>
  <c r="F37" i="2" s="1"/>
  <c r="L37" i="2" s="1"/>
  <c r="Q89" i="2" l="1"/>
  <c r="U89" i="2"/>
  <c r="P89" i="2"/>
  <c r="B62" i="2"/>
  <c r="T61" i="2"/>
  <c r="F164" i="2"/>
  <c r="L164" i="2" s="1"/>
  <c r="G164" i="2"/>
  <c r="M164" i="2" s="1"/>
  <c r="E164" i="2"/>
  <c r="K164" i="2" s="1"/>
  <c r="F140" i="2"/>
  <c r="L140" i="2" s="1"/>
  <c r="E140" i="2"/>
  <c r="K140" i="2" s="1"/>
  <c r="G140" i="2"/>
  <c r="M140" i="2" s="1"/>
  <c r="E37" i="2"/>
  <c r="K37" i="2" s="1"/>
  <c r="G37" i="2"/>
  <c r="M37" i="2" s="1"/>
  <c r="O140" i="2" l="1"/>
  <c r="N164" i="2"/>
  <c r="Q164" i="2" s="1"/>
  <c r="S89" i="2"/>
  <c r="R89" i="2"/>
  <c r="C62" i="2"/>
  <c r="D62" i="2" s="1"/>
  <c r="O164" i="2"/>
  <c r="N140" i="2"/>
  <c r="Q140" i="2" s="1"/>
  <c r="B115" i="2"/>
  <c r="C115" i="2" s="1"/>
  <c r="D115" i="2" s="1"/>
  <c r="T114" i="2"/>
  <c r="O37" i="2"/>
  <c r="N37" i="2"/>
  <c r="P37" i="2" s="1"/>
  <c r="U164" i="2" l="1"/>
  <c r="P164" i="2"/>
  <c r="R164" i="2"/>
  <c r="S164" i="2"/>
  <c r="S140" i="2"/>
  <c r="R140" i="2"/>
  <c r="P140" i="2"/>
  <c r="B90" i="2"/>
  <c r="C90" i="2" s="1"/>
  <c r="D90" i="2" s="1"/>
  <c r="T89" i="2"/>
  <c r="G62" i="2"/>
  <c r="M62" i="2" s="1"/>
  <c r="E62" i="2"/>
  <c r="K62" i="2" s="1"/>
  <c r="F62" i="2"/>
  <c r="L62" i="2" s="1"/>
  <c r="U140" i="2"/>
  <c r="G115" i="2"/>
  <c r="M115" i="2" s="1"/>
  <c r="F115" i="2"/>
  <c r="L115" i="2" s="1"/>
  <c r="E115" i="2"/>
  <c r="K115" i="2" s="1"/>
  <c r="U37" i="2"/>
  <c r="Q37" i="2"/>
  <c r="R37" i="2" s="1"/>
  <c r="S37" i="2" l="1"/>
  <c r="T37" i="2" s="1"/>
  <c r="N115" i="2"/>
  <c r="Q115" i="2" s="1"/>
  <c r="G90" i="2"/>
  <c r="M90" i="2" s="1"/>
  <c r="F90" i="2"/>
  <c r="L90" i="2" s="1"/>
  <c r="E90" i="2"/>
  <c r="K90" i="2" s="1"/>
  <c r="N62" i="2"/>
  <c r="O62" i="2"/>
  <c r="B165" i="2"/>
  <c r="C165" i="2" s="1"/>
  <c r="D165" i="2" s="1"/>
  <c r="T164" i="2"/>
  <c r="O115" i="2"/>
  <c r="B38" i="2" l="1"/>
  <c r="C38" i="2" s="1"/>
  <c r="D38" i="2" s="1"/>
  <c r="F38" i="2" s="1"/>
  <c r="L38" i="2" s="1"/>
  <c r="U115" i="2"/>
  <c r="P115" i="2"/>
  <c r="R115" i="2"/>
  <c r="S115" i="2"/>
  <c r="N90" i="2"/>
  <c r="P90" i="2" s="1"/>
  <c r="O90" i="2"/>
  <c r="Q62" i="2"/>
  <c r="U62" i="2"/>
  <c r="P62" i="2"/>
  <c r="G165" i="2"/>
  <c r="M165" i="2" s="1"/>
  <c r="E165" i="2"/>
  <c r="K165" i="2" s="1"/>
  <c r="F165" i="2"/>
  <c r="L165" i="2" s="1"/>
  <c r="B141" i="2"/>
  <c r="C141" i="2" s="1"/>
  <c r="D141" i="2" s="1"/>
  <c r="T140" i="2"/>
  <c r="U90" i="2" l="1"/>
  <c r="Q90" i="2"/>
  <c r="S62" i="2"/>
  <c r="R62" i="2"/>
  <c r="N165" i="2"/>
  <c r="Q165" i="2" s="1"/>
  <c r="O165" i="2"/>
  <c r="F141" i="2"/>
  <c r="L141" i="2" s="1"/>
  <c r="G141" i="2"/>
  <c r="M141" i="2" s="1"/>
  <c r="E141" i="2"/>
  <c r="K141" i="2" s="1"/>
  <c r="B116" i="2"/>
  <c r="C116" i="2" s="1"/>
  <c r="D116" i="2" s="1"/>
  <c r="T115" i="2"/>
  <c r="E38" i="2"/>
  <c r="K38" i="2" s="1"/>
  <c r="G38" i="2"/>
  <c r="M38" i="2" s="1"/>
  <c r="R165" i="2" l="1"/>
  <c r="S165" i="2"/>
  <c r="P165" i="2"/>
  <c r="N141" i="2"/>
  <c r="Q141" i="2" s="1"/>
  <c r="S90" i="2"/>
  <c r="R90" i="2"/>
  <c r="T62" i="2"/>
  <c r="B63" i="2"/>
  <c r="U165" i="2"/>
  <c r="O141" i="2"/>
  <c r="E116" i="2"/>
  <c r="K116" i="2" s="1"/>
  <c r="G116" i="2"/>
  <c r="M116" i="2" s="1"/>
  <c r="F116" i="2"/>
  <c r="L116" i="2" s="1"/>
  <c r="O38" i="2"/>
  <c r="N38" i="2"/>
  <c r="P38" i="2" s="1"/>
  <c r="P141" i="2" l="1"/>
  <c r="U141" i="2"/>
  <c r="S141" i="2"/>
  <c r="R141" i="2"/>
  <c r="T90" i="2"/>
  <c r="B91" i="2"/>
  <c r="C91" i="2" s="1"/>
  <c r="D91" i="2" s="1"/>
  <c r="C63" i="2"/>
  <c r="D63" i="2" s="1"/>
  <c r="O116" i="2"/>
  <c r="N116" i="2"/>
  <c r="Q116" i="2" s="1"/>
  <c r="Q38" i="2"/>
  <c r="R38" i="2" s="1"/>
  <c r="U38" i="2"/>
  <c r="P116" i="2" l="1"/>
  <c r="S116" i="2"/>
  <c r="R116" i="2"/>
  <c r="E91" i="2"/>
  <c r="K91" i="2" s="1"/>
  <c r="G91" i="2"/>
  <c r="M91" i="2" s="1"/>
  <c r="F91" i="2"/>
  <c r="L91" i="2" s="1"/>
  <c r="E63" i="2"/>
  <c r="K63" i="2" s="1"/>
  <c r="G63" i="2"/>
  <c r="M63" i="2" s="1"/>
  <c r="F63" i="2"/>
  <c r="L63" i="2" s="1"/>
  <c r="B166" i="2"/>
  <c r="C166" i="2" s="1"/>
  <c r="D166" i="2" s="1"/>
  <c r="T165" i="2"/>
  <c r="B142" i="2"/>
  <c r="C142" i="2" s="1"/>
  <c r="D142" i="2" s="1"/>
  <c r="T141" i="2"/>
  <c r="U116" i="2"/>
  <c r="S38" i="2"/>
  <c r="T38" i="2" s="1"/>
  <c r="O63" i="2" l="1"/>
  <c r="O91" i="2"/>
  <c r="N91" i="2"/>
  <c r="N63" i="2"/>
  <c r="F166" i="2"/>
  <c r="L166" i="2" s="1"/>
  <c r="G166" i="2"/>
  <c r="M166" i="2" s="1"/>
  <c r="E166" i="2"/>
  <c r="K166" i="2" s="1"/>
  <c r="F142" i="2"/>
  <c r="L142" i="2" s="1"/>
  <c r="E142" i="2"/>
  <c r="K142" i="2" s="1"/>
  <c r="G142" i="2"/>
  <c r="M142" i="2" s="1"/>
  <c r="B39" i="2"/>
  <c r="C39" i="2" s="1"/>
  <c r="D39" i="2" s="1"/>
  <c r="E39" i="2" s="1"/>
  <c r="K39" i="2" s="1"/>
  <c r="F39" i="2" l="1"/>
  <c r="L39" i="2" s="1"/>
  <c r="N166" i="2"/>
  <c r="Q166" i="2" s="1"/>
  <c r="O142" i="2"/>
  <c r="Q91" i="2"/>
  <c r="U91" i="2"/>
  <c r="P91" i="2"/>
  <c r="Q63" i="2"/>
  <c r="U63" i="2"/>
  <c r="P63" i="2"/>
  <c r="O166" i="2"/>
  <c r="N142" i="2"/>
  <c r="Q142" i="2" s="1"/>
  <c r="B117" i="2"/>
  <c r="C117" i="2" s="1"/>
  <c r="D117" i="2" s="1"/>
  <c r="T116" i="2"/>
  <c r="G39" i="2"/>
  <c r="M39" i="2" s="1"/>
  <c r="O39" i="2" s="1"/>
  <c r="U166" i="2" l="1"/>
  <c r="N39" i="2"/>
  <c r="U39" i="2" s="1"/>
  <c r="P166" i="2"/>
  <c r="R166" i="2"/>
  <c r="S166" i="2"/>
  <c r="S142" i="2"/>
  <c r="R142" i="2"/>
  <c r="P142" i="2"/>
  <c r="S91" i="2"/>
  <c r="R91" i="2"/>
  <c r="R63" i="2"/>
  <c r="S63" i="2"/>
  <c r="U142" i="2"/>
  <c r="E117" i="2"/>
  <c r="K117" i="2" s="1"/>
  <c r="G117" i="2"/>
  <c r="M117" i="2" s="1"/>
  <c r="F117" i="2"/>
  <c r="L117" i="2" s="1"/>
  <c r="Q39" i="2" l="1"/>
  <c r="R39" i="2" s="1"/>
  <c r="P39" i="2"/>
  <c r="T166" i="2"/>
  <c r="B167" i="2"/>
  <c r="C167" i="2" s="1"/>
  <c r="D167" i="2" s="1"/>
  <c r="G167" i="2" s="1"/>
  <c r="M167" i="2" s="1"/>
  <c r="O117" i="2"/>
  <c r="B92" i="2"/>
  <c r="C92" i="2" s="1"/>
  <c r="D92" i="2" s="1"/>
  <c r="T91" i="2"/>
  <c r="T63" i="2"/>
  <c r="B64" i="2"/>
  <c r="N117" i="2"/>
  <c r="Q117" i="2" s="1"/>
  <c r="S39" i="2" l="1"/>
  <c r="B40" i="2" s="1"/>
  <c r="C40" i="2" s="1"/>
  <c r="D40" i="2" s="1"/>
  <c r="F167" i="2"/>
  <c r="L167" i="2" s="1"/>
  <c r="E167" i="2"/>
  <c r="K167" i="2" s="1"/>
  <c r="R117" i="2"/>
  <c r="S117" i="2"/>
  <c r="P117" i="2"/>
  <c r="F92" i="2"/>
  <c r="L92" i="2" s="1"/>
  <c r="G92" i="2"/>
  <c r="M92" i="2" s="1"/>
  <c r="E92" i="2"/>
  <c r="K92" i="2" s="1"/>
  <c r="C64" i="2"/>
  <c r="D64" i="2" s="1"/>
  <c r="B143" i="2"/>
  <c r="C143" i="2" s="1"/>
  <c r="D143" i="2" s="1"/>
  <c r="T142" i="2"/>
  <c r="U117" i="2"/>
  <c r="T39" i="2" l="1"/>
  <c r="N167" i="2"/>
  <c r="Q167" i="2" s="1"/>
  <c r="R167" i="2" s="1"/>
  <c r="O167" i="2"/>
  <c r="N92" i="2"/>
  <c r="O92" i="2"/>
  <c r="G64" i="2"/>
  <c r="M64" i="2" s="1"/>
  <c r="F64" i="2"/>
  <c r="L64" i="2" s="1"/>
  <c r="E64" i="2"/>
  <c r="K64" i="2" s="1"/>
  <c r="F143" i="2"/>
  <c r="L143" i="2" s="1"/>
  <c r="E143" i="2"/>
  <c r="K143" i="2" s="1"/>
  <c r="G143" i="2"/>
  <c r="M143" i="2" s="1"/>
  <c r="G40" i="2"/>
  <c r="M40" i="2" s="1"/>
  <c r="E40" i="2"/>
  <c r="K40" i="2" s="1"/>
  <c r="F40" i="2"/>
  <c r="L40" i="2" s="1"/>
  <c r="U167" i="2" l="1"/>
  <c r="P167" i="2"/>
  <c r="S167" i="2"/>
  <c r="B168" i="2" s="1"/>
  <c r="C168" i="2" s="1"/>
  <c r="D168" i="2" s="1"/>
  <c r="O143" i="2"/>
  <c r="U92" i="2"/>
  <c r="Q92" i="2"/>
  <c r="P92" i="2"/>
  <c r="N64" i="2"/>
  <c r="O64" i="2"/>
  <c r="N143" i="2"/>
  <c r="Q143" i="2" s="1"/>
  <c r="B118" i="2"/>
  <c r="C118" i="2" s="1"/>
  <c r="D118" i="2" s="1"/>
  <c r="T117" i="2"/>
  <c r="N40" i="2"/>
  <c r="O40" i="2"/>
  <c r="P143" i="2" l="1"/>
  <c r="S143" i="2"/>
  <c r="R143" i="2"/>
  <c r="S92" i="2"/>
  <c r="R92" i="2"/>
  <c r="Q64" i="2"/>
  <c r="U64" i="2"/>
  <c r="P64" i="2"/>
  <c r="U143" i="2"/>
  <c r="E118" i="2"/>
  <c r="K118" i="2" s="1"/>
  <c r="F118" i="2"/>
  <c r="L118" i="2" s="1"/>
  <c r="G118" i="2"/>
  <c r="M118" i="2" s="1"/>
  <c r="Q40" i="2"/>
  <c r="P40" i="2"/>
  <c r="U40" i="2"/>
  <c r="T167" i="2"/>
  <c r="O118" i="2" l="1"/>
  <c r="B93" i="2"/>
  <c r="C93" i="2" s="1"/>
  <c r="D93" i="2" s="1"/>
  <c r="T92" i="2"/>
  <c r="S64" i="2"/>
  <c r="R64" i="2"/>
  <c r="N118" i="2"/>
  <c r="Q118" i="2" s="1"/>
  <c r="S40" i="2"/>
  <c r="R40" i="2"/>
  <c r="E168" i="2"/>
  <c r="K168" i="2" s="1"/>
  <c r="G168" i="2"/>
  <c r="M168" i="2" s="1"/>
  <c r="F168" i="2"/>
  <c r="L168" i="2" s="1"/>
  <c r="P118" i="2" l="1"/>
  <c r="S118" i="2"/>
  <c r="R118" i="2"/>
  <c r="F93" i="2"/>
  <c r="L93" i="2" s="1"/>
  <c r="G93" i="2"/>
  <c r="M93" i="2" s="1"/>
  <c r="E93" i="2"/>
  <c r="K93" i="2" s="1"/>
  <c r="B65" i="2"/>
  <c r="T64" i="2"/>
  <c r="B144" i="2"/>
  <c r="T143" i="2"/>
  <c r="U118" i="2"/>
  <c r="B41" i="2"/>
  <c r="T40" i="2"/>
  <c r="N168" i="2"/>
  <c r="Q168" i="2" s="1"/>
  <c r="O168" i="2"/>
  <c r="O93" i="2" l="1"/>
  <c r="S168" i="2"/>
  <c r="R168" i="2"/>
  <c r="P168" i="2"/>
  <c r="N93" i="2"/>
  <c r="C65" i="2"/>
  <c r="D65" i="2" s="1"/>
  <c r="C144" i="2"/>
  <c r="C41" i="2"/>
  <c r="U168" i="2"/>
  <c r="D144" i="2" l="1"/>
  <c r="F144" i="2" s="1"/>
  <c r="F17" i="5" s="1"/>
  <c r="L17" i="5" s="1"/>
  <c r="S7" i="2"/>
  <c r="X9" i="4" s="1"/>
  <c r="U93" i="2"/>
  <c r="Q93" i="2"/>
  <c r="P93" i="2"/>
  <c r="E65" i="2"/>
  <c r="K65" i="2" s="1"/>
  <c r="G65" i="2"/>
  <c r="M65" i="2" s="1"/>
  <c r="F65" i="2"/>
  <c r="L65" i="2" s="1"/>
  <c r="B119" i="2"/>
  <c r="T118" i="2"/>
  <c r="D41" i="2"/>
  <c r="F41" i="2" s="1"/>
  <c r="F13" i="5" s="1"/>
  <c r="L13" i="5" s="1"/>
  <c r="S3" i="2"/>
  <c r="B169" i="2"/>
  <c r="C169" i="2" s="1"/>
  <c r="T3" i="5" l="1"/>
  <c r="U3" i="5" s="1"/>
  <c r="X5" i="4"/>
  <c r="T7" i="5"/>
  <c r="U7" i="5" s="1"/>
  <c r="R3" i="3"/>
  <c r="S3" i="3" s="1"/>
  <c r="N13" i="3" s="1"/>
  <c r="R7" i="3"/>
  <c r="S7" i="3" s="1"/>
  <c r="O17" i="3" s="1"/>
  <c r="L41" i="2"/>
  <c r="F13" i="3"/>
  <c r="L144" i="2"/>
  <c r="F17" i="3"/>
  <c r="G144" i="2"/>
  <c r="G17" i="5" s="1"/>
  <c r="M17" i="5" s="1"/>
  <c r="P17" i="5" s="1"/>
  <c r="S17" i="5" s="1"/>
  <c r="E144" i="2"/>
  <c r="E17" i="5" s="1"/>
  <c r="K17" i="5" s="1"/>
  <c r="O65" i="2"/>
  <c r="D169" i="2"/>
  <c r="S8" i="2"/>
  <c r="X10" i="4" s="1"/>
  <c r="S93" i="2"/>
  <c r="R93" i="2"/>
  <c r="N65" i="2"/>
  <c r="C119" i="2"/>
  <c r="G41" i="2"/>
  <c r="G13" i="5" s="1"/>
  <c r="M13" i="5" s="1"/>
  <c r="P13" i="5" s="1"/>
  <c r="S13" i="5" s="1"/>
  <c r="E41" i="2"/>
  <c r="E13" i="5" s="1"/>
  <c r="K13" i="5" s="1"/>
  <c r="T168" i="2"/>
  <c r="T8" i="5" l="1"/>
  <c r="U8" i="5" s="1"/>
  <c r="N17" i="5"/>
  <c r="O17" i="5"/>
  <c r="N13" i="5"/>
  <c r="O13" i="5"/>
  <c r="O13" i="3"/>
  <c r="C22" i="3" s="1"/>
  <c r="P17" i="3"/>
  <c r="P13" i="3"/>
  <c r="R8" i="3"/>
  <c r="S8" i="3" s="1"/>
  <c r="P18" i="3" s="1"/>
  <c r="N17" i="3"/>
  <c r="C26" i="3"/>
  <c r="M41" i="2"/>
  <c r="G13" i="3"/>
  <c r="K41" i="2"/>
  <c r="E13" i="3"/>
  <c r="B22" i="3" s="1"/>
  <c r="M144" i="2"/>
  <c r="G17" i="3"/>
  <c r="K144" i="2"/>
  <c r="E17" i="3"/>
  <c r="D119" i="2"/>
  <c r="G119" i="2" s="1"/>
  <c r="G16" i="5" s="1"/>
  <c r="M16" i="5" s="1"/>
  <c r="P16" i="5" s="1"/>
  <c r="S16" i="5" s="1"/>
  <c r="S6" i="2"/>
  <c r="X8" i="4" s="1"/>
  <c r="B94" i="2"/>
  <c r="T93" i="2"/>
  <c r="Q65" i="2"/>
  <c r="U65" i="2"/>
  <c r="P65" i="2"/>
  <c r="T6" i="5" l="1"/>
  <c r="U6" i="5" s="1"/>
  <c r="Q13" i="5"/>
  <c r="U13" i="5" s="1"/>
  <c r="Q17" i="5"/>
  <c r="U17" i="5" s="1"/>
  <c r="D26" i="3"/>
  <c r="O18" i="3"/>
  <c r="N18" i="3"/>
  <c r="D22" i="3"/>
  <c r="R13" i="3" s="1"/>
  <c r="B26" i="3"/>
  <c r="R6" i="3"/>
  <c r="S6" i="3" s="1"/>
  <c r="O16" i="3" s="1"/>
  <c r="O41" i="2"/>
  <c r="N41" i="2"/>
  <c r="U41" i="2" s="1"/>
  <c r="N144" i="2"/>
  <c r="R7" i="2" s="1"/>
  <c r="F119" i="2"/>
  <c r="O144" i="2"/>
  <c r="M119" i="2"/>
  <c r="G16" i="3"/>
  <c r="E119" i="2"/>
  <c r="E16" i="5" s="1"/>
  <c r="K16" i="5" s="1"/>
  <c r="C94" i="2"/>
  <c r="R65" i="2"/>
  <c r="S65" i="2"/>
  <c r="G169" i="2"/>
  <c r="G18" i="5" s="1"/>
  <c r="M18" i="5" s="1"/>
  <c r="P18" i="5" s="1"/>
  <c r="S18" i="5" s="1"/>
  <c r="F169" i="2"/>
  <c r="F18" i="5" s="1"/>
  <c r="L18" i="5" s="1"/>
  <c r="E169" i="2"/>
  <c r="E18" i="5" s="1"/>
  <c r="K18" i="5" s="1"/>
  <c r="O18" i="5" l="1"/>
  <c r="N18" i="5"/>
  <c r="V13" i="5"/>
  <c r="X13" i="5" s="1"/>
  <c r="T13" i="5" s="1"/>
  <c r="S17" i="3"/>
  <c r="V17" i="5"/>
  <c r="L119" i="2"/>
  <c r="F16" i="5"/>
  <c r="L16" i="5" s="1"/>
  <c r="N16" i="5" s="1"/>
  <c r="F27" i="4"/>
  <c r="S7" i="5"/>
  <c r="S13" i="3"/>
  <c r="Q13" i="3" s="1"/>
  <c r="T13" i="3" s="1"/>
  <c r="P16" i="3"/>
  <c r="D25" i="3" s="1"/>
  <c r="N16" i="3"/>
  <c r="R17" i="3"/>
  <c r="Q7" i="3"/>
  <c r="P41" i="2"/>
  <c r="R3" i="2"/>
  <c r="F23" i="4" s="1"/>
  <c r="T3" i="2"/>
  <c r="T5" i="4" s="1"/>
  <c r="A20" i="2"/>
  <c r="U144" i="2"/>
  <c r="Q144" i="2"/>
  <c r="S144" i="2" s="1"/>
  <c r="Q41" i="2"/>
  <c r="S41" i="2" s="1"/>
  <c r="P144" i="2"/>
  <c r="A123" i="2"/>
  <c r="T7" i="2"/>
  <c r="F16" i="3"/>
  <c r="C25" i="3" s="1"/>
  <c r="L169" i="2"/>
  <c r="F18" i="3"/>
  <c r="C27" i="3" s="1"/>
  <c r="K169" i="2"/>
  <c r="E18" i="3"/>
  <c r="B27" i="3" s="1"/>
  <c r="K119" i="2"/>
  <c r="O119" i="2" s="1"/>
  <c r="E16" i="3"/>
  <c r="M169" i="2"/>
  <c r="G18" i="3"/>
  <c r="D27" i="3" s="1"/>
  <c r="D94" i="2"/>
  <c r="F94" i="2" s="1"/>
  <c r="F15" i="5" s="1"/>
  <c r="L15" i="5" s="1"/>
  <c r="S5" i="2"/>
  <c r="X7" i="4" s="1"/>
  <c r="T65" i="2"/>
  <c r="B66" i="2"/>
  <c r="T5" i="5" l="1"/>
  <c r="U5" i="5" s="1"/>
  <c r="Q17" i="3"/>
  <c r="T17" i="3" s="1"/>
  <c r="W7" i="2" s="1"/>
  <c r="V9" i="4" s="1"/>
  <c r="G27" i="4" s="1"/>
  <c r="W13" i="5"/>
  <c r="W5" i="4" s="1"/>
  <c r="H23" i="4" s="1"/>
  <c r="X17" i="5"/>
  <c r="T17" i="5" s="1"/>
  <c r="W17" i="5" s="1"/>
  <c r="W9" i="4" s="1"/>
  <c r="H27" i="4" s="1"/>
  <c r="O16" i="5"/>
  <c r="Q16" i="5"/>
  <c r="Q18" i="5"/>
  <c r="U18" i="5" s="1"/>
  <c r="S3" i="5"/>
  <c r="B25" i="3"/>
  <c r="S16" i="3" s="1"/>
  <c r="U3" i="2"/>
  <c r="U5" i="4" s="1"/>
  <c r="U7" i="2"/>
  <c r="T9" i="4"/>
  <c r="Q3" i="3"/>
  <c r="R5" i="3"/>
  <c r="S5" i="3" s="1"/>
  <c r="O15" i="3" s="1"/>
  <c r="W3" i="2"/>
  <c r="V5" i="4" s="1"/>
  <c r="G23" i="4" s="1"/>
  <c r="R144" i="2"/>
  <c r="T144" i="2" s="1"/>
  <c r="R41" i="2"/>
  <c r="T41" i="2" s="1"/>
  <c r="S18" i="3"/>
  <c r="R18" i="3"/>
  <c r="O169" i="2"/>
  <c r="E94" i="2"/>
  <c r="N169" i="2"/>
  <c r="Q169" i="2" s="1"/>
  <c r="R169" i="2" s="1"/>
  <c r="L94" i="2"/>
  <c r="F15" i="3"/>
  <c r="N119" i="2"/>
  <c r="Q119" i="2" s="1"/>
  <c r="R119" i="2" s="1"/>
  <c r="G94" i="2"/>
  <c r="G15" i="5" s="1"/>
  <c r="M15" i="5" s="1"/>
  <c r="P15" i="5" s="1"/>
  <c r="S15" i="5" s="1"/>
  <c r="C66" i="2"/>
  <c r="D66" i="2" s="1"/>
  <c r="U16" i="5" l="1"/>
  <c r="V16" i="5"/>
  <c r="V18" i="5"/>
  <c r="R16" i="3"/>
  <c r="Q16" i="3" s="1"/>
  <c r="T16" i="3" s="1"/>
  <c r="E15" i="3"/>
  <c r="E15" i="5"/>
  <c r="K15" i="5" s="1"/>
  <c r="I23" i="4"/>
  <c r="I27" i="4"/>
  <c r="K27" i="4" s="1"/>
  <c r="P15" i="3"/>
  <c r="N15" i="3"/>
  <c r="U9" i="4"/>
  <c r="C24" i="3"/>
  <c r="K94" i="2"/>
  <c r="Q18" i="3"/>
  <c r="T18" i="3" s="1"/>
  <c r="A148" i="2"/>
  <c r="T8" i="2"/>
  <c r="U169" i="2"/>
  <c r="R8" i="2"/>
  <c r="P169" i="2"/>
  <c r="S169" i="2"/>
  <c r="P119" i="2"/>
  <c r="T6" i="2"/>
  <c r="T8" i="4" s="1"/>
  <c r="M94" i="2"/>
  <c r="G15" i="3"/>
  <c r="A98" i="2"/>
  <c r="R6" i="2"/>
  <c r="U119" i="2"/>
  <c r="S119" i="2"/>
  <c r="T119" i="2" s="1"/>
  <c r="E66" i="2"/>
  <c r="K66" i="2" s="1"/>
  <c r="G66" i="2"/>
  <c r="M66" i="2" s="1"/>
  <c r="F66" i="2"/>
  <c r="L66" i="2" s="1"/>
  <c r="K23" i="4" l="1"/>
  <c r="X18" i="5"/>
  <c r="T18" i="5" s="1"/>
  <c r="W18" i="5" s="1"/>
  <c r="W10" i="4" s="1"/>
  <c r="H28" i="4" s="1"/>
  <c r="X16" i="5"/>
  <c r="T16" i="5" s="1"/>
  <c r="W16" i="5" s="1"/>
  <c r="W8" i="4" s="1"/>
  <c r="H26" i="4" s="1"/>
  <c r="N15" i="5"/>
  <c r="O15" i="5"/>
  <c r="B24" i="3"/>
  <c r="F26" i="4"/>
  <c r="S6" i="5"/>
  <c r="F28" i="4"/>
  <c r="S8" i="5"/>
  <c r="D24" i="3"/>
  <c r="Q6" i="3"/>
  <c r="T10" i="4"/>
  <c r="Q8" i="3"/>
  <c r="O94" i="2"/>
  <c r="W6" i="2"/>
  <c r="V8" i="4" s="1"/>
  <c r="G26" i="4" s="1"/>
  <c r="W8" i="2"/>
  <c r="V10" i="4" s="1"/>
  <c r="G28" i="4" s="1"/>
  <c r="U8" i="2"/>
  <c r="U6" i="2"/>
  <c r="N94" i="2"/>
  <c r="T5" i="2" s="1"/>
  <c r="T7" i="4" s="1"/>
  <c r="O66" i="2"/>
  <c r="N66" i="2"/>
  <c r="T169" i="2"/>
  <c r="S15" i="3" l="1"/>
  <c r="Q15" i="5"/>
  <c r="V15" i="5" s="1"/>
  <c r="I28" i="4"/>
  <c r="K28" i="4" s="1"/>
  <c r="I26" i="4"/>
  <c r="K26" i="4" s="1"/>
  <c r="R15" i="3"/>
  <c r="U8" i="4"/>
  <c r="U10" i="4"/>
  <c r="A73" i="2"/>
  <c r="Q94" i="2"/>
  <c r="S94" i="2" s="1"/>
  <c r="R5" i="2"/>
  <c r="P94" i="2"/>
  <c r="U94" i="2"/>
  <c r="U5" i="2"/>
  <c r="Q66" i="2"/>
  <c r="U66" i="2"/>
  <c r="P66" i="2"/>
  <c r="Q15" i="3" l="1"/>
  <c r="T15" i="3" s="1"/>
  <c r="W5" i="2" s="1"/>
  <c r="V7" i="4" s="1"/>
  <c r="G25" i="4" s="1"/>
  <c r="U15" i="5"/>
  <c r="X15" i="5" s="1"/>
  <c r="T15" i="5" s="1"/>
  <c r="F25" i="4"/>
  <c r="S5" i="5"/>
  <c r="Q5" i="3"/>
  <c r="U7" i="4"/>
  <c r="R94" i="2"/>
  <c r="T94" i="2" s="1"/>
  <c r="S66" i="2"/>
  <c r="R66" i="2"/>
  <c r="W15" i="5" l="1"/>
  <c r="W7" i="4" s="1"/>
  <c r="H25" i="4" s="1"/>
  <c r="B67" i="2"/>
  <c r="T66" i="2"/>
  <c r="I25" i="4" l="1"/>
  <c r="K25" i="4" s="1"/>
  <c r="C67" i="2"/>
  <c r="D67" i="2" s="1"/>
  <c r="F67" i="2" l="1"/>
  <c r="L67" i="2" s="1"/>
  <c r="G67" i="2"/>
  <c r="M67" i="2" s="1"/>
  <c r="E67" i="2"/>
  <c r="K67" i="2" s="1"/>
  <c r="N67" i="2" l="1"/>
  <c r="P67" i="2" s="1"/>
  <c r="O67" i="2"/>
  <c r="Q67" i="2" l="1"/>
  <c r="U67" i="2"/>
  <c r="S67" i="2" l="1"/>
  <c r="R67" i="2"/>
  <c r="T67" i="2" l="1"/>
  <c r="B68" i="2"/>
  <c r="C68" i="2" l="1"/>
  <c r="D68" i="2" l="1"/>
  <c r="G68" i="2" s="1"/>
  <c r="G14" i="5" s="1"/>
  <c r="M14" i="5" s="1"/>
  <c r="P14" i="5" s="1"/>
  <c r="S14" i="5" s="1"/>
  <c r="S4" i="2"/>
  <c r="X6" i="4" s="1"/>
  <c r="T4" i="5" l="1"/>
  <c r="U4" i="5" s="1"/>
  <c r="R4" i="3"/>
  <c r="S4" i="3" s="1"/>
  <c r="N14" i="3" s="1"/>
  <c r="M68" i="2"/>
  <c r="G14" i="3"/>
  <c r="E68" i="2"/>
  <c r="E14" i="5" s="1"/>
  <c r="K14" i="5" s="1"/>
  <c r="F68" i="2"/>
  <c r="F14" i="5" s="1"/>
  <c r="L14" i="5" s="1"/>
  <c r="O14" i="5" l="1"/>
  <c r="N14" i="5"/>
  <c r="O14" i="3"/>
  <c r="P14" i="3"/>
  <c r="D23" i="3" s="1"/>
  <c r="L68" i="2"/>
  <c r="F14" i="3"/>
  <c r="K68" i="2"/>
  <c r="O68" i="2" s="1"/>
  <c r="E14" i="3"/>
  <c r="B23" i="3" s="1"/>
  <c r="Q14" i="5" l="1"/>
  <c r="U14" i="5" s="1"/>
  <c r="C23" i="3"/>
  <c r="S14" i="3" s="1"/>
  <c r="N68" i="2"/>
  <c r="V14" i="5" l="1"/>
  <c r="X14" i="5" s="1"/>
  <c r="T14" i="5" s="1"/>
  <c r="W14" i="5" s="1"/>
  <c r="R14" i="3"/>
  <c r="Q14" i="3" s="1"/>
  <c r="T14" i="3" s="1"/>
  <c r="Q68" i="2"/>
  <c r="S68" i="2" s="1"/>
  <c r="R4" i="2"/>
  <c r="T4" i="2"/>
  <c r="A47" i="2"/>
  <c r="U68" i="2"/>
  <c r="P68" i="2"/>
  <c r="W6" i="4" l="1"/>
  <c r="H24" i="4" s="1"/>
  <c r="F24" i="4"/>
  <c r="S4" i="5"/>
  <c r="R68" i="2"/>
  <c r="T68" i="2" s="1"/>
  <c r="U4" i="2"/>
  <c r="T6" i="4"/>
  <c r="Q4" i="3"/>
  <c r="W4" i="2"/>
  <c r="V6" i="4" s="1"/>
  <c r="G24" i="4" s="1"/>
  <c r="I24" i="4" l="1"/>
  <c r="U6" i="4"/>
  <c r="K24" i="4" l="1"/>
  <c r="I30" i="4"/>
  <c r="B2" i="4" l="1"/>
  <c r="B3" i="4" s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</calcChain>
</file>

<file path=xl/sharedStrings.xml><?xml version="1.0" encoding="utf-8"?>
<sst xmlns="http://schemas.openxmlformats.org/spreadsheetml/2006/main" count="694" uniqueCount="156">
  <si>
    <t>Desired platform location  ( = Center Point Tool)</t>
  </si>
  <si>
    <t>Actuator setup</t>
  </si>
  <si>
    <t>Parameters arm</t>
  </si>
  <si>
    <t>Situation (i)</t>
  </si>
  <si>
    <t>Controle</t>
  </si>
  <si>
    <t>length</t>
  </si>
  <si>
    <t>Difference (um)</t>
  </si>
  <si>
    <t>X</t>
  </si>
  <si>
    <t>Y</t>
  </si>
  <si>
    <t>Z</t>
  </si>
  <si>
    <t>Rx</t>
  </si>
  <si>
    <t>Ry</t>
  </si>
  <si>
    <t>Rz</t>
  </si>
  <si>
    <t>Angle</t>
  </si>
  <si>
    <t>min</t>
  </si>
  <si>
    <t>max</t>
  </si>
  <si>
    <t>Uarm</t>
  </si>
  <si>
    <t>Larm</t>
  </si>
  <si>
    <t>mm</t>
  </si>
  <si>
    <t>degrees</t>
  </si>
  <si>
    <t>rad</t>
  </si>
  <si>
    <t>Author</t>
  </si>
  <si>
    <t>Parameters basis</t>
  </si>
  <si>
    <t>Parameters platform</t>
  </si>
  <si>
    <t>created</t>
  </si>
  <si>
    <t>9 march 2012</t>
  </si>
  <si>
    <t>gammaB1</t>
  </si>
  <si>
    <t>gammaB2</t>
  </si>
  <si>
    <t>gammaB3</t>
  </si>
  <si>
    <t>gammaB4</t>
  </si>
  <si>
    <t>gammaB5</t>
  </si>
  <si>
    <t>gammaB6</t>
  </si>
  <si>
    <t>gammaP1</t>
  </si>
  <si>
    <t>gammaP2</t>
  </si>
  <si>
    <t>gammaP3</t>
  </si>
  <si>
    <t>gammaP4</t>
  </si>
  <si>
    <t>gammaP5</t>
  </si>
  <si>
    <t>gammaP6</t>
  </si>
  <si>
    <t>last update</t>
  </si>
  <si>
    <t>X (mm)</t>
  </si>
  <si>
    <t>Z (mm)</t>
  </si>
  <si>
    <t>Status</t>
  </si>
  <si>
    <t>e B1</t>
  </si>
  <si>
    <t>e B2</t>
  </si>
  <si>
    <t>e B3</t>
  </si>
  <si>
    <t>e B4</t>
  </si>
  <si>
    <t>e B5</t>
  </si>
  <si>
    <t>e B6</t>
  </si>
  <si>
    <t>e P1</t>
  </si>
  <si>
    <t>e P2</t>
  </si>
  <si>
    <t>e P3</t>
  </si>
  <si>
    <t>e P4</t>
  </si>
  <si>
    <t>e P5</t>
  </si>
  <si>
    <t>e P6</t>
  </si>
  <si>
    <t>Y (mm)</t>
  </si>
  <si>
    <t>rb</t>
  </si>
  <si>
    <t>TCP</t>
  </si>
  <si>
    <t>rp</t>
  </si>
  <si>
    <t>Brute force inverted Stewart Gough Platform</t>
  </si>
  <si>
    <t>Situation</t>
  </si>
  <si>
    <t>eb</t>
  </si>
  <si>
    <t>ep</t>
  </si>
  <si>
    <t>qi Est. Angle</t>
  </si>
  <si>
    <t>Vector upper arm</t>
  </si>
  <si>
    <t>Bi</t>
  </si>
  <si>
    <t>Vector effector</t>
  </si>
  <si>
    <t>Ci</t>
  </si>
  <si>
    <t>Vector lower arm</t>
  </si>
  <si>
    <t>Ri</t>
  </si>
  <si>
    <t>Lower arm specs</t>
  </si>
  <si>
    <t>Checks</t>
  </si>
  <si>
    <t>Bounds</t>
  </si>
  <si>
    <t>Max error</t>
  </si>
  <si>
    <t>Stop Criterium</t>
  </si>
  <si>
    <t>Steps</t>
  </si>
  <si>
    <t>deg</t>
  </si>
  <si>
    <t>Est. length</t>
  </si>
  <si>
    <t>Angle Lower</t>
  </si>
  <si>
    <t>To far</t>
  </si>
  <si>
    <t>Upper</t>
  </si>
  <si>
    <t>Lower</t>
  </si>
  <si>
    <t>Degrees</t>
  </si>
  <si>
    <t>&lt; 0.1 mm</t>
  </si>
  <si>
    <t>From origin to Bi</t>
  </si>
  <si>
    <t>From origin to Ci</t>
  </si>
  <si>
    <t>Vector Ri (Vector between Bi and Ci)</t>
  </si>
  <si>
    <t>J.H. van Duijn</t>
  </si>
  <si>
    <t>1593789 HU</t>
  </si>
  <si>
    <t>Minimaal</t>
  </si>
  <si>
    <t>maximaal</t>
  </si>
  <si>
    <t>&lt;180</t>
  </si>
  <si>
    <t>-311,1&lt;Z&lt;-162,758</t>
  </si>
  <si>
    <t>The translation in Z-axis must be negative!</t>
  </si>
  <si>
    <t xml:space="preserve"> </t>
  </si>
  <si>
    <t>Ybi</t>
  </si>
  <si>
    <t>Zbi</t>
  </si>
  <si>
    <t>Xci</t>
  </si>
  <si>
    <t>Yci</t>
  </si>
  <si>
    <t>Zci</t>
  </si>
  <si>
    <t>Xbei</t>
  </si>
  <si>
    <t>Ybei</t>
  </si>
  <si>
    <t>Zbei</t>
  </si>
  <si>
    <t>Xpei</t>
  </si>
  <si>
    <t>Ypei</t>
  </si>
  <si>
    <t>Zpei</t>
  </si>
  <si>
    <t>Xbi</t>
  </si>
  <si>
    <t>Parameters</t>
  </si>
  <si>
    <t>gamma Bi</t>
  </si>
  <si>
    <t>gamma pi</t>
  </si>
  <si>
    <t>Graden</t>
  </si>
  <si>
    <t>Actuator</t>
  </si>
  <si>
    <t>Angle I</t>
  </si>
  <si>
    <t>Totaal</t>
  </si>
  <si>
    <t>Motor</t>
  </si>
  <si>
    <t>Angle [rad]</t>
  </si>
  <si>
    <t>P X</t>
  </si>
  <si>
    <t>P Y</t>
  </si>
  <si>
    <t>P Z</t>
  </si>
  <si>
    <t>Q X</t>
  </si>
  <si>
    <t>Q Y</t>
  </si>
  <si>
    <t>Q Z</t>
  </si>
  <si>
    <r>
      <t>P</t>
    </r>
    <r>
      <rPr>
        <b/>
        <sz val="11"/>
        <color theme="1"/>
        <rFont val="Calibri"/>
        <family val="2"/>
      </rPr>
      <t>ˑQ</t>
    </r>
  </si>
  <si>
    <t>|P|ˑ|Q|</t>
  </si>
  <si>
    <t>M Angle</t>
  </si>
  <si>
    <t>X L</t>
  </si>
  <si>
    <t>Y L</t>
  </si>
  <si>
    <t>Z L</t>
  </si>
  <si>
    <t>X'L</t>
  </si>
  <si>
    <t>Y'L</t>
  </si>
  <si>
    <t>Z'L</t>
  </si>
  <si>
    <r>
      <t>L</t>
    </r>
    <r>
      <rPr>
        <b/>
        <sz val="11"/>
        <color theme="1"/>
        <rFont val="Calibri"/>
        <family val="2"/>
      </rPr>
      <t>ˑ'L</t>
    </r>
  </si>
  <si>
    <t>|L|ˑ|'L|</t>
  </si>
  <si>
    <t>Angle II</t>
  </si>
  <si>
    <t>360- g pi</t>
  </si>
  <si>
    <t>i</t>
  </si>
  <si>
    <t>Ball-joints</t>
  </si>
  <si>
    <t>restrictions</t>
  </si>
  <si>
    <t>e</t>
  </si>
  <si>
    <t>prototype</t>
  </si>
  <si>
    <t>Aim:</t>
  </si>
  <si>
    <t>+</t>
  </si>
  <si>
    <t>-</t>
  </si>
  <si>
    <t>Information</t>
  </si>
  <si>
    <t>The Stewart Platform can not move acording to the requirements</t>
  </si>
  <si>
    <t>M angle</t>
  </si>
  <si>
    <t>α</t>
  </si>
  <si>
    <t>Level glass plate</t>
  </si>
  <si>
    <t>max required height</t>
  </si>
  <si>
    <t>vector Ci</t>
  </si>
  <si>
    <t>Vector Ci - e</t>
  </si>
  <si>
    <t>Vector Bi - e</t>
  </si>
  <si>
    <t>vector Bi</t>
  </si>
  <si>
    <t>Design I           STEWART GOUGH PLATFORM</t>
  </si>
  <si>
    <t>-323,17 &lt; Z &lt; -273,17</t>
  </si>
  <si>
    <t>working</t>
  </si>
  <si>
    <t>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</si>
</sst>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"/>
    <numFmt numFmtId="166" formatCode="0.0"/>
    <numFmt numFmtId="167" formatCode="0.0%"/>
  </numFmts>
  <fonts count="2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"/>
      <name val="Calibri"/>
      <family val="2"/>
      <scheme val="minor"/>
    </font>
    <font>
      <b/>
      <sz val="10"/>
      <color indexed="12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10"/>
      <name val="Arial"/>
      <family val="2"/>
    </font>
    <font>
      <sz val="10"/>
      <name val="Arial"/>
      <family val="2"/>
    </font>
    <font>
      <b/>
      <sz val="11"/>
      <color rgb="FF002060"/>
      <name val="Calibri"/>
      <family val="2"/>
      <scheme val="minor"/>
    </font>
    <font>
      <b/>
      <sz val="10"/>
      <color indexed="10"/>
      <name val="Arial"/>
      <family val="2"/>
    </font>
    <font>
      <b/>
      <i/>
      <sz val="10"/>
      <color indexed="22"/>
      <name val="Arial"/>
      <family val="2"/>
    </font>
    <font>
      <i/>
      <sz val="10"/>
      <color indexed="22"/>
      <name val="Arial"/>
      <family val="2"/>
    </font>
    <font>
      <b/>
      <sz val="2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i/>
      <sz val="10"/>
      <color indexed="55"/>
      <name val="Arial"/>
      <family val="2"/>
    </font>
    <font>
      <sz val="10"/>
      <color indexed="22"/>
      <name val="Arial"/>
      <family val="2"/>
    </font>
    <font>
      <sz val="11"/>
      <name val="Calibri"/>
      <family val="2"/>
      <scheme val="minor"/>
    </font>
    <font>
      <b/>
      <sz val="10"/>
      <color indexed="14"/>
      <name val="Arial"/>
      <family val="2"/>
    </font>
    <font>
      <b/>
      <sz val="7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rgb="FFFFC000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theme="9"/>
      <name val="Arial"/>
      <family val="2"/>
    </font>
    <font>
      <sz val="11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ouble">
        <color indexed="64"/>
      </bottom>
      <diagonal/>
    </border>
    <border>
      <left style="dashDotDot">
        <color indexed="64"/>
      </left>
      <right style="dashDotDot">
        <color indexed="64"/>
      </right>
      <top/>
      <bottom style="dashDotDot">
        <color indexed="64"/>
      </bottom>
      <diagonal/>
    </border>
    <border>
      <left style="double">
        <color indexed="64"/>
      </left>
      <right/>
      <top style="double">
        <color indexed="64"/>
      </top>
      <bottom style="dashed">
        <color indexed="64"/>
      </bottom>
      <diagonal/>
    </border>
    <border>
      <left/>
      <right/>
      <top style="double">
        <color indexed="64"/>
      </top>
      <bottom style="dashed">
        <color indexed="64"/>
      </bottom>
      <diagonal/>
    </border>
    <border>
      <left/>
      <right style="double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1">
    <xf numFmtId="0" fontId="0" fillId="0" borderId="0" xfId="0"/>
    <xf numFmtId="0" fontId="3" fillId="0" borderId="1" xfId="0" applyFont="1" applyBorder="1"/>
    <xf numFmtId="0" fontId="0" fillId="0" borderId="2" xfId="0" applyBorder="1"/>
    <xf numFmtId="0" fontId="4" fillId="0" borderId="3" xfId="0" applyFont="1" applyFill="1" applyBorder="1" applyAlignment="1"/>
    <xf numFmtId="0" fontId="3" fillId="0" borderId="2" xfId="0" applyFont="1" applyBorder="1"/>
    <xf numFmtId="0" fontId="0" fillId="0" borderId="3" xfId="0" applyBorder="1"/>
    <xf numFmtId="0" fontId="0" fillId="0" borderId="1" xfId="0" applyBorder="1"/>
    <xf numFmtId="0" fontId="2" fillId="0" borderId="2" xfId="0" applyFont="1" applyBorder="1" applyAlignment="1">
      <alignment horizontal="right"/>
    </xf>
    <xf numFmtId="0" fontId="2" fillId="0" borderId="2" xfId="0" applyFont="1" applyBorder="1"/>
    <xf numFmtId="0" fontId="5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2" fillId="0" borderId="0" xfId="0" applyFont="1" applyBorder="1"/>
    <xf numFmtId="0" fontId="6" fillId="0" borderId="0" xfId="0" applyFont="1" applyBorder="1"/>
    <xf numFmtId="2" fontId="5" fillId="0" borderId="0" xfId="0" applyNumberFormat="1" applyFont="1" applyBorder="1"/>
    <xf numFmtId="2" fontId="0" fillId="0" borderId="0" xfId="0" applyNumberFormat="1" applyBorder="1"/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7" xfId="0" applyFont="1" applyBorder="1"/>
    <xf numFmtId="0" fontId="6" fillId="0" borderId="7" xfId="0" applyFont="1" applyBorder="1"/>
    <xf numFmtId="2" fontId="5" fillId="0" borderId="7" xfId="0" applyNumberFormat="1" applyFont="1" applyBorder="1"/>
    <xf numFmtId="2" fontId="0" fillId="0" borderId="7" xfId="0" applyNumberFormat="1" applyBorder="1"/>
    <xf numFmtId="0" fontId="3" fillId="0" borderId="0" xfId="0" applyFont="1"/>
    <xf numFmtId="0" fontId="11" fillId="0" borderId="0" xfId="0" applyFont="1"/>
    <xf numFmtId="0" fontId="12" fillId="0" borderId="2" xfId="0" applyFont="1" applyBorder="1"/>
    <xf numFmtId="0" fontId="0" fillId="0" borderId="2" xfId="0" applyFill="1" applyBorder="1"/>
    <xf numFmtId="0" fontId="0" fillId="0" borderId="3" xfId="0" applyFont="1" applyFill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15" fontId="0" fillId="0" borderId="0" xfId="0" quotePrefix="1" applyNumberFormat="1"/>
    <xf numFmtId="0" fontId="8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4" xfId="0" applyFont="1" applyBorder="1"/>
    <xf numFmtId="0" fontId="3" fillId="0" borderId="0" xfId="0" applyFont="1" applyBorder="1"/>
    <xf numFmtId="0" fontId="14" fillId="0" borderId="0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5" fillId="0" borderId="0" xfId="0" applyFont="1" applyBorder="1" applyAlignment="1">
      <alignment horizontal="center"/>
    </xf>
    <xf numFmtId="166" fontId="11" fillId="0" borderId="0" xfId="0" applyNumberFormat="1" applyFont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8" fillId="0" borderId="0" xfId="0" applyFont="1" applyAlignment="1">
      <alignment horizontal="center"/>
    </xf>
    <xf numFmtId="0" fontId="19" fillId="0" borderId="0" xfId="0" applyFont="1"/>
    <xf numFmtId="0" fontId="6" fillId="0" borderId="9" xfId="0" applyFont="1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2" fontId="19" fillId="0" borderId="0" xfId="0" applyNumberFormat="1" applyFont="1" applyAlignment="1">
      <alignment horizontal="center"/>
    </xf>
    <xf numFmtId="166" fontId="19" fillId="0" borderId="0" xfId="0" applyNumberFormat="1" applyFont="1" applyAlignment="1">
      <alignment horizontal="center"/>
    </xf>
    <xf numFmtId="0" fontId="20" fillId="0" borderId="0" xfId="0" applyFont="1" applyBorder="1"/>
    <xf numFmtId="0" fontId="2" fillId="0" borderId="0" xfId="0" applyFont="1"/>
    <xf numFmtId="0" fontId="2" fillId="0" borderId="5" xfId="0" applyFont="1" applyBorder="1"/>
    <xf numFmtId="0" fontId="3" fillId="0" borderId="0" xfId="0" applyFont="1" applyAlignment="1">
      <alignment horizontal="center"/>
    </xf>
    <xf numFmtId="0" fontId="19" fillId="0" borderId="5" xfId="0" applyFont="1" applyBorder="1"/>
    <xf numFmtId="0" fontId="3" fillId="0" borderId="2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19" fillId="0" borderId="3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164" fontId="19" fillId="0" borderId="0" xfId="0" applyNumberFormat="1" applyFont="1" applyBorder="1" applyAlignment="1">
      <alignment horizontal="center"/>
    </xf>
    <xf numFmtId="167" fontId="19" fillId="0" borderId="0" xfId="0" applyNumberFormat="1" applyFont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19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" fontId="1" fillId="0" borderId="5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9" fillId="0" borderId="8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left"/>
    </xf>
    <xf numFmtId="165" fontId="0" fillId="0" borderId="0" xfId="0" applyNumberFormat="1"/>
    <xf numFmtId="10" fontId="0" fillId="0" borderId="0" xfId="0" applyNumberFormat="1"/>
    <xf numFmtId="0" fontId="10" fillId="0" borderId="0" xfId="0" applyFont="1" applyBorder="1"/>
    <xf numFmtId="0" fontId="13" fillId="0" borderId="0" xfId="0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3" fillId="2" borderId="4" xfId="0" applyFont="1" applyFill="1" applyBorder="1"/>
    <xf numFmtId="0" fontId="0" fillId="2" borderId="0" xfId="0" applyFill="1" applyBorder="1"/>
    <xf numFmtId="0" fontId="2" fillId="2" borderId="5" xfId="0" applyFont="1" applyFill="1" applyBorder="1"/>
    <xf numFmtId="49" fontId="9" fillId="0" borderId="0" xfId="0" applyNumberFormat="1" applyFont="1" applyBorder="1" applyAlignment="1">
      <alignment horizontal="center"/>
    </xf>
    <xf numFmtId="165" fontId="21" fillId="0" borderId="2" xfId="0" applyNumberFormat="1" applyFont="1" applyBorder="1" applyAlignment="1">
      <alignment horizontal="center"/>
    </xf>
    <xf numFmtId="165" fontId="21" fillId="0" borderId="0" xfId="0" applyNumberFormat="1" applyFont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11" fillId="0" borderId="2" xfId="0" applyNumberFormat="1" applyFont="1" applyBorder="1" applyAlignment="1">
      <alignment horizontal="center"/>
    </xf>
    <xf numFmtId="165" fontId="11" fillId="0" borderId="0" xfId="0" applyNumberFormat="1" applyFont="1" applyAlignment="1">
      <alignment horizontal="center"/>
    </xf>
    <xf numFmtId="165" fontId="11" fillId="0" borderId="7" xfId="0" applyNumberFormat="1" applyFont="1" applyBorder="1" applyAlignment="1">
      <alignment horizontal="center"/>
    </xf>
    <xf numFmtId="165" fontId="21" fillId="0" borderId="7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11" fillId="0" borderId="0" xfId="0" applyNumberFormat="1" applyFont="1" applyBorder="1" applyAlignment="1">
      <alignment horizontal="center"/>
    </xf>
    <xf numFmtId="165" fontId="21" fillId="0" borderId="0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2" fontId="0" fillId="0" borderId="5" xfId="0" applyNumberFormat="1" applyBorder="1"/>
    <xf numFmtId="2" fontId="0" fillId="0" borderId="4" xfId="0" applyNumberFormat="1" applyBorder="1"/>
    <xf numFmtId="2" fontId="0" fillId="0" borderId="6" xfId="0" applyNumberFormat="1" applyBorder="1"/>
    <xf numFmtId="2" fontId="0" fillId="0" borderId="8" xfId="0" applyNumberFormat="1" applyBorder="1"/>
    <xf numFmtId="0" fontId="0" fillId="0" borderId="14" xfId="0" applyBorder="1"/>
    <xf numFmtId="0" fontId="0" fillId="0" borderId="15" xfId="0" applyBorder="1"/>
    <xf numFmtId="0" fontId="0" fillId="0" borderId="0" xfId="0" applyFont="1" applyFill="1" applyBorder="1"/>
    <xf numFmtId="0" fontId="12" fillId="0" borderId="0" xfId="0" applyFont="1" applyBorder="1"/>
    <xf numFmtId="0" fontId="0" fillId="0" borderId="0" xfId="0" applyFill="1" applyBorder="1"/>
    <xf numFmtId="2" fontId="7" fillId="0" borderId="0" xfId="0" applyNumberFormat="1" applyFont="1" applyBorder="1" applyAlignment="1">
      <alignment horizontal="center"/>
    </xf>
    <xf numFmtId="2" fontId="1" fillId="0" borderId="0" xfId="0" applyNumberFormat="1" applyFont="1" applyBorder="1"/>
    <xf numFmtId="0" fontId="0" fillId="3" borderId="0" xfId="0" applyFill="1"/>
    <xf numFmtId="166" fontId="0" fillId="0" borderId="0" xfId="0" applyNumberFormat="1"/>
    <xf numFmtId="0" fontId="22" fillId="3" borderId="0" xfId="0" applyFont="1" applyFill="1"/>
    <xf numFmtId="0" fontId="3" fillId="3" borderId="1" xfId="0" applyFont="1" applyFill="1" applyBorder="1"/>
    <xf numFmtId="0" fontId="0" fillId="3" borderId="2" xfId="0" applyFill="1" applyBorder="1"/>
    <xf numFmtId="0" fontId="3" fillId="3" borderId="2" xfId="0" applyFont="1" applyFill="1" applyBorder="1"/>
    <xf numFmtId="0" fontId="0" fillId="3" borderId="3" xfId="0" applyFill="1" applyBorder="1"/>
    <xf numFmtId="0" fontId="0" fillId="3" borderId="1" xfId="0" applyFill="1" applyBorder="1"/>
    <xf numFmtId="0" fontId="2" fillId="3" borderId="2" xfId="0" applyFont="1" applyFill="1" applyBorder="1" applyAlignment="1">
      <alignment horizontal="right"/>
    </xf>
    <xf numFmtId="0" fontId="2" fillId="3" borderId="2" xfId="0" applyFont="1" applyFill="1" applyBorder="1"/>
    <xf numFmtId="0" fontId="2" fillId="3" borderId="4" xfId="0" applyFont="1" applyFill="1" applyBorder="1" applyAlignment="1">
      <alignment horizontal="center"/>
    </xf>
    <xf numFmtId="0" fontId="0" fillId="3" borderId="0" xfId="0" applyFill="1" applyBorder="1"/>
    <xf numFmtId="0" fontId="0" fillId="3" borderId="5" xfId="0" applyFill="1" applyBorder="1"/>
    <xf numFmtId="0" fontId="0" fillId="3" borderId="4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8" fillId="3" borderId="4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12" fillId="3" borderId="2" xfId="0" applyFont="1" applyFill="1" applyBorder="1"/>
    <xf numFmtId="0" fontId="0" fillId="3" borderId="3" xfId="0" applyFont="1" applyFill="1" applyBorder="1"/>
    <xf numFmtId="0" fontId="8" fillId="3" borderId="5" xfId="0" applyFont="1" applyFill="1" applyBorder="1" applyAlignment="1">
      <alignment horizontal="center"/>
    </xf>
    <xf numFmtId="0" fontId="0" fillId="3" borderId="6" xfId="0" applyFill="1" applyBorder="1"/>
    <xf numFmtId="0" fontId="2" fillId="3" borderId="7" xfId="0" applyFont="1" applyFill="1" applyBorder="1"/>
    <xf numFmtId="0" fontId="7" fillId="3" borderId="5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3" fillId="3" borderId="0" xfId="0" applyFont="1" applyFill="1"/>
    <xf numFmtId="0" fontId="11" fillId="3" borderId="0" xfId="0" applyFont="1" applyFill="1"/>
    <xf numFmtId="15" fontId="0" fillId="3" borderId="0" xfId="0" quotePrefix="1" applyNumberFormat="1" applyFill="1"/>
    <xf numFmtId="0" fontId="9" fillId="3" borderId="6" xfId="0" applyFont="1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  <xf numFmtId="0" fontId="6" fillId="3" borderId="0" xfId="0" applyFont="1" applyFill="1" applyBorder="1"/>
    <xf numFmtId="0" fontId="9" fillId="3" borderId="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right"/>
    </xf>
    <xf numFmtId="0" fontId="4" fillId="3" borderId="3" xfId="0" applyFont="1" applyFill="1" applyBorder="1" applyAlignment="1"/>
    <xf numFmtId="0" fontId="2" fillId="3" borderId="5" xfId="0" applyFont="1" applyFill="1" applyBorder="1" applyAlignment="1">
      <alignment horizontal="center"/>
    </xf>
    <xf numFmtId="49" fontId="9" fillId="3" borderId="0" xfId="0" applyNumberFormat="1" applyFont="1" applyFill="1" applyBorder="1" applyAlignment="1">
      <alignment horizontal="center"/>
    </xf>
    <xf numFmtId="0" fontId="2" fillId="3" borderId="3" xfId="0" applyFont="1" applyFill="1" applyBorder="1"/>
    <xf numFmtId="2" fontId="0" fillId="3" borderId="7" xfId="0" applyNumberFormat="1" applyFill="1" applyBorder="1"/>
    <xf numFmtId="0" fontId="0" fillId="0" borderId="0" xfId="0" applyFill="1"/>
    <xf numFmtId="2" fontId="0" fillId="0" borderId="0" xfId="0" applyNumberFormat="1" applyFill="1"/>
    <xf numFmtId="0" fontId="6" fillId="0" borderId="16" xfId="0" applyFont="1" applyBorder="1"/>
    <xf numFmtId="0" fontId="6" fillId="0" borderId="17" xfId="0" applyFont="1" applyBorder="1"/>
    <xf numFmtId="2" fontId="1" fillId="0" borderId="6" xfId="0" applyNumberFormat="1" applyFont="1" applyBorder="1"/>
    <xf numFmtId="0" fontId="2" fillId="0" borderId="10" xfId="0" applyFont="1" applyBorder="1"/>
    <xf numFmtId="0" fontId="2" fillId="0" borderId="11" xfId="0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0" fontId="2" fillId="0" borderId="12" xfId="0" applyFont="1" applyBorder="1"/>
    <xf numFmtId="0" fontId="2" fillId="0" borderId="13" xfId="0" applyFont="1" applyBorder="1"/>
    <xf numFmtId="0" fontId="2" fillId="0" borderId="11" xfId="0" applyFont="1" applyFill="1" applyBorder="1"/>
    <xf numFmtId="0" fontId="2" fillId="0" borderId="12" xfId="0" applyFont="1" applyFill="1" applyBorder="1"/>
    <xf numFmtId="0" fontId="2" fillId="0" borderId="13" xfId="0" applyFont="1" applyFill="1" applyBorder="1"/>
    <xf numFmtId="0" fontId="23" fillId="0" borderId="12" xfId="0" applyFont="1" applyBorder="1"/>
    <xf numFmtId="0" fontId="0" fillId="0" borderId="5" xfId="0" applyFont="1" applyFill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166" fontId="0" fillId="0" borderId="0" xfId="0" applyNumberFormat="1" applyBorder="1"/>
    <xf numFmtId="0" fontId="9" fillId="0" borderId="8" xfId="0" applyFont="1" applyBorder="1" applyAlignment="1">
      <alignment horizontal="center"/>
    </xf>
    <xf numFmtId="2" fontId="2" fillId="3" borderId="5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2" fontId="2" fillId="3" borderId="8" xfId="0" applyNumberFormat="1" applyFont="1" applyFill="1" applyBorder="1" applyAlignment="1">
      <alignment horizontal="center"/>
    </xf>
    <xf numFmtId="0" fontId="2" fillId="0" borderId="11" xfId="0" applyFont="1" applyBorder="1" applyAlignment="1">
      <alignment horizontal="left"/>
    </xf>
    <xf numFmtId="0" fontId="6" fillId="0" borderId="18" xfId="0" applyFont="1" applyBorder="1"/>
    <xf numFmtId="0" fontId="3" fillId="0" borderId="19" xfId="0" applyFont="1" applyBorder="1"/>
    <xf numFmtId="0" fontId="0" fillId="0" borderId="20" xfId="0" applyBorder="1"/>
    <xf numFmtId="0" fontId="4" fillId="0" borderId="21" xfId="0" applyFont="1" applyFill="1" applyBorder="1" applyAlignment="1"/>
    <xf numFmtId="0" fontId="3" fillId="0" borderId="20" xfId="0" applyFont="1" applyBorder="1"/>
    <xf numFmtId="0" fontId="0" fillId="0" borderId="19" xfId="0" applyBorder="1"/>
    <xf numFmtId="0" fontId="2" fillId="0" borderId="20" xfId="0" applyFont="1" applyBorder="1" applyAlignment="1">
      <alignment horizontal="right"/>
    </xf>
    <xf numFmtId="0" fontId="2" fillId="0" borderId="20" xfId="0" applyFont="1" applyBorder="1"/>
    <xf numFmtId="0" fontId="2" fillId="0" borderId="21" xfId="0" applyFont="1" applyBorder="1"/>
    <xf numFmtId="165" fontId="7" fillId="3" borderId="0" xfId="0" applyNumberFormat="1" applyFont="1" applyFill="1" applyBorder="1" applyAlignment="1" applyProtection="1">
      <alignment horizontal="center"/>
      <protection locked="0"/>
    </xf>
    <xf numFmtId="0" fontId="2" fillId="3" borderId="1" xfId="0" applyFont="1" applyFill="1" applyBorder="1"/>
    <xf numFmtId="0" fontId="2" fillId="3" borderId="4" xfId="0" applyFont="1" applyFill="1" applyBorder="1"/>
    <xf numFmtId="0" fontId="2" fillId="3" borderId="6" xfId="0" applyFont="1" applyFill="1" applyBorder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24" fillId="3" borderId="0" xfId="0" applyFont="1" applyFill="1" applyBorder="1" applyAlignment="1">
      <alignment horizontal="center"/>
    </xf>
    <xf numFmtId="0" fontId="24" fillId="3" borderId="5" xfId="0" applyFont="1" applyFill="1" applyBorder="1" applyAlignment="1">
      <alignment horizontal="center"/>
    </xf>
    <xf numFmtId="0" fontId="24" fillId="3" borderId="7" xfId="0" applyFont="1" applyFill="1" applyBorder="1" applyAlignment="1">
      <alignment horizontal="center"/>
    </xf>
    <xf numFmtId="0" fontId="24" fillId="3" borderId="8" xfId="0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4" fontId="7" fillId="3" borderId="0" xfId="0" applyNumberFormat="1" applyFont="1" applyFill="1" applyBorder="1" applyAlignment="1" applyProtection="1">
      <alignment horizontal="center"/>
      <protection locked="0"/>
    </xf>
    <xf numFmtId="0" fontId="0" fillId="0" borderId="25" xfId="0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166" fontId="0" fillId="0" borderId="2" xfId="0" applyNumberFormat="1" applyBorder="1"/>
    <xf numFmtId="1" fontId="0" fillId="0" borderId="3" xfId="0" applyNumberFormat="1" applyBorder="1"/>
    <xf numFmtId="166" fontId="0" fillId="0" borderId="7" xfId="0" applyNumberFormat="1" applyBorder="1"/>
    <xf numFmtId="0" fontId="0" fillId="3" borderId="26" xfId="0" applyFill="1" applyBorder="1" applyAlignment="1">
      <alignment horizontal="center"/>
    </xf>
    <xf numFmtId="2" fontId="0" fillId="4" borderId="0" xfId="0" applyNumberFormat="1" applyFill="1" applyBorder="1"/>
    <xf numFmtId="2" fontId="0" fillId="4" borderId="5" xfId="0" applyNumberFormat="1" applyFill="1" applyBorder="1"/>
    <xf numFmtId="2" fontId="0" fillId="4" borderId="7" xfId="0" applyNumberFormat="1" applyFill="1" applyBorder="1"/>
    <xf numFmtId="2" fontId="0" fillId="4" borderId="8" xfId="0" applyNumberForma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25" fillId="3" borderId="4" xfId="0" applyFont="1" applyFill="1" applyBorder="1" applyAlignment="1">
      <alignment horizontal="center"/>
    </xf>
    <xf numFmtId="0" fontId="25" fillId="3" borderId="0" xfId="0" applyFont="1" applyFill="1" applyBorder="1" applyAlignment="1">
      <alignment horizontal="center"/>
    </xf>
    <xf numFmtId="4" fontId="25" fillId="3" borderId="0" xfId="0" applyNumberFormat="1" applyFont="1" applyFill="1" applyBorder="1" applyAlignment="1" applyProtection="1">
      <alignment horizontal="center"/>
      <protection locked="0"/>
    </xf>
    <xf numFmtId="0" fontId="25" fillId="3" borderId="5" xfId="0" applyFont="1" applyFill="1" applyBorder="1" applyAlignment="1">
      <alignment horizontal="center"/>
    </xf>
    <xf numFmtId="0" fontId="1" fillId="3" borderId="0" xfId="0" applyFont="1" applyFill="1"/>
    <xf numFmtId="0" fontId="26" fillId="3" borderId="4" xfId="0" applyFont="1" applyFill="1" applyBorder="1" applyAlignment="1">
      <alignment horizontal="center"/>
    </xf>
    <xf numFmtId="0" fontId="26" fillId="3" borderId="0" xfId="0" applyFont="1" applyFill="1" applyBorder="1" applyAlignment="1">
      <alignment horizontal="center"/>
    </xf>
    <xf numFmtId="4" fontId="26" fillId="3" borderId="0" xfId="0" applyNumberFormat="1" applyFont="1" applyFill="1" applyBorder="1" applyAlignment="1" applyProtection="1">
      <alignment horizontal="center"/>
      <protection locked="0"/>
    </xf>
    <xf numFmtId="0" fontId="26" fillId="3" borderId="5" xfId="0" applyFont="1" applyFill="1" applyBorder="1" applyAlignment="1">
      <alignment horizontal="center"/>
    </xf>
    <xf numFmtId="0" fontId="27" fillId="3" borderId="0" xfId="0" applyFont="1" applyFill="1"/>
    <xf numFmtId="0" fontId="27" fillId="0" borderId="0" xfId="0" applyFont="1"/>
    <xf numFmtId="0" fontId="26" fillId="4" borderId="0" xfId="0" applyFont="1" applyFill="1" applyBorder="1" applyAlignment="1">
      <alignment horizontal="center"/>
    </xf>
    <xf numFmtId="0" fontId="0" fillId="3" borderId="0" xfId="0" applyFill="1" applyAlignment="1">
      <alignment horizontal="left" vertical="top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482415</xdr:colOff>
      <xdr:row>5</xdr:row>
      <xdr:rowOff>20731</xdr:rowOff>
    </xdr:from>
    <xdr:to>
      <xdr:col>7</xdr:col>
      <xdr:colOff>568140</xdr:colOff>
      <xdr:row>5</xdr:row>
      <xdr:rowOff>182656</xdr:rowOff>
    </xdr:to>
    <xdr:pic>
      <xdr:nvPicPr>
        <xdr:cNvPr id="8" name="Afbeelding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7565" y="468406"/>
          <a:ext cx="857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466727</xdr:colOff>
      <xdr:row>4</xdr:row>
      <xdr:rowOff>187779</xdr:rowOff>
    </xdr:from>
    <xdr:to>
      <xdr:col>6</xdr:col>
      <xdr:colOff>542927</xdr:colOff>
      <xdr:row>5</xdr:row>
      <xdr:rowOff>159204</xdr:rowOff>
    </xdr:to>
    <xdr:pic>
      <xdr:nvPicPr>
        <xdr:cNvPr id="9" name="Afbeelding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5370" y="1698172"/>
          <a:ext cx="762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463365</xdr:colOff>
      <xdr:row>5</xdr:row>
      <xdr:rowOff>19050</xdr:rowOff>
    </xdr:from>
    <xdr:to>
      <xdr:col>8</xdr:col>
      <xdr:colOff>558615</xdr:colOff>
      <xdr:row>5</xdr:row>
      <xdr:rowOff>180975</xdr:rowOff>
    </xdr:to>
    <xdr:pic>
      <xdr:nvPicPr>
        <xdr:cNvPr id="10" name="Afbeelding 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78115" y="466725"/>
          <a:ext cx="952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482415</xdr:colOff>
      <xdr:row>2</xdr:row>
      <xdr:rowOff>20731</xdr:rowOff>
    </xdr:from>
    <xdr:to>
      <xdr:col>5</xdr:col>
      <xdr:colOff>568140</xdr:colOff>
      <xdr:row>2</xdr:row>
      <xdr:rowOff>182656</xdr:rowOff>
    </xdr:to>
    <xdr:pic>
      <xdr:nvPicPr>
        <xdr:cNvPr id="3" name="Afbeelding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0015" y="268381"/>
          <a:ext cx="857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466727</xdr:colOff>
      <xdr:row>2</xdr:row>
      <xdr:rowOff>38100</xdr:rowOff>
    </xdr:from>
    <xdr:to>
      <xdr:col>4</xdr:col>
      <xdr:colOff>542927</xdr:colOff>
      <xdr:row>3</xdr:row>
      <xdr:rowOff>9525</xdr:rowOff>
    </xdr:to>
    <xdr:pic>
      <xdr:nvPicPr>
        <xdr:cNvPr id="4" name="Afbeelding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4727" y="285750"/>
          <a:ext cx="762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463365</xdr:colOff>
      <xdr:row>2</xdr:row>
      <xdr:rowOff>19050</xdr:rowOff>
    </xdr:from>
    <xdr:to>
      <xdr:col>6</xdr:col>
      <xdr:colOff>558615</xdr:colOff>
      <xdr:row>2</xdr:row>
      <xdr:rowOff>180975</xdr:rowOff>
    </xdr:to>
    <xdr:pic>
      <xdr:nvPicPr>
        <xdr:cNvPr id="5" name="Afbeelding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0565" y="266700"/>
          <a:ext cx="952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482415</xdr:colOff>
      <xdr:row>20</xdr:row>
      <xdr:rowOff>20731</xdr:rowOff>
    </xdr:from>
    <xdr:to>
      <xdr:col>7</xdr:col>
      <xdr:colOff>568140</xdr:colOff>
      <xdr:row>20</xdr:row>
      <xdr:rowOff>182656</xdr:rowOff>
    </xdr:to>
    <xdr:pic>
      <xdr:nvPicPr>
        <xdr:cNvPr id="6" name="Afbeelding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0015" y="4202206"/>
          <a:ext cx="857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466727</xdr:colOff>
      <xdr:row>20</xdr:row>
      <xdr:rowOff>38100</xdr:rowOff>
    </xdr:from>
    <xdr:to>
      <xdr:col>6</xdr:col>
      <xdr:colOff>542927</xdr:colOff>
      <xdr:row>21</xdr:row>
      <xdr:rowOff>9525</xdr:rowOff>
    </xdr:to>
    <xdr:pic>
      <xdr:nvPicPr>
        <xdr:cNvPr id="7" name="Afbeelding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4727" y="4219575"/>
          <a:ext cx="762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463365</xdr:colOff>
      <xdr:row>20</xdr:row>
      <xdr:rowOff>19050</xdr:rowOff>
    </xdr:from>
    <xdr:to>
      <xdr:col>8</xdr:col>
      <xdr:colOff>558615</xdr:colOff>
      <xdr:row>20</xdr:row>
      <xdr:rowOff>180975</xdr:rowOff>
    </xdr:to>
    <xdr:pic>
      <xdr:nvPicPr>
        <xdr:cNvPr id="8" name="Afbeelding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0565" y="4200525"/>
          <a:ext cx="952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482415</xdr:colOff>
      <xdr:row>47</xdr:row>
      <xdr:rowOff>20731</xdr:rowOff>
    </xdr:from>
    <xdr:to>
      <xdr:col>7</xdr:col>
      <xdr:colOff>568140</xdr:colOff>
      <xdr:row>47</xdr:row>
      <xdr:rowOff>182656</xdr:rowOff>
    </xdr:to>
    <xdr:pic>
      <xdr:nvPicPr>
        <xdr:cNvPr id="9" name="Afbeelding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0015" y="9421906"/>
          <a:ext cx="857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466727</xdr:colOff>
      <xdr:row>47</xdr:row>
      <xdr:rowOff>38100</xdr:rowOff>
    </xdr:from>
    <xdr:to>
      <xdr:col>6</xdr:col>
      <xdr:colOff>542927</xdr:colOff>
      <xdr:row>48</xdr:row>
      <xdr:rowOff>9525</xdr:rowOff>
    </xdr:to>
    <xdr:pic>
      <xdr:nvPicPr>
        <xdr:cNvPr id="10" name="Afbeelding 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4727" y="9439275"/>
          <a:ext cx="762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463365</xdr:colOff>
      <xdr:row>47</xdr:row>
      <xdr:rowOff>19050</xdr:rowOff>
    </xdr:from>
    <xdr:to>
      <xdr:col>8</xdr:col>
      <xdr:colOff>558615</xdr:colOff>
      <xdr:row>47</xdr:row>
      <xdr:rowOff>180975</xdr:rowOff>
    </xdr:to>
    <xdr:pic>
      <xdr:nvPicPr>
        <xdr:cNvPr id="11" name="Afbeelding 1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0565" y="9420225"/>
          <a:ext cx="952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482415</xdr:colOff>
      <xdr:row>73</xdr:row>
      <xdr:rowOff>20731</xdr:rowOff>
    </xdr:from>
    <xdr:to>
      <xdr:col>7</xdr:col>
      <xdr:colOff>568140</xdr:colOff>
      <xdr:row>73</xdr:row>
      <xdr:rowOff>182656</xdr:rowOff>
    </xdr:to>
    <xdr:pic>
      <xdr:nvPicPr>
        <xdr:cNvPr id="12" name="Afbeelding 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0015" y="14451106"/>
          <a:ext cx="857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466727</xdr:colOff>
      <xdr:row>73</xdr:row>
      <xdr:rowOff>38100</xdr:rowOff>
    </xdr:from>
    <xdr:to>
      <xdr:col>6</xdr:col>
      <xdr:colOff>542927</xdr:colOff>
      <xdr:row>74</xdr:row>
      <xdr:rowOff>9525</xdr:rowOff>
    </xdr:to>
    <xdr:pic>
      <xdr:nvPicPr>
        <xdr:cNvPr id="13" name="Afbeelding 1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4727" y="14468475"/>
          <a:ext cx="762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463365</xdr:colOff>
      <xdr:row>73</xdr:row>
      <xdr:rowOff>19050</xdr:rowOff>
    </xdr:from>
    <xdr:to>
      <xdr:col>8</xdr:col>
      <xdr:colOff>558615</xdr:colOff>
      <xdr:row>73</xdr:row>
      <xdr:rowOff>180975</xdr:rowOff>
    </xdr:to>
    <xdr:pic>
      <xdr:nvPicPr>
        <xdr:cNvPr id="14" name="Afbeelding 1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0565" y="14449425"/>
          <a:ext cx="952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482415</xdr:colOff>
      <xdr:row>98</xdr:row>
      <xdr:rowOff>20731</xdr:rowOff>
    </xdr:from>
    <xdr:to>
      <xdr:col>7</xdr:col>
      <xdr:colOff>568140</xdr:colOff>
      <xdr:row>98</xdr:row>
      <xdr:rowOff>182656</xdr:rowOff>
    </xdr:to>
    <xdr:pic>
      <xdr:nvPicPr>
        <xdr:cNvPr id="15" name="Afbeelding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0015" y="19289806"/>
          <a:ext cx="857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466727</xdr:colOff>
      <xdr:row>98</xdr:row>
      <xdr:rowOff>38100</xdr:rowOff>
    </xdr:from>
    <xdr:to>
      <xdr:col>6</xdr:col>
      <xdr:colOff>542927</xdr:colOff>
      <xdr:row>99</xdr:row>
      <xdr:rowOff>9525</xdr:rowOff>
    </xdr:to>
    <xdr:pic>
      <xdr:nvPicPr>
        <xdr:cNvPr id="16" name="Afbeelding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4727" y="19307175"/>
          <a:ext cx="762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463365</xdr:colOff>
      <xdr:row>98</xdr:row>
      <xdr:rowOff>19050</xdr:rowOff>
    </xdr:from>
    <xdr:to>
      <xdr:col>8</xdr:col>
      <xdr:colOff>558615</xdr:colOff>
      <xdr:row>98</xdr:row>
      <xdr:rowOff>180975</xdr:rowOff>
    </xdr:to>
    <xdr:pic>
      <xdr:nvPicPr>
        <xdr:cNvPr id="17" name="Afbeelding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0565" y="19288125"/>
          <a:ext cx="952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482415</xdr:colOff>
      <xdr:row>123</xdr:row>
      <xdr:rowOff>20731</xdr:rowOff>
    </xdr:from>
    <xdr:to>
      <xdr:col>7</xdr:col>
      <xdr:colOff>568140</xdr:colOff>
      <xdr:row>123</xdr:row>
      <xdr:rowOff>182656</xdr:rowOff>
    </xdr:to>
    <xdr:pic>
      <xdr:nvPicPr>
        <xdr:cNvPr id="18" name="Afbeelding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0015" y="24128506"/>
          <a:ext cx="857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466727</xdr:colOff>
      <xdr:row>123</xdr:row>
      <xdr:rowOff>38100</xdr:rowOff>
    </xdr:from>
    <xdr:to>
      <xdr:col>6</xdr:col>
      <xdr:colOff>542927</xdr:colOff>
      <xdr:row>124</xdr:row>
      <xdr:rowOff>9525</xdr:rowOff>
    </xdr:to>
    <xdr:pic>
      <xdr:nvPicPr>
        <xdr:cNvPr id="19" name="Afbeelding 1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4727" y="24145875"/>
          <a:ext cx="762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463365</xdr:colOff>
      <xdr:row>123</xdr:row>
      <xdr:rowOff>19050</xdr:rowOff>
    </xdr:from>
    <xdr:to>
      <xdr:col>8</xdr:col>
      <xdr:colOff>558615</xdr:colOff>
      <xdr:row>123</xdr:row>
      <xdr:rowOff>180975</xdr:rowOff>
    </xdr:to>
    <xdr:pic>
      <xdr:nvPicPr>
        <xdr:cNvPr id="20" name="Afbeelding 1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0565" y="24126825"/>
          <a:ext cx="952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482415</xdr:colOff>
      <xdr:row>148</xdr:row>
      <xdr:rowOff>20731</xdr:rowOff>
    </xdr:from>
    <xdr:to>
      <xdr:col>7</xdr:col>
      <xdr:colOff>568140</xdr:colOff>
      <xdr:row>148</xdr:row>
      <xdr:rowOff>182656</xdr:rowOff>
    </xdr:to>
    <xdr:pic>
      <xdr:nvPicPr>
        <xdr:cNvPr id="21" name="Afbeelding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0015" y="28967206"/>
          <a:ext cx="857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466727</xdr:colOff>
      <xdr:row>148</xdr:row>
      <xdr:rowOff>38100</xdr:rowOff>
    </xdr:from>
    <xdr:to>
      <xdr:col>6</xdr:col>
      <xdr:colOff>542927</xdr:colOff>
      <xdr:row>149</xdr:row>
      <xdr:rowOff>9525</xdr:rowOff>
    </xdr:to>
    <xdr:pic>
      <xdr:nvPicPr>
        <xdr:cNvPr id="22" name="Afbeelding 2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14727" y="28984575"/>
          <a:ext cx="762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463365</xdr:colOff>
      <xdr:row>148</xdr:row>
      <xdr:rowOff>19050</xdr:rowOff>
    </xdr:from>
    <xdr:to>
      <xdr:col>8</xdr:col>
      <xdr:colOff>558615</xdr:colOff>
      <xdr:row>148</xdr:row>
      <xdr:rowOff>180975</xdr:rowOff>
    </xdr:to>
    <xdr:pic>
      <xdr:nvPicPr>
        <xdr:cNvPr id="23" name="Afbeelding 2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0565" y="28965525"/>
          <a:ext cx="952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68035</xdr:rowOff>
    </xdr:from>
    <xdr:to>
      <xdr:col>23</xdr:col>
      <xdr:colOff>389382</xdr:colOff>
      <xdr:row>178</xdr:row>
      <xdr:rowOff>122464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3677678"/>
          <a:ext cx="15071489" cy="13879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114300</xdr:colOff>
      <xdr:row>10</xdr:row>
      <xdr:rowOff>180975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kstvak 5"/>
            <xdr:cNvSpPr txBox="1"/>
          </xdr:nvSpPr>
          <xdr:spPr>
            <a:xfrm>
              <a:off x="8039100" y="1133475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𝜌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kstvak 5"/>
            <xdr:cNvSpPr txBox="1"/>
          </xdr:nvSpPr>
          <xdr:spPr>
            <a:xfrm>
              <a:off x="8039100" y="1133475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5</xdr:col>
      <xdr:colOff>505548</xdr:colOff>
      <xdr:row>2</xdr:row>
      <xdr:rowOff>15288</xdr:rowOff>
    </xdr:from>
    <xdr:to>
      <xdr:col>5</xdr:col>
      <xdr:colOff>591273</xdr:colOff>
      <xdr:row>2</xdr:row>
      <xdr:rowOff>177213</xdr:rowOff>
    </xdr:to>
    <xdr:pic>
      <xdr:nvPicPr>
        <xdr:cNvPr id="9" name="Afbeelding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7155" y="464324"/>
          <a:ext cx="857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489859</xdr:colOff>
      <xdr:row>2</xdr:row>
      <xdr:rowOff>32657</xdr:rowOff>
    </xdr:from>
    <xdr:to>
      <xdr:col>4</xdr:col>
      <xdr:colOff>566059</xdr:colOff>
      <xdr:row>3</xdr:row>
      <xdr:rowOff>4082</xdr:rowOff>
    </xdr:to>
    <xdr:pic>
      <xdr:nvPicPr>
        <xdr:cNvPr id="10" name="Afbeelding 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9145" y="481693"/>
          <a:ext cx="762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486497</xdr:colOff>
      <xdr:row>2</xdr:row>
      <xdr:rowOff>13607</xdr:rowOff>
    </xdr:from>
    <xdr:to>
      <xdr:col>6</xdr:col>
      <xdr:colOff>581747</xdr:colOff>
      <xdr:row>2</xdr:row>
      <xdr:rowOff>175532</xdr:rowOff>
    </xdr:to>
    <xdr:pic>
      <xdr:nvPicPr>
        <xdr:cNvPr id="11" name="Afbeelding 1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0426" y="462643"/>
          <a:ext cx="952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136071</xdr:colOff>
      <xdr:row>1</xdr:row>
      <xdr:rowOff>40822</xdr:rowOff>
    </xdr:from>
    <xdr:to>
      <xdr:col>25</xdr:col>
      <xdr:colOff>445893</xdr:colOff>
      <xdr:row>23</xdr:row>
      <xdr:rowOff>59322</xdr:rowOff>
    </xdr:to>
    <xdr:pic>
      <xdr:nvPicPr>
        <xdr:cNvPr id="18" name="Afbeelding 1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63500" y="244929"/>
          <a:ext cx="3371429" cy="440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81641</xdr:colOff>
      <xdr:row>24</xdr:row>
      <xdr:rowOff>108858</xdr:rowOff>
    </xdr:from>
    <xdr:to>
      <xdr:col>23</xdr:col>
      <xdr:colOff>248102</xdr:colOff>
      <xdr:row>31</xdr:row>
      <xdr:rowOff>131809</xdr:rowOff>
    </xdr:to>
    <xdr:pic>
      <xdr:nvPicPr>
        <xdr:cNvPr id="19" name="Afbeelding 18" descr="File:Vector subtraction.svg"/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9070" y="4884965"/>
          <a:ext cx="2003425" cy="1383665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16</xdr:col>
      <xdr:colOff>114300</xdr:colOff>
      <xdr:row>10</xdr:row>
      <xdr:rowOff>180975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kstvak 11"/>
            <xdr:cNvSpPr txBox="1"/>
          </xdr:nvSpPr>
          <xdr:spPr>
            <a:xfrm>
              <a:off x="10292443" y="2181225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𝜌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kstvak 11"/>
            <xdr:cNvSpPr txBox="1"/>
          </xdr:nvSpPr>
          <xdr:spPr>
            <a:xfrm>
              <a:off x="10292443" y="2181225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5</xdr:col>
      <xdr:colOff>505548</xdr:colOff>
      <xdr:row>2</xdr:row>
      <xdr:rowOff>15288</xdr:rowOff>
    </xdr:from>
    <xdr:to>
      <xdr:col>5</xdr:col>
      <xdr:colOff>591273</xdr:colOff>
      <xdr:row>2</xdr:row>
      <xdr:rowOff>177213</xdr:rowOff>
    </xdr:to>
    <xdr:pic>
      <xdr:nvPicPr>
        <xdr:cNvPr id="13" name="Afbeelding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7155" y="464324"/>
          <a:ext cx="857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489859</xdr:colOff>
      <xdr:row>2</xdr:row>
      <xdr:rowOff>32657</xdr:rowOff>
    </xdr:from>
    <xdr:to>
      <xdr:col>4</xdr:col>
      <xdr:colOff>566059</xdr:colOff>
      <xdr:row>3</xdr:row>
      <xdr:rowOff>4082</xdr:rowOff>
    </xdr:to>
    <xdr:pic>
      <xdr:nvPicPr>
        <xdr:cNvPr id="14" name="Afbeelding 1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9145" y="481693"/>
          <a:ext cx="762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486497</xdr:colOff>
      <xdr:row>2</xdr:row>
      <xdr:rowOff>13607</xdr:rowOff>
    </xdr:from>
    <xdr:to>
      <xdr:col>6</xdr:col>
      <xdr:colOff>581747</xdr:colOff>
      <xdr:row>2</xdr:row>
      <xdr:rowOff>175532</xdr:rowOff>
    </xdr:to>
    <xdr:pic>
      <xdr:nvPicPr>
        <xdr:cNvPr id="15" name="Afbeelding 1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0426" y="462643"/>
          <a:ext cx="952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114300</xdr:colOff>
      <xdr:row>10</xdr:row>
      <xdr:rowOff>180975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kstvak 2"/>
            <xdr:cNvSpPr txBox="1"/>
          </xdr:nvSpPr>
          <xdr:spPr>
            <a:xfrm>
              <a:off x="10248900" y="2171700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𝜌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kstvak 2"/>
            <xdr:cNvSpPr txBox="1"/>
          </xdr:nvSpPr>
          <xdr:spPr>
            <a:xfrm>
              <a:off x="10248900" y="2171700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5</xdr:col>
      <xdr:colOff>505548</xdr:colOff>
      <xdr:row>2</xdr:row>
      <xdr:rowOff>15288</xdr:rowOff>
    </xdr:from>
    <xdr:to>
      <xdr:col>5</xdr:col>
      <xdr:colOff>591273</xdr:colOff>
      <xdr:row>2</xdr:row>
      <xdr:rowOff>177213</xdr:rowOff>
    </xdr:to>
    <xdr:pic>
      <xdr:nvPicPr>
        <xdr:cNvPr id="4" name="Afbeelding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3548" y="462963"/>
          <a:ext cx="857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489859</xdr:colOff>
      <xdr:row>2</xdr:row>
      <xdr:rowOff>32657</xdr:rowOff>
    </xdr:from>
    <xdr:to>
      <xdr:col>4</xdr:col>
      <xdr:colOff>566059</xdr:colOff>
      <xdr:row>3</xdr:row>
      <xdr:rowOff>4082</xdr:rowOff>
    </xdr:to>
    <xdr:pic>
      <xdr:nvPicPr>
        <xdr:cNvPr id="5" name="Afbeelding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8259" y="480332"/>
          <a:ext cx="762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486497</xdr:colOff>
      <xdr:row>2</xdr:row>
      <xdr:rowOff>13607</xdr:rowOff>
    </xdr:from>
    <xdr:to>
      <xdr:col>6</xdr:col>
      <xdr:colOff>581747</xdr:colOff>
      <xdr:row>2</xdr:row>
      <xdr:rowOff>175532</xdr:rowOff>
    </xdr:to>
    <xdr:pic>
      <xdr:nvPicPr>
        <xdr:cNvPr id="6" name="Afbeelding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4097" y="461282"/>
          <a:ext cx="952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114300</xdr:colOff>
      <xdr:row>10</xdr:row>
      <xdr:rowOff>180975</xdr:rowOff>
    </xdr:from>
    <xdr:ext cx="11323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kstvak 6"/>
            <xdr:cNvSpPr txBox="1"/>
          </xdr:nvSpPr>
          <xdr:spPr>
            <a:xfrm>
              <a:off x="10248900" y="2171700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𝜌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kstvak 6"/>
            <xdr:cNvSpPr txBox="1"/>
          </xdr:nvSpPr>
          <xdr:spPr>
            <a:xfrm>
              <a:off x="10248900" y="2171700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5</xdr:col>
      <xdr:colOff>505548</xdr:colOff>
      <xdr:row>2</xdr:row>
      <xdr:rowOff>15288</xdr:rowOff>
    </xdr:from>
    <xdr:to>
      <xdr:col>5</xdr:col>
      <xdr:colOff>591273</xdr:colOff>
      <xdr:row>2</xdr:row>
      <xdr:rowOff>177213</xdr:rowOff>
    </xdr:to>
    <xdr:pic>
      <xdr:nvPicPr>
        <xdr:cNvPr id="8" name="Afbeelding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3548" y="462963"/>
          <a:ext cx="8572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489859</xdr:colOff>
      <xdr:row>2</xdr:row>
      <xdr:rowOff>32657</xdr:rowOff>
    </xdr:from>
    <xdr:to>
      <xdr:col>4</xdr:col>
      <xdr:colOff>566059</xdr:colOff>
      <xdr:row>3</xdr:row>
      <xdr:rowOff>4082</xdr:rowOff>
    </xdr:to>
    <xdr:pic>
      <xdr:nvPicPr>
        <xdr:cNvPr id="9" name="Afbeelding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8259" y="480332"/>
          <a:ext cx="762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486497</xdr:colOff>
      <xdr:row>2</xdr:row>
      <xdr:rowOff>13607</xdr:rowOff>
    </xdr:from>
    <xdr:to>
      <xdr:col>6</xdr:col>
      <xdr:colOff>581747</xdr:colOff>
      <xdr:row>2</xdr:row>
      <xdr:rowOff>175532</xdr:rowOff>
    </xdr:to>
    <xdr:pic>
      <xdr:nvPicPr>
        <xdr:cNvPr id="10" name="Afbeelding 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4097" y="461282"/>
          <a:ext cx="952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Y81"/>
  <sheetViews>
    <sheetView tabSelected="1" zoomScale="70" zoomScaleNormal="70" workbookViewId="0">
      <selection activeCell="T16" sqref="T16"/>
    </sheetView>
  </sheetViews>
  <sheetFormatPr defaultRowHeight="15" x14ac:dyDescent="0.25"/>
  <cols>
    <col min="1" max="1" width="1.140625" customWidth="1"/>
    <col min="2" max="2" width="3.7109375" customWidth="1"/>
    <col min="3" max="3" width="1.42578125" customWidth="1"/>
    <col min="4" max="16" width="11.7109375" customWidth="1"/>
    <col min="18" max="25" width="10.7109375" customWidth="1"/>
  </cols>
  <sheetData>
    <row r="1" spans="1:25" x14ac:dyDescent="0.25">
      <c r="A1" s="142"/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</row>
    <row r="2" spans="1:25" ht="69" customHeight="1" x14ac:dyDescent="1.35">
      <c r="A2" s="142"/>
      <c r="B2" s="239">
        <f>IF(I30=6,1,-1)</f>
        <v>1</v>
      </c>
      <c r="C2" s="142"/>
      <c r="D2" s="144" t="s">
        <v>152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242"/>
      <c r="U2" s="242"/>
      <c r="V2" s="242"/>
      <c r="W2" s="242"/>
      <c r="X2" s="142"/>
      <c r="Y2" s="142"/>
    </row>
    <row r="3" spans="1:25" ht="15.75" thickBot="1" x14ac:dyDescent="0.3">
      <c r="A3" s="142"/>
      <c r="B3" s="240">
        <f>B2</f>
        <v>1</v>
      </c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</row>
    <row r="4" spans="1:25" ht="19.5" thickTop="1" x14ac:dyDescent="0.3">
      <c r="A4" s="142"/>
      <c r="B4" s="240">
        <f t="shared" ref="B4:B28" si="0">B3</f>
        <v>1</v>
      </c>
      <c r="C4" s="142"/>
      <c r="D4" s="145" t="s">
        <v>0</v>
      </c>
      <c r="E4" s="146"/>
      <c r="F4" s="146"/>
      <c r="G4" s="146"/>
      <c r="H4" s="146"/>
      <c r="I4" s="188"/>
      <c r="J4" s="142"/>
      <c r="K4" s="145" t="s">
        <v>1</v>
      </c>
      <c r="L4" s="146"/>
      <c r="M4" s="147" t="s">
        <v>2</v>
      </c>
      <c r="N4" s="146"/>
      <c r="O4" s="147" t="s">
        <v>135</v>
      </c>
      <c r="P4" s="148"/>
      <c r="Q4" s="142"/>
      <c r="R4" s="149"/>
      <c r="S4" s="150" t="s">
        <v>3</v>
      </c>
      <c r="T4" s="151" t="s">
        <v>5</v>
      </c>
      <c r="U4" s="151" t="s">
        <v>6</v>
      </c>
      <c r="V4" s="256" t="s">
        <v>132</v>
      </c>
      <c r="W4" s="256" t="s">
        <v>111</v>
      </c>
      <c r="X4" s="257" t="s">
        <v>144</v>
      </c>
      <c r="Y4" s="153"/>
    </row>
    <row r="5" spans="1:25" x14ac:dyDescent="0.25">
      <c r="A5" s="142"/>
      <c r="B5" s="240">
        <f t="shared" si="0"/>
        <v>1</v>
      </c>
      <c r="C5" s="142"/>
      <c r="D5" s="152"/>
      <c r="E5" s="153"/>
      <c r="F5" s="153"/>
      <c r="G5" s="153"/>
      <c r="H5" s="160"/>
      <c r="I5" s="154"/>
      <c r="J5" s="142"/>
      <c r="K5" s="152" t="s">
        <v>13</v>
      </c>
      <c r="L5" s="153"/>
      <c r="M5" s="153"/>
      <c r="N5" s="153"/>
      <c r="O5" s="152" t="s">
        <v>136</v>
      </c>
      <c r="P5" s="154"/>
      <c r="Q5" s="142"/>
      <c r="R5" s="155"/>
      <c r="S5" s="156">
        <v>1</v>
      </c>
      <c r="T5" s="157">
        <f>'Angle Actuators'!T3</f>
        <v>350.00221945162571</v>
      </c>
      <c r="U5" s="157">
        <f>'Angle Actuators'!U3</f>
        <v>-2.2194516257059149</v>
      </c>
      <c r="V5" s="252">
        <f>'Angle Actuators'!W3</f>
        <v>10.591411134810199</v>
      </c>
      <c r="W5" s="252">
        <f>'Angle I'!W13</f>
        <v>13.266560836094635</v>
      </c>
      <c r="X5" s="253">
        <f>'Angle Actuators'!S3</f>
        <v>40.035400390625</v>
      </c>
      <c r="Y5" s="142"/>
    </row>
    <row r="6" spans="1:25" x14ac:dyDescent="0.25">
      <c r="A6" s="142"/>
      <c r="B6" s="240">
        <f t="shared" si="0"/>
        <v>1</v>
      </c>
      <c r="C6" s="142"/>
      <c r="D6" s="152" t="s">
        <v>7</v>
      </c>
      <c r="E6" s="160" t="s">
        <v>8</v>
      </c>
      <c r="F6" s="160" t="s">
        <v>9</v>
      </c>
      <c r="G6" s="160" t="s">
        <v>10</v>
      </c>
      <c r="H6" s="160" t="s">
        <v>11</v>
      </c>
      <c r="I6" s="189" t="s">
        <v>12</v>
      </c>
      <c r="J6" s="142"/>
      <c r="K6" s="158" t="s">
        <v>14</v>
      </c>
      <c r="L6" s="159" t="s">
        <v>15</v>
      </c>
      <c r="M6" s="160" t="s">
        <v>16</v>
      </c>
      <c r="N6" s="160" t="s">
        <v>17</v>
      </c>
      <c r="O6" s="160" t="s">
        <v>145</v>
      </c>
      <c r="P6" s="189"/>
      <c r="Q6" s="142"/>
      <c r="R6" s="155"/>
      <c r="S6" s="156">
        <v>2</v>
      </c>
      <c r="T6" s="157">
        <f>'Angle Actuators'!T4</f>
        <v>350.01194504639523</v>
      </c>
      <c r="U6" s="157">
        <f>'Angle Actuators'!U4</f>
        <v>-11.9450463952262</v>
      </c>
      <c r="V6" s="252">
        <f>'Angle Actuators'!W4</f>
        <v>8.6561980756466692</v>
      </c>
      <c r="W6" s="252">
        <f>'Angle I'!W14</f>
        <v>5.2188101683656853</v>
      </c>
      <c r="X6" s="253">
        <f>'Angle Actuators'!S4</f>
        <v>17.449951171875</v>
      </c>
      <c r="Y6" s="142"/>
    </row>
    <row r="7" spans="1:25" x14ac:dyDescent="0.25">
      <c r="A7" s="142"/>
      <c r="B7" s="240">
        <f t="shared" si="0"/>
        <v>1</v>
      </c>
      <c r="C7" s="142"/>
      <c r="D7" s="161">
        <v>0</v>
      </c>
      <c r="E7" s="162">
        <v>75</v>
      </c>
      <c r="F7" s="243">
        <v>-373.17</v>
      </c>
      <c r="G7" s="162">
        <v>7.5</v>
      </c>
      <c r="H7" s="162">
        <v>7.5</v>
      </c>
      <c r="I7" s="170">
        <v>7.5</v>
      </c>
      <c r="J7" s="142"/>
      <c r="K7" s="161">
        <v>-20</v>
      </c>
      <c r="L7" s="162">
        <v>90</v>
      </c>
      <c r="M7" s="162">
        <v>100</v>
      </c>
      <c r="N7" s="162">
        <v>350</v>
      </c>
      <c r="O7" s="162">
        <v>16</v>
      </c>
      <c r="P7" s="170"/>
      <c r="Q7" s="142"/>
      <c r="R7" s="155"/>
      <c r="S7" s="156">
        <v>3</v>
      </c>
      <c r="T7" s="157">
        <f>'Angle Actuators'!T5</f>
        <v>350.02328553801851</v>
      </c>
      <c r="U7" s="157">
        <f>'Angle Actuators'!U5</f>
        <v>-23.285538018512852</v>
      </c>
      <c r="V7" s="252">
        <f>'Angle Actuators'!W5</f>
        <v>8.6561980756466692</v>
      </c>
      <c r="W7" s="252">
        <f>'Angle I'!W15</f>
        <v>5.3357846368839201</v>
      </c>
      <c r="X7" s="253">
        <f>'Angle Actuators'!S5</f>
        <v>17.208251953125</v>
      </c>
      <c r="Y7" s="142"/>
    </row>
    <row r="8" spans="1:25" ht="15.75" thickBot="1" x14ac:dyDescent="0.3">
      <c r="A8" s="142"/>
      <c r="B8" s="240">
        <f t="shared" si="0"/>
        <v>1</v>
      </c>
      <c r="C8" s="153"/>
      <c r="D8" s="163" t="s">
        <v>18</v>
      </c>
      <c r="E8" s="164" t="s">
        <v>18</v>
      </c>
      <c r="F8" s="164" t="s">
        <v>18</v>
      </c>
      <c r="G8" s="164" t="s">
        <v>19</v>
      </c>
      <c r="H8" s="164" t="s">
        <v>19</v>
      </c>
      <c r="I8" s="171" t="s">
        <v>19</v>
      </c>
      <c r="J8" s="142"/>
      <c r="K8" s="163" t="s">
        <v>19</v>
      </c>
      <c r="L8" s="164" t="s">
        <v>19</v>
      </c>
      <c r="M8" s="164" t="s">
        <v>18</v>
      </c>
      <c r="N8" s="164" t="s">
        <v>18</v>
      </c>
      <c r="O8" s="164" t="s">
        <v>19</v>
      </c>
      <c r="P8" s="171"/>
      <c r="Q8" s="142"/>
      <c r="R8" s="155"/>
      <c r="S8" s="156">
        <v>4</v>
      </c>
      <c r="T8" s="157">
        <f>'Angle Actuators'!T6</f>
        <v>350.01905694781993</v>
      </c>
      <c r="U8" s="157">
        <f>'Angle Actuators'!U6</f>
        <v>-19.056947819933612</v>
      </c>
      <c r="V8" s="252">
        <f>'Angle Actuators'!W6</f>
        <v>13.098749904881192</v>
      </c>
      <c r="W8" s="252">
        <f>'Angle I'!W16</f>
        <v>5.1308339081529102</v>
      </c>
      <c r="X8" s="253">
        <f>'Angle Actuators'!S6</f>
        <v>48.790283203125</v>
      </c>
      <c r="Y8" s="142"/>
    </row>
    <row r="9" spans="1:25" ht="16.5" thickTop="1" thickBot="1" x14ac:dyDescent="0.3">
      <c r="A9" s="142"/>
      <c r="B9" s="240">
        <f t="shared" si="0"/>
        <v>1</v>
      </c>
      <c r="C9" s="142"/>
      <c r="D9" s="168"/>
      <c r="E9" s="176"/>
      <c r="F9" s="190" t="s">
        <v>153</v>
      </c>
      <c r="G9" s="176"/>
      <c r="H9" s="176"/>
      <c r="I9" s="177"/>
      <c r="J9" s="142"/>
      <c r="K9" s="145" t="s">
        <v>23</v>
      </c>
      <c r="L9" s="146"/>
      <c r="M9" s="165"/>
      <c r="N9" s="146"/>
      <c r="O9" s="146"/>
      <c r="P9" s="166"/>
      <c r="Q9" s="142"/>
      <c r="R9" s="155"/>
      <c r="S9" s="156">
        <v>5</v>
      </c>
      <c r="T9" s="157">
        <f>'Angle Actuators'!T7</f>
        <v>350.01446448799817</v>
      </c>
      <c r="U9" s="157">
        <f>'Angle Actuators'!U7</f>
        <v>-14.464487998168352</v>
      </c>
      <c r="V9" s="252">
        <f>'Angle Actuators'!W7</f>
        <v>13.098749904881116</v>
      </c>
      <c r="W9" s="252">
        <f>'Angle I'!W17</f>
        <v>5.3984864430276298</v>
      </c>
      <c r="X9" s="253">
        <f>'Angle Actuators'!S7</f>
        <v>57.545166015625</v>
      </c>
      <c r="Y9" s="142"/>
    </row>
    <row r="10" spans="1:25" ht="16.5" thickTop="1" thickBot="1" x14ac:dyDescent="0.3">
      <c r="A10" s="142"/>
      <c r="B10" s="240">
        <f t="shared" si="0"/>
        <v>1</v>
      </c>
      <c r="C10" s="182"/>
      <c r="D10" s="145" t="s">
        <v>22</v>
      </c>
      <c r="E10" s="146"/>
      <c r="F10" s="165"/>
      <c r="G10" s="146"/>
      <c r="H10" s="146"/>
      <c r="I10" s="166"/>
      <c r="J10" s="142"/>
      <c r="K10" s="158" t="s">
        <v>32</v>
      </c>
      <c r="L10" s="159" t="s">
        <v>33</v>
      </c>
      <c r="M10" s="159" t="s">
        <v>34</v>
      </c>
      <c r="N10" s="159" t="s">
        <v>35</v>
      </c>
      <c r="O10" s="159" t="s">
        <v>36</v>
      </c>
      <c r="P10" s="167" t="s">
        <v>37</v>
      </c>
      <c r="Q10" s="142"/>
      <c r="R10" s="168"/>
      <c r="S10" s="169">
        <v>6</v>
      </c>
      <c r="T10" s="192">
        <f>'Angle Actuators'!T8</f>
        <v>350.01056863334628</v>
      </c>
      <c r="U10" s="192">
        <f>'Angle Actuators'!U8</f>
        <v>-10.568633346281331</v>
      </c>
      <c r="V10" s="254">
        <f>'Angle Actuators'!W8</f>
        <v>10.591411134810199</v>
      </c>
      <c r="W10" s="254">
        <f>'Angle I'!W18</f>
        <v>13.445563842847783</v>
      </c>
      <c r="X10" s="255">
        <f>'Angle Actuators'!S8</f>
        <v>42.747802734375</v>
      </c>
      <c r="Y10" s="142"/>
    </row>
    <row r="11" spans="1:25" ht="15.75" thickTop="1" x14ac:dyDescent="0.25">
      <c r="A11" s="142"/>
      <c r="B11" s="240">
        <f t="shared" si="0"/>
        <v>1</v>
      </c>
      <c r="C11" s="142"/>
      <c r="D11" s="158" t="s">
        <v>26</v>
      </c>
      <c r="E11" s="159" t="s">
        <v>27</v>
      </c>
      <c r="F11" s="159" t="s">
        <v>28</v>
      </c>
      <c r="G11" s="159" t="s">
        <v>29</v>
      </c>
      <c r="H11" s="159" t="s">
        <v>30</v>
      </c>
      <c r="I11" s="167" t="s">
        <v>31</v>
      </c>
      <c r="J11" s="142"/>
      <c r="K11" s="161">
        <v>0</v>
      </c>
      <c r="L11" s="162">
        <f>E12</f>
        <v>120</v>
      </c>
      <c r="M11" s="162">
        <f>F12</f>
        <v>120</v>
      </c>
      <c r="N11" s="162">
        <f>G12</f>
        <v>240</v>
      </c>
      <c r="O11" s="162">
        <f>H12</f>
        <v>240</v>
      </c>
      <c r="P11" s="170">
        <f>I12</f>
        <v>0</v>
      </c>
      <c r="Q11" s="142"/>
      <c r="R11" s="142"/>
      <c r="S11" s="142"/>
      <c r="T11" s="142"/>
      <c r="U11" s="142"/>
      <c r="V11" s="142"/>
      <c r="W11" s="142"/>
      <c r="X11" s="142"/>
      <c r="Y11" s="142"/>
    </row>
    <row r="12" spans="1:25" x14ac:dyDescent="0.25">
      <c r="A12" s="142"/>
      <c r="B12" s="240">
        <f t="shared" si="0"/>
        <v>1</v>
      </c>
      <c r="C12" s="142"/>
      <c r="D12" s="161">
        <v>0</v>
      </c>
      <c r="E12" s="162">
        <v>120</v>
      </c>
      <c r="F12" s="162">
        <v>120</v>
      </c>
      <c r="G12" s="162">
        <v>240</v>
      </c>
      <c r="H12" s="162">
        <v>240</v>
      </c>
      <c r="I12" s="170">
        <v>0</v>
      </c>
      <c r="J12" s="142"/>
      <c r="K12" s="163" t="s">
        <v>19</v>
      </c>
      <c r="L12" s="164" t="s">
        <v>19</v>
      </c>
      <c r="M12" s="164" t="s">
        <v>19</v>
      </c>
      <c r="N12" s="164" t="s">
        <v>19</v>
      </c>
      <c r="O12" s="164" t="s">
        <v>19</v>
      </c>
      <c r="P12" s="171" t="s">
        <v>19</v>
      </c>
      <c r="Q12" s="142"/>
      <c r="R12" s="142"/>
      <c r="S12" s="142"/>
      <c r="T12" s="142"/>
      <c r="U12" s="142"/>
      <c r="V12" s="142"/>
      <c r="W12" s="142"/>
      <c r="X12" s="142"/>
      <c r="Y12" s="142"/>
    </row>
    <row r="13" spans="1:25" x14ac:dyDescent="0.25">
      <c r="A13" s="142"/>
      <c r="B13" s="240">
        <f t="shared" si="0"/>
        <v>1</v>
      </c>
      <c r="C13" s="142"/>
      <c r="D13" s="163" t="s">
        <v>19</v>
      </c>
      <c r="E13" s="164" t="s">
        <v>19</v>
      </c>
      <c r="F13" s="164" t="s">
        <v>19</v>
      </c>
      <c r="G13" s="164" t="s">
        <v>19</v>
      </c>
      <c r="H13" s="164" t="s">
        <v>19</v>
      </c>
      <c r="I13" s="171" t="s">
        <v>19</v>
      </c>
      <c r="J13" s="142"/>
      <c r="K13" s="158" t="s">
        <v>48</v>
      </c>
      <c r="L13" s="159" t="s">
        <v>49</v>
      </c>
      <c r="M13" s="159" t="s">
        <v>50</v>
      </c>
      <c r="N13" s="159" t="s">
        <v>51</v>
      </c>
      <c r="O13" s="159" t="s">
        <v>52</v>
      </c>
      <c r="P13" s="167" t="s">
        <v>53</v>
      </c>
      <c r="Q13" s="142"/>
      <c r="R13" s="172" t="s">
        <v>21</v>
      </c>
      <c r="S13" s="142"/>
      <c r="T13" s="173" t="s">
        <v>86</v>
      </c>
      <c r="U13" s="142"/>
      <c r="V13" s="142" t="s">
        <v>87</v>
      </c>
      <c r="W13" s="142"/>
      <c r="X13" s="142"/>
      <c r="Y13" s="142"/>
    </row>
    <row r="14" spans="1:25" x14ac:dyDescent="0.25">
      <c r="A14" s="142"/>
      <c r="B14" s="240">
        <f t="shared" si="0"/>
        <v>1</v>
      </c>
      <c r="C14" s="142"/>
      <c r="D14" s="158" t="s">
        <v>42</v>
      </c>
      <c r="E14" s="159" t="s">
        <v>43</v>
      </c>
      <c r="F14" s="159" t="s">
        <v>44</v>
      </c>
      <c r="G14" s="159" t="s">
        <v>45</v>
      </c>
      <c r="H14" s="159" t="s">
        <v>46</v>
      </c>
      <c r="I14" s="167" t="s">
        <v>47</v>
      </c>
      <c r="J14" s="142"/>
      <c r="K14" s="161">
        <v>31.28</v>
      </c>
      <c r="L14" s="162">
        <f>-K14</f>
        <v>-31.28</v>
      </c>
      <c r="M14" s="162">
        <f>K14</f>
        <v>31.28</v>
      </c>
      <c r="N14" s="162">
        <f>-M14</f>
        <v>-31.28</v>
      </c>
      <c r="O14" s="162">
        <f>M14</f>
        <v>31.28</v>
      </c>
      <c r="P14" s="170">
        <f>-K14</f>
        <v>-31.28</v>
      </c>
      <c r="Q14" s="142"/>
      <c r="R14" s="172" t="s">
        <v>24</v>
      </c>
      <c r="S14" s="142"/>
      <c r="T14" s="174" t="s">
        <v>25</v>
      </c>
      <c r="U14" s="142"/>
      <c r="V14" s="142"/>
      <c r="W14" s="142"/>
      <c r="X14" s="142"/>
      <c r="Y14" s="142"/>
    </row>
    <row r="15" spans="1:25" x14ac:dyDescent="0.25">
      <c r="A15" s="142"/>
      <c r="B15" s="240">
        <f t="shared" si="0"/>
        <v>1</v>
      </c>
      <c r="C15" s="142"/>
      <c r="D15" s="161">
        <v>31.28</v>
      </c>
      <c r="E15" s="162">
        <f>D15*-1</f>
        <v>-31.28</v>
      </c>
      <c r="F15" s="162">
        <f>D15</f>
        <v>31.28</v>
      </c>
      <c r="G15" s="162">
        <f>-1*D15</f>
        <v>-31.28</v>
      </c>
      <c r="H15" s="162">
        <f>F15</f>
        <v>31.28</v>
      </c>
      <c r="I15" s="170">
        <f>-D15</f>
        <v>-31.28</v>
      </c>
      <c r="J15" s="142"/>
      <c r="K15" s="163" t="s">
        <v>18</v>
      </c>
      <c r="L15" s="164" t="s">
        <v>18</v>
      </c>
      <c r="M15" s="164" t="s">
        <v>18</v>
      </c>
      <c r="N15" s="164" t="s">
        <v>18</v>
      </c>
      <c r="O15" s="164" t="s">
        <v>18</v>
      </c>
      <c r="P15" s="171" t="s">
        <v>18</v>
      </c>
      <c r="Q15" s="142"/>
      <c r="R15" s="172" t="s">
        <v>38</v>
      </c>
      <c r="S15" s="174"/>
      <c r="T15" s="174">
        <v>41111</v>
      </c>
      <c r="U15" s="142"/>
      <c r="V15" s="142"/>
      <c r="W15" s="142"/>
      <c r="X15" s="142"/>
      <c r="Y15" s="142"/>
    </row>
    <row r="16" spans="1:25" x14ac:dyDescent="0.25">
      <c r="A16" s="142"/>
      <c r="B16" s="240">
        <f t="shared" si="0"/>
        <v>1</v>
      </c>
      <c r="C16" s="142"/>
      <c r="D16" s="163" t="s">
        <v>18</v>
      </c>
      <c r="E16" s="164" t="s">
        <v>18</v>
      </c>
      <c r="F16" s="164" t="s">
        <v>18</v>
      </c>
      <c r="G16" s="164" t="s">
        <v>18</v>
      </c>
      <c r="H16" s="164" t="s">
        <v>18</v>
      </c>
      <c r="I16" s="171" t="s">
        <v>18</v>
      </c>
      <c r="J16" s="142"/>
      <c r="K16" s="158" t="s">
        <v>57</v>
      </c>
      <c r="L16" s="164"/>
      <c r="M16" s="164"/>
      <c r="N16" s="164"/>
      <c r="O16" s="164"/>
      <c r="P16" s="171"/>
      <c r="Q16" s="142"/>
      <c r="R16" s="172" t="s">
        <v>41</v>
      </c>
      <c r="S16" s="142"/>
      <c r="T16" s="142" t="s">
        <v>154</v>
      </c>
      <c r="U16" s="142"/>
      <c r="V16" s="142"/>
      <c r="W16" s="142"/>
      <c r="X16" s="142"/>
      <c r="Y16" s="142"/>
    </row>
    <row r="17" spans="1:25" x14ac:dyDescent="0.25">
      <c r="A17" s="142"/>
      <c r="B17" s="240">
        <f t="shared" si="0"/>
        <v>1</v>
      </c>
      <c r="C17" s="142"/>
      <c r="D17" s="158" t="s">
        <v>55</v>
      </c>
      <c r="E17" s="159" t="s">
        <v>56</v>
      </c>
      <c r="F17" s="164"/>
      <c r="G17" s="164"/>
      <c r="H17" s="164"/>
      <c r="I17" s="171"/>
      <c r="J17" s="142"/>
      <c r="K17" s="161">
        <v>40</v>
      </c>
      <c r="L17" s="153"/>
      <c r="M17" s="153"/>
      <c r="N17" s="153"/>
      <c r="O17" s="153"/>
      <c r="P17" s="154"/>
      <c r="Q17" s="142"/>
      <c r="R17" s="142"/>
      <c r="S17" s="142"/>
      <c r="T17" s="142"/>
      <c r="U17" s="142"/>
      <c r="V17" s="142"/>
      <c r="W17" s="142"/>
      <c r="X17" s="142"/>
      <c r="Y17" s="142"/>
    </row>
    <row r="18" spans="1:25" ht="15.75" thickBot="1" x14ac:dyDescent="0.3">
      <c r="A18" s="142"/>
      <c r="B18" s="240">
        <f t="shared" si="0"/>
        <v>1</v>
      </c>
      <c r="C18" s="142"/>
      <c r="D18" s="161">
        <v>100</v>
      </c>
      <c r="E18" s="162">
        <v>0</v>
      </c>
      <c r="F18" s="164"/>
      <c r="G18" s="164"/>
      <c r="H18" s="164"/>
      <c r="I18" s="171"/>
      <c r="J18" s="142"/>
      <c r="K18" s="175" t="s">
        <v>18</v>
      </c>
      <c r="L18" s="176"/>
      <c r="M18" s="176"/>
      <c r="N18" s="176"/>
      <c r="O18" s="176"/>
      <c r="P18" s="177"/>
      <c r="Q18" s="142"/>
      <c r="S18" s="142"/>
      <c r="T18" s="142"/>
      <c r="U18" s="142"/>
      <c r="V18" s="142"/>
      <c r="W18" s="142"/>
      <c r="X18" s="142"/>
      <c r="Y18" s="142"/>
    </row>
    <row r="19" spans="1:25" ht="16.5" thickTop="1" thickBot="1" x14ac:dyDescent="0.3">
      <c r="A19" s="142"/>
      <c r="B19" s="240">
        <f t="shared" si="0"/>
        <v>1</v>
      </c>
      <c r="C19" s="142"/>
      <c r="D19" s="175" t="s">
        <v>18</v>
      </c>
      <c r="E19" s="183" t="s">
        <v>18</v>
      </c>
      <c r="F19" s="176"/>
      <c r="G19" s="176"/>
      <c r="H19" s="176"/>
      <c r="I19" s="177"/>
      <c r="J19" s="142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  <c r="W19" s="142"/>
      <c r="X19" s="142"/>
      <c r="Y19" s="142"/>
    </row>
    <row r="20" spans="1:25" ht="16.5" thickTop="1" thickBot="1" x14ac:dyDescent="0.3">
      <c r="A20" s="142"/>
      <c r="B20" s="240">
        <f t="shared" si="0"/>
        <v>1</v>
      </c>
      <c r="C20" s="142"/>
      <c r="D20" s="172" t="s">
        <v>92</v>
      </c>
      <c r="E20" s="142"/>
      <c r="F20" s="142"/>
      <c r="G20" s="142"/>
      <c r="H20" s="142"/>
      <c r="I20" s="142"/>
      <c r="J20" s="142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  <c r="W20" s="142"/>
      <c r="X20" s="142"/>
      <c r="Y20" s="142"/>
    </row>
    <row r="21" spans="1:25" ht="15.75" thickTop="1" x14ac:dyDescent="0.25">
      <c r="A21" s="142"/>
      <c r="B21" s="240">
        <f t="shared" si="0"/>
        <v>1</v>
      </c>
      <c r="C21" s="142"/>
      <c r="D21" s="184" t="s">
        <v>3</v>
      </c>
      <c r="E21" s="146"/>
      <c r="F21" s="178" t="s">
        <v>4</v>
      </c>
      <c r="G21" s="178"/>
      <c r="H21" s="178"/>
      <c r="I21" s="178"/>
      <c r="J21" s="178"/>
      <c r="K21" s="179" t="s">
        <v>13</v>
      </c>
      <c r="L21" s="142"/>
      <c r="M21" s="228"/>
      <c r="N21" s="231" t="s">
        <v>14</v>
      </c>
      <c r="O21" s="231" t="s">
        <v>138</v>
      </c>
      <c r="P21" s="231" t="s">
        <v>15</v>
      </c>
      <c r="Q21" s="151" t="s">
        <v>16</v>
      </c>
      <c r="R21" s="151" t="s">
        <v>17</v>
      </c>
      <c r="S21" s="191"/>
      <c r="T21" s="142"/>
      <c r="U21" s="142" t="s">
        <v>142</v>
      </c>
      <c r="V21" s="142"/>
      <c r="W21" s="142"/>
      <c r="X21" s="142"/>
      <c r="Y21" s="142"/>
    </row>
    <row r="22" spans="1:25" x14ac:dyDescent="0.25">
      <c r="A22" s="142"/>
      <c r="B22" s="240">
        <f t="shared" si="0"/>
        <v>1</v>
      </c>
      <c r="C22" s="142"/>
      <c r="D22" s="185"/>
      <c r="E22" s="153"/>
      <c r="F22" s="180" t="s">
        <v>110</v>
      </c>
      <c r="G22" s="180" t="s">
        <v>132</v>
      </c>
      <c r="H22" s="180" t="s">
        <v>111</v>
      </c>
      <c r="I22" s="180" t="s">
        <v>112</v>
      </c>
      <c r="J22" s="180"/>
      <c r="K22" s="181" t="s">
        <v>113</v>
      </c>
      <c r="L22" s="142"/>
      <c r="M22" s="229" t="s">
        <v>137</v>
      </c>
      <c r="N22" s="233">
        <v>22</v>
      </c>
      <c r="O22" s="233">
        <v>31.28</v>
      </c>
      <c r="P22" s="233"/>
      <c r="Q22" s="153">
        <v>100</v>
      </c>
      <c r="R22" s="153">
        <v>250</v>
      </c>
      <c r="S22" s="154"/>
      <c r="T22" s="142"/>
      <c r="U22" s="142" t="s">
        <v>143</v>
      </c>
      <c r="V22" s="142"/>
      <c r="W22" s="142"/>
      <c r="X22" s="142"/>
      <c r="Y22" s="142"/>
    </row>
    <row r="23" spans="1:25" ht="15.75" thickBot="1" x14ac:dyDescent="0.3">
      <c r="A23" s="142"/>
      <c r="B23" s="240">
        <f t="shared" si="0"/>
        <v>1</v>
      </c>
      <c r="C23" s="142"/>
      <c r="D23" s="186">
        <v>1</v>
      </c>
      <c r="E23" s="153"/>
      <c r="F23" s="214">
        <f>'Angle Actuators'!R3</f>
        <v>1</v>
      </c>
      <c r="G23" s="214">
        <f>IF(V5&lt;=$O$7,1,-1)</f>
        <v>1</v>
      </c>
      <c r="H23" s="214">
        <f>IF(W5&lt;=$O$7,1,-1)</f>
        <v>1</v>
      </c>
      <c r="I23" s="214">
        <f>IF(F23+G23+H23&gt;1,1,-1)</f>
        <v>1</v>
      </c>
      <c r="J23" s="153"/>
      <c r="K23" s="213">
        <f>IF(I23=1,'Angle Actuators'!S3,"fault")</f>
        <v>40.035400390625</v>
      </c>
      <c r="L23" s="142"/>
      <c r="M23" s="230"/>
      <c r="N23" s="176"/>
      <c r="O23" s="176"/>
      <c r="P23" s="176"/>
      <c r="Q23" s="176" t="s">
        <v>138</v>
      </c>
      <c r="R23" s="176" t="s">
        <v>138</v>
      </c>
      <c r="S23" s="177"/>
      <c r="T23" s="142"/>
      <c r="U23" s="142"/>
      <c r="V23" s="142"/>
      <c r="W23" s="142"/>
      <c r="X23" s="142"/>
      <c r="Y23" s="142"/>
    </row>
    <row r="24" spans="1:25" ht="16.5" thickTop="1" thickBot="1" x14ac:dyDescent="0.3">
      <c r="A24" s="142"/>
      <c r="B24" s="240">
        <f t="shared" si="0"/>
        <v>1</v>
      </c>
      <c r="C24" s="142"/>
      <c r="D24" s="186">
        <v>2</v>
      </c>
      <c r="E24" s="153"/>
      <c r="F24" s="214">
        <f>'Angle Actuators'!R4</f>
        <v>1</v>
      </c>
      <c r="G24" s="214">
        <f t="shared" ref="G24:G28" si="1">IF(V6&lt;=$O$7,1,-1)</f>
        <v>1</v>
      </c>
      <c r="H24" s="214">
        <f t="shared" ref="H24:H28" si="2">IF(W6&lt;=$O$7,1,-1)</f>
        <v>1</v>
      </c>
      <c r="I24" s="214">
        <f>IF(F24+G24+H24&gt;1,1,-1)</f>
        <v>1</v>
      </c>
      <c r="J24" s="153"/>
      <c r="K24" s="213">
        <f>IF(I24=1,'Angle Actuators'!S4,"fault")</f>
        <v>17.449951171875</v>
      </c>
      <c r="L24" s="142"/>
      <c r="M24" s="142"/>
      <c r="N24" s="142"/>
      <c r="O24" s="142"/>
      <c r="P24" s="142"/>
      <c r="Q24" s="142"/>
      <c r="R24" s="142"/>
      <c r="S24" s="142"/>
      <c r="T24" s="142"/>
      <c r="U24" s="270"/>
      <c r="V24" s="270"/>
      <c r="W24" s="270"/>
      <c r="X24" s="270"/>
      <c r="Y24" s="270"/>
    </row>
    <row r="25" spans="1:25" ht="15.75" thickTop="1" x14ac:dyDescent="0.25">
      <c r="A25" s="142"/>
      <c r="B25" s="240">
        <f t="shared" si="0"/>
        <v>1</v>
      </c>
      <c r="C25" s="142"/>
      <c r="D25" s="186">
        <v>3</v>
      </c>
      <c r="E25" s="153"/>
      <c r="F25" s="214">
        <f>'Angle Actuators'!R5</f>
        <v>1</v>
      </c>
      <c r="G25" s="214">
        <f t="shared" si="1"/>
        <v>1</v>
      </c>
      <c r="H25" s="214">
        <f t="shared" si="2"/>
        <v>1</v>
      </c>
      <c r="I25" s="214">
        <f t="shared" ref="I25:I28" si="3">IF(F25+G25+H25&gt;1,1,-1)</f>
        <v>1</v>
      </c>
      <c r="J25" s="153"/>
      <c r="K25" s="213">
        <f>IF(I25=1,'Angle Actuators'!S5,"fault")</f>
        <v>17.208251953125</v>
      </c>
      <c r="L25" s="142"/>
      <c r="M25" s="228"/>
      <c r="N25" s="231" t="s">
        <v>7</v>
      </c>
      <c r="O25" s="231" t="s">
        <v>8</v>
      </c>
      <c r="P25" s="231" t="s">
        <v>9</v>
      </c>
      <c r="Q25" s="231" t="s">
        <v>10</v>
      </c>
      <c r="R25" s="231" t="s">
        <v>11</v>
      </c>
      <c r="S25" s="232" t="s">
        <v>12</v>
      </c>
      <c r="T25" s="142"/>
      <c r="U25" s="270"/>
      <c r="V25" s="270"/>
      <c r="W25" s="270"/>
      <c r="X25" s="270"/>
      <c r="Y25" s="270"/>
    </row>
    <row r="26" spans="1:25" x14ac:dyDescent="0.25">
      <c r="A26" s="142"/>
      <c r="B26" s="240">
        <f>B25</f>
        <v>1</v>
      </c>
      <c r="C26" s="142"/>
      <c r="D26" s="186">
        <v>4</v>
      </c>
      <c r="E26" s="153"/>
      <c r="F26" s="214">
        <f>'Angle Actuators'!R6</f>
        <v>1</v>
      </c>
      <c r="G26" s="214">
        <f t="shared" si="1"/>
        <v>1</v>
      </c>
      <c r="H26" s="214">
        <f t="shared" si="2"/>
        <v>1</v>
      </c>
      <c r="I26" s="214">
        <f t="shared" si="3"/>
        <v>1</v>
      </c>
      <c r="J26" s="153"/>
      <c r="K26" s="213">
        <f>IF(I26=1,'Angle Actuators'!S6,"fault")</f>
        <v>48.790283203125</v>
      </c>
      <c r="L26" s="142"/>
      <c r="M26" s="229" t="s">
        <v>139</v>
      </c>
      <c r="N26" s="233">
        <v>150</v>
      </c>
      <c r="O26" s="233">
        <v>150</v>
      </c>
      <c r="P26" s="233">
        <v>50</v>
      </c>
      <c r="Q26" s="233">
        <v>15</v>
      </c>
      <c r="R26" s="233">
        <v>15</v>
      </c>
      <c r="S26" s="234">
        <v>15</v>
      </c>
      <c r="T26" s="142"/>
      <c r="U26" s="270"/>
      <c r="V26" s="270"/>
      <c r="W26" s="270"/>
      <c r="X26" s="270"/>
      <c r="Y26" s="270"/>
    </row>
    <row r="27" spans="1:25" x14ac:dyDescent="0.25">
      <c r="A27" s="142"/>
      <c r="B27" s="240">
        <f t="shared" si="0"/>
        <v>1</v>
      </c>
      <c r="C27" s="142"/>
      <c r="D27" s="186">
        <v>5</v>
      </c>
      <c r="E27" s="153"/>
      <c r="F27" s="214">
        <f>'Angle Actuators'!R7</f>
        <v>1</v>
      </c>
      <c r="G27" s="214">
        <f t="shared" si="1"/>
        <v>1</v>
      </c>
      <c r="H27" s="214">
        <f t="shared" si="2"/>
        <v>1</v>
      </c>
      <c r="I27" s="214">
        <f t="shared" si="3"/>
        <v>1</v>
      </c>
      <c r="J27" s="153"/>
      <c r="K27" s="213">
        <f>IF(I27=1,'Angle Actuators'!S7,"fault")</f>
        <v>57.545166015625</v>
      </c>
      <c r="L27" s="142"/>
      <c r="M27" s="186" t="s">
        <v>140</v>
      </c>
      <c r="N27" s="235">
        <v>75</v>
      </c>
      <c r="O27" s="235">
        <v>75</v>
      </c>
      <c r="P27" s="235">
        <v>25</v>
      </c>
      <c r="Q27" s="235">
        <v>7.5</v>
      </c>
      <c r="R27" s="235">
        <v>7.5</v>
      </c>
      <c r="S27" s="236">
        <v>7.5</v>
      </c>
      <c r="T27" s="142"/>
      <c r="U27" s="270"/>
      <c r="V27" s="270"/>
      <c r="W27" s="270"/>
      <c r="X27" s="270"/>
      <c r="Y27" s="270"/>
    </row>
    <row r="28" spans="1:25" ht="15.75" thickBot="1" x14ac:dyDescent="0.3">
      <c r="A28" s="142"/>
      <c r="B28" s="241">
        <f t="shared" si="0"/>
        <v>1</v>
      </c>
      <c r="C28" s="142"/>
      <c r="D28" s="187">
        <v>6</v>
      </c>
      <c r="E28" s="176"/>
      <c r="F28" s="215">
        <f>'Angle Actuators'!R8</f>
        <v>1</v>
      </c>
      <c r="G28" s="215">
        <f t="shared" si="1"/>
        <v>1</v>
      </c>
      <c r="H28" s="215">
        <f t="shared" si="2"/>
        <v>1</v>
      </c>
      <c r="I28" s="215">
        <f t="shared" si="3"/>
        <v>1</v>
      </c>
      <c r="J28" s="176"/>
      <c r="K28" s="216">
        <f>IF(I28=1,'Angle Actuators'!S8,"fault")</f>
        <v>42.747802734375</v>
      </c>
      <c r="L28" s="142"/>
      <c r="M28" s="187" t="s">
        <v>141</v>
      </c>
      <c r="N28" s="237">
        <f>N27</f>
        <v>75</v>
      </c>
      <c r="O28" s="237">
        <f t="shared" ref="O28:S28" si="4">O27</f>
        <v>75</v>
      </c>
      <c r="P28" s="237">
        <f t="shared" si="4"/>
        <v>25</v>
      </c>
      <c r="Q28" s="237">
        <f t="shared" si="4"/>
        <v>7.5</v>
      </c>
      <c r="R28" s="237">
        <f t="shared" si="4"/>
        <v>7.5</v>
      </c>
      <c r="S28" s="238">
        <f t="shared" si="4"/>
        <v>7.5</v>
      </c>
      <c r="T28" s="142"/>
      <c r="U28" s="270"/>
      <c r="V28" s="270"/>
      <c r="W28" s="270"/>
      <c r="X28" s="270"/>
      <c r="Y28" s="270"/>
    </row>
    <row r="29" spans="1:25" ht="15.75" thickTop="1" x14ac:dyDescent="0.25">
      <c r="A29" s="142"/>
      <c r="B29" s="142"/>
      <c r="C29" s="142"/>
      <c r="D29" s="142"/>
      <c r="E29" s="142"/>
      <c r="F29" s="142"/>
      <c r="G29" s="142"/>
      <c r="H29" s="142"/>
      <c r="I29" s="142"/>
      <c r="J29" s="142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270"/>
      <c r="V29" s="270"/>
      <c r="W29" s="270"/>
      <c r="X29" s="270"/>
      <c r="Y29" s="270"/>
    </row>
    <row r="30" spans="1:25" x14ac:dyDescent="0.25">
      <c r="A30" s="142"/>
      <c r="B30" s="142"/>
      <c r="C30" s="142"/>
      <c r="D30" s="142"/>
      <c r="E30" s="142"/>
      <c r="F30" s="142"/>
      <c r="G30" s="142"/>
      <c r="H30" s="142"/>
      <c r="I30" s="251">
        <f>SUM(I23:I29)</f>
        <v>6</v>
      </c>
      <c r="J30" s="142"/>
      <c r="K30" s="142"/>
      <c r="L30" s="142"/>
      <c r="M30" s="142"/>
      <c r="N30" s="142"/>
      <c r="O30" s="142" t="s">
        <v>14</v>
      </c>
      <c r="P30" s="142" t="s">
        <v>146</v>
      </c>
      <c r="Q30" s="142"/>
      <c r="R30" s="142">
        <v>-323.17</v>
      </c>
      <c r="S30" s="142">
        <f>R30-50</f>
        <v>-373.17</v>
      </c>
      <c r="T30" s="142">
        <f>S30-50</f>
        <v>-423.17</v>
      </c>
      <c r="U30" s="270"/>
      <c r="V30" s="270"/>
      <c r="W30" s="270"/>
      <c r="X30" s="270"/>
      <c r="Y30" s="270"/>
    </row>
    <row r="31" spans="1:25" x14ac:dyDescent="0.25">
      <c r="A31" s="142"/>
      <c r="B31" s="142"/>
      <c r="C31" s="142"/>
      <c r="D31" s="142"/>
      <c r="E31" s="142"/>
      <c r="F31" s="142"/>
      <c r="G31" s="142"/>
      <c r="H31" s="142"/>
      <c r="I31" s="142"/>
      <c r="J31" s="142"/>
      <c r="K31" s="142"/>
      <c r="L31" s="142"/>
      <c r="M31" s="142"/>
      <c r="N31" s="142"/>
      <c r="O31" s="142"/>
      <c r="P31" s="142" t="s">
        <v>147</v>
      </c>
      <c r="Q31" s="142"/>
      <c r="R31" s="142">
        <f>R30+P26</f>
        <v>-273.17</v>
      </c>
      <c r="S31" s="142">
        <f>R31-50</f>
        <v>-323.17</v>
      </c>
      <c r="T31" s="142">
        <f>S31-50</f>
        <v>-373.17</v>
      </c>
      <c r="U31" s="270"/>
      <c r="V31" s="270"/>
      <c r="W31" s="270"/>
      <c r="X31" s="270"/>
      <c r="Y31" s="270"/>
    </row>
    <row r="32" spans="1:25" x14ac:dyDescent="0.25">
      <c r="A32" s="142"/>
      <c r="B32" s="142"/>
      <c r="C32" s="142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270"/>
      <c r="V32" s="270"/>
      <c r="W32" s="270"/>
      <c r="X32" s="270"/>
      <c r="Y32" s="270"/>
    </row>
    <row r="33" spans="1:25" x14ac:dyDescent="0.25">
      <c r="A33" s="142"/>
      <c r="B33" s="142"/>
      <c r="C33" s="142"/>
      <c r="D33" s="142"/>
      <c r="E33" s="142"/>
      <c r="F33" s="142"/>
      <c r="G33" s="142"/>
      <c r="H33" s="142"/>
      <c r="I33" s="142"/>
      <c r="J33" s="142"/>
      <c r="K33" s="142"/>
      <c r="L33" s="142"/>
      <c r="M33" s="142"/>
      <c r="N33" s="227"/>
      <c r="O33" s="142"/>
      <c r="P33" s="142"/>
      <c r="Q33" s="142"/>
      <c r="R33" s="142"/>
      <c r="S33" s="142"/>
      <c r="T33" s="142"/>
      <c r="U33" s="270"/>
      <c r="V33" s="270"/>
      <c r="W33" s="270"/>
      <c r="X33" s="270"/>
      <c r="Y33" s="270"/>
    </row>
    <row r="34" spans="1:25" x14ac:dyDescent="0.25">
      <c r="A34" s="142"/>
      <c r="B34" s="142"/>
      <c r="C34" s="142"/>
      <c r="D34" s="142"/>
      <c r="E34" s="142"/>
      <c r="F34" s="142"/>
      <c r="G34" s="142"/>
      <c r="H34" s="142"/>
      <c r="I34" s="142"/>
      <c r="J34" s="142"/>
      <c r="K34" s="142"/>
      <c r="L34" s="142"/>
      <c r="M34" s="227"/>
      <c r="N34" s="142"/>
      <c r="O34" s="142"/>
      <c r="P34" s="142"/>
      <c r="Q34" s="142"/>
      <c r="R34" s="142"/>
      <c r="S34" s="142"/>
      <c r="T34" s="142"/>
      <c r="U34" s="270"/>
      <c r="V34" s="270"/>
      <c r="W34" s="270"/>
      <c r="X34" s="270"/>
      <c r="Y34" s="270"/>
    </row>
    <row r="35" spans="1:25" x14ac:dyDescent="0.25">
      <c r="A35" s="142"/>
      <c r="B35" s="142"/>
      <c r="C35" s="142"/>
      <c r="D35" s="142"/>
      <c r="E35" s="142"/>
      <c r="F35" s="142"/>
      <c r="G35" s="142"/>
      <c r="H35" s="142"/>
      <c r="I35" s="142"/>
      <c r="J35" s="142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270"/>
      <c r="V35" s="270"/>
      <c r="W35" s="270"/>
      <c r="X35" s="270"/>
      <c r="Y35" s="270"/>
    </row>
    <row r="38" spans="1:25" x14ac:dyDescent="0.25">
      <c r="D38" t="s">
        <v>155</v>
      </c>
    </row>
    <row r="40" spans="1:25" x14ac:dyDescent="0.25">
      <c r="D40" s="263">
        <v>75</v>
      </c>
      <c r="E40" s="264">
        <v>72</v>
      </c>
      <c r="F40" s="265">
        <v>-300</v>
      </c>
      <c r="G40" s="264">
        <v>7.5</v>
      </c>
      <c r="H40" s="264">
        <v>7.5</v>
      </c>
      <c r="I40" s="266">
        <v>7.5</v>
      </c>
      <c r="J40" s="267"/>
      <c r="K40" s="263">
        <v>-20</v>
      </c>
      <c r="L40" s="264">
        <v>90</v>
      </c>
      <c r="M40" s="264">
        <v>100</v>
      </c>
      <c r="N40" s="264">
        <v>350</v>
      </c>
      <c r="O40" s="264">
        <v>16</v>
      </c>
      <c r="P40" s="170"/>
    </row>
    <row r="41" spans="1:25" x14ac:dyDescent="0.25">
      <c r="D41" s="263">
        <v>75</v>
      </c>
      <c r="E41" s="264">
        <v>71</v>
      </c>
      <c r="F41" s="265">
        <v>-300</v>
      </c>
      <c r="G41" s="264">
        <v>-7.5</v>
      </c>
      <c r="H41" s="264">
        <v>7.5</v>
      </c>
      <c r="I41" s="266">
        <v>7.5</v>
      </c>
      <c r="J41" s="267"/>
      <c r="K41" s="263">
        <v>-20</v>
      </c>
      <c r="L41" s="264">
        <v>90</v>
      </c>
      <c r="M41" s="264">
        <v>100</v>
      </c>
      <c r="N41" s="264">
        <v>350</v>
      </c>
      <c r="O41" s="264">
        <v>16</v>
      </c>
    </row>
    <row r="42" spans="1:25" x14ac:dyDescent="0.25">
      <c r="D42" s="263">
        <v>75</v>
      </c>
      <c r="E42" s="264">
        <v>71</v>
      </c>
      <c r="F42" s="265">
        <v>-320</v>
      </c>
      <c r="G42" s="264">
        <v>7.5</v>
      </c>
      <c r="H42" s="264">
        <v>-7.5</v>
      </c>
      <c r="I42" s="266">
        <v>7.5</v>
      </c>
      <c r="J42" s="267"/>
      <c r="K42" s="263">
        <v>-20</v>
      </c>
      <c r="L42" s="264">
        <v>90</v>
      </c>
      <c r="M42" s="264">
        <v>100</v>
      </c>
      <c r="N42" s="264">
        <v>350</v>
      </c>
      <c r="O42" s="264">
        <v>16</v>
      </c>
    </row>
    <row r="43" spans="1:25" x14ac:dyDescent="0.25">
      <c r="D43" s="258">
        <v>0</v>
      </c>
      <c r="E43" s="259">
        <v>30</v>
      </c>
      <c r="F43" s="260">
        <v>-300</v>
      </c>
      <c r="G43" s="259">
        <v>7.5</v>
      </c>
      <c r="H43" s="259">
        <v>-7.5</v>
      </c>
      <c r="I43" s="261">
        <v>7.5</v>
      </c>
      <c r="J43" s="262"/>
      <c r="K43" s="258">
        <v>-20</v>
      </c>
      <c r="L43" s="259">
        <v>90</v>
      </c>
      <c r="M43" s="259">
        <v>100</v>
      </c>
      <c r="N43" s="259">
        <v>350</v>
      </c>
      <c r="O43" s="259">
        <v>16</v>
      </c>
    </row>
    <row r="45" spans="1:25" x14ac:dyDescent="0.25">
      <c r="D45" s="263">
        <v>57</v>
      </c>
      <c r="E45" s="264">
        <v>75</v>
      </c>
      <c r="F45" s="265">
        <v>-320</v>
      </c>
      <c r="G45" s="264">
        <v>7.5</v>
      </c>
      <c r="H45" s="264">
        <v>-7.5</v>
      </c>
      <c r="I45" s="266">
        <v>7.5</v>
      </c>
      <c r="J45" s="267"/>
      <c r="K45" s="263">
        <v>-20</v>
      </c>
      <c r="L45" s="264">
        <v>90</v>
      </c>
      <c r="M45" s="264">
        <v>100</v>
      </c>
      <c r="N45" s="264">
        <v>300</v>
      </c>
      <c r="O45" s="264">
        <v>16</v>
      </c>
    </row>
    <row r="46" spans="1:25" x14ac:dyDescent="0.25">
      <c r="D46" s="263">
        <v>57</v>
      </c>
      <c r="E46" s="264">
        <v>75</v>
      </c>
      <c r="F46" s="265">
        <v>-320</v>
      </c>
      <c r="G46" s="264">
        <v>-7.5</v>
      </c>
      <c r="H46" s="264">
        <v>7.5</v>
      </c>
      <c r="I46" s="266">
        <v>7.5</v>
      </c>
      <c r="J46" s="267"/>
      <c r="K46" s="263">
        <v>-20</v>
      </c>
      <c r="L46" s="264">
        <v>90</v>
      </c>
      <c r="M46" s="264">
        <v>100</v>
      </c>
      <c r="N46" s="264">
        <v>300</v>
      </c>
      <c r="O46" s="264">
        <v>16</v>
      </c>
    </row>
    <row r="47" spans="1:25" x14ac:dyDescent="0.25">
      <c r="D47" s="263">
        <v>57</v>
      </c>
      <c r="E47" s="264">
        <v>75</v>
      </c>
      <c r="F47" s="265">
        <v>-320</v>
      </c>
      <c r="G47" s="264">
        <v>-7.5</v>
      </c>
      <c r="H47" s="264">
        <v>-7.5</v>
      </c>
      <c r="I47" s="266">
        <v>7.5</v>
      </c>
      <c r="J47" s="267"/>
      <c r="K47" s="263">
        <v>-20</v>
      </c>
      <c r="L47" s="264">
        <v>90</v>
      </c>
      <c r="M47" s="264">
        <v>100</v>
      </c>
      <c r="N47" s="264">
        <v>300</v>
      </c>
      <c r="O47" s="264">
        <v>16</v>
      </c>
    </row>
    <row r="48" spans="1:25" x14ac:dyDescent="0.25">
      <c r="D48" s="263">
        <v>46</v>
      </c>
      <c r="E48" s="264">
        <v>75</v>
      </c>
      <c r="F48" s="265">
        <v>-320</v>
      </c>
      <c r="G48" s="264">
        <v>-7.5</v>
      </c>
      <c r="H48" s="264">
        <v>-7.5</v>
      </c>
      <c r="I48" s="266">
        <v>-7.5</v>
      </c>
      <c r="J48" s="267"/>
      <c r="K48" s="263">
        <v>-20</v>
      </c>
      <c r="L48" s="264">
        <v>90</v>
      </c>
      <c r="M48" s="264">
        <v>100</v>
      </c>
      <c r="N48" s="264">
        <v>300</v>
      </c>
      <c r="O48" s="264">
        <v>16</v>
      </c>
    </row>
    <row r="49" spans="4:15" x14ac:dyDescent="0.25">
      <c r="D49" s="263">
        <v>75</v>
      </c>
      <c r="E49" s="264">
        <v>45</v>
      </c>
      <c r="F49" s="265">
        <v>-320</v>
      </c>
      <c r="G49" s="264">
        <v>-7.5</v>
      </c>
      <c r="H49" s="264">
        <v>-7.5</v>
      </c>
      <c r="I49" s="266">
        <v>7.5</v>
      </c>
      <c r="J49" s="267"/>
      <c r="K49" s="263">
        <v>-20</v>
      </c>
      <c r="L49" s="264">
        <v>90</v>
      </c>
      <c r="M49" s="264">
        <v>100</v>
      </c>
      <c r="N49" s="264">
        <v>300</v>
      </c>
      <c r="O49" s="264">
        <v>16</v>
      </c>
    </row>
    <row r="50" spans="4:15" x14ac:dyDescent="0.25">
      <c r="D50" s="263">
        <v>75</v>
      </c>
      <c r="E50" s="264">
        <v>45</v>
      </c>
      <c r="F50" s="265">
        <v>-320</v>
      </c>
      <c r="G50" s="264">
        <v>7.5</v>
      </c>
      <c r="H50" s="264">
        <v>7.5</v>
      </c>
      <c r="I50" s="266">
        <v>7.5</v>
      </c>
      <c r="J50" s="267"/>
      <c r="K50" s="263">
        <v>-20</v>
      </c>
      <c r="L50" s="264">
        <v>90</v>
      </c>
      <c r="M50" s="264">
        <v>100</v>
      </c>
      <c r="N50" s="264">
        <v>300</v>
      </c>
      <c r="O50" s="264">
        <v>16</v>
      </c>
    </row>
    <row r="51" spans="4:15" x14ac:dyDescent="0.25">
      <c r="D51" s="268"/>
      <c r="E51" s="268"/>
      <c r="F51" s="268"/>
      <c r="G51" s="268"/>
      <c r="H51" s="268"/>
      <c r="I51" s="268"/>
      <c r="J51" s="268"/>
      <c r="K51" s="268"/>
      <c r="L51" s="268"/>
      <c r="M51" s="268"/>
      <c r="N51" s="268"/>
      <c r="O51" s="268"/>
    </row>
    <row r="52" spans="4:15" x14ac:dyDescent="0.25">
      <c r="D52" s="263">
        <v>0</v>
      </c>
      <c r="E52" s="264">
        <v>50</v>
      </c>
      <c r="F52" s="265">
        <v>-320</v>
      </c>
      <c r="G52" s="264">
        <v>-7.5</v>
      </c>
      <c r="H52" s="264">
        <v>-7.5</v>
      </c>
      <c r="I52" s="266">
        <v>-7.5</v>
      </c>
      <c r="J52" s="267"/>
      <c r="K52" s="263">
        <v>-20</v>
      </c>
      <c r="L52" s="264">
        <v>90</v>
      </c>
      <c r="M52" s="264">
        <v>100</v>
      </c>
      <c r="N52" s="269">
        <v>250</v>
      </c>
      <c r="O52" s="264">
        <v>16</v>
      </c>
    </row>
    <row r="53" spans="4:15" x14ac:dyDescent="0.25">
      <c r="D53" s="263">
        <v>0</v>
      </c>
      <c r="E53" s="264">
        <v>61</v>
      </c>
      <c r="F53" s="265">
        <v>-320</v>
      </c>
      <c r="G53" s="264">
        <v>-7.5</v>
      </c>
      <c r="H53" s="264">
        <v>-7.5</v>
      </c>
      <c r="I53" s="266">
        <v>7.5</v>
      </c>
      <c r="J53" s="267"/>
      <c r="K53" s="263">
        <v>-20</v>
      </c>
      <c r="L53" s="264">
        <v>90</v>
      </c>
      <c r="M53" s="264">
        <v>100</v>
      </c>
      <c r="N53" s="269">
        <v>250</v>
      </c>
      <c r="O53" s="264">
        <v>16</v>
      </c>
    </row>
    <row r="55" spans="4:15" x14ac:dyDescent="0.25">
      <c r="D55" s="161">
        <v>75</v>
      </c>
      <c r="E55" s="162">
        <v>44</v>
      </c>
      <c r="F55" s="243">
        <v>-280</v>
      </c>
      <c r="G55" s="162">
        <v>-7.5</v>
      </c>
      <c r="H55" s="162">
        <v>7.5</v>
      </c>
      <c r="I55" s="170">
        <v>7.5</v>
      </c>
      <c r="J55" s="142"/>
      <c r="K55" s="161">
        <v>-20</v>
      </c>
      <c r="L55" s="162">
        <v>90</v>
      </c>
      <c r="M55" s="162">
        <v>100</v>
      </c>
      <c r="N55" s="162">
        <v>300</v>
      </c>
      <c r="O55" s="162">
        <v>16</v>
      </c>
    </row>
    <row r="58" spans="4:15" x14ac:dyDescent="0.25">
      <c r="D58" s="161">
        <v>43</v>
      </c>
      <c r="E58" s="162">
        <v>0</v>
      </c>
      <c r="F58" s="243">
        <v>-323.17</v>
      </c>
      <c r="G58" s="162">
        <v>7.5</v>
      </c>
      <c r="H58" s="162">
        <v>7.5</v>
      </c>
      <c r="I58" s="170">
        <v>7.5</v>
      </c>
      <c r="J58" s="142"/>
      <c r="K58" s="161">
        <v>-20</v>
      </c>
      <c r="L58" s="162">
        <v>90</v>
      </c>
      <c r="M58" s="162">
        <v>100</v>
      </c>
      <c r="N58" s="162">
        <v>250</v>
      </c>
      <c r="O58" s="162">
        <v>16</v>
      </c>
    </row>
    <row r="59" spans="4:15" x14ac:dyDescent="0.25">
      <c r="D59" s="161">
        <v>0</v>
      </c>
      <c r="E59" s="162">
        <v>35</v>
      </c>
      <c r="F59" s="243">
        <v>-323.17</v>
      </c>
      <c r="G59" s="162">
        <v>7.5</v>
      </c>
      <c r="H59" s="162">
        <v>7.5</v>
      </c>
      <c r="I59" s="170">
        <v>7.5</v>
      </c>
      <c r="J59" s="142"/>
      <c r="K59" s="161">
        <v>-20</v>
      </c>
      <c r="L59" s="162">
        <v>90</v>
      </c>
      <c r="M59" s="162">
        <v>100</v>
      </c>
      <c r="N59" s="162">
        <v>250</v>
      </c>
      <c r="O59" s="162">
        <v>16</v>
      </c>
    </row>
    <row r="61" spans="4:15" x14ac:dyDescent="0.25">
      <c r="D61" s="161">
        <v>75</v>
      </c>
      <c r="E61" s="162">
        <v>45</v>
      </c>
      <c r="F61" s="243">
        <v>-323.17</v>
      </c>
      <c r="G61" s="162">
        <v>7.5</v>
      </c>
      <c r="H61" s="162">
        <v>7.5</v>
      </c>
      <c r="I61" s="170">
        <v>7.5</v>
      </c>
      <c r="J61" s="142"/>
      <c r="K61" s="161">
        <v>-20</v>
      </c>
      <c r="L61" s="162">
        <v>90</v>
      </c>
      <c r="M61" s="162">
        <v>100</v>
      </c>
      <c r="N61" s="162">
        <v>300</v>
      </c>
      <c r="O61" s="162">
        <v>16</v>
      </c>
    </row>
    <row r="62" spans="4:15" x14ac:dyDescent="0.25">
      <c r="D62" s="161">
        <v>57</v>
      </c>
      <c r="E62" s="162">
        <v>75</v>
      </c>
      <c r="F62" s="243">
        <v>-323.17</v>
      </c>
      <c r="G62" s="162">
        <v>7.5</v>
      </c>
      <c r="H62" s="162">
        <v>7.5</v>
      </c>
      <c r="I62" s="170">
        <v>7.5</v>
      </c>
      <c r="J62" s="142"/>
      <c r="K62" s="161">
        <v>-20</v>
      </c>
      <c r="L62" s="162">
        <v>90</v>
      </c>
      <c r="M62" s="162">
        <v>100</v>
      </c>
      <c r="N62" s="162">
        <v>300</v>
      </c>
      <c r="O62" s="162">
        <v>16</v>
      </c>
    </row>
    <row r="63" spans="4:15" x14ac:dyDescent="0.25">
      <c r="D63" s="161">
        <v>-75</v>
      </c>
      <c r="E63" s="162">
        <v>44</v>
      </c>
      <c r="F63" s="243">
        <v>-323.17</v>
      </c>
      <c r="G63" s="162">
        <v>7.5</v>
      </c>
      <c r="H63" s="162">
        <v>7.5</v>
      </c>
      <c r="I63" s="170">
        <v>7.5</v>
      </c>
      <c r="J63" s="142"/>
      <c r="K63" s="161">
        <v>-20</v>
      </c>
      <c r="L63" s="162">
        <v>90</v>
      </c>
      <c r="M63" s="162">
        <v>100</v>
      </c>
      <c r="N63" s="162">
        <v>300</v>
      </c>
      <c r="O63" s="162">
        <v>16</v>
      </c>
    </row>
    <row r="64" spans="4:15" x14ac:dyDescent="0.25">
      <c r="D64" s="161">
        <v>45</v>
      </c>
      <c r="E64" s="162">
        <v>-75</v>
      </c>
      <c r="F64" s="243">
        <v>-323.17</v>
      </c>
      <c r="G64" s="162">
        <v>7.5</v>
      </c>
      <c r="H64" s="162">
        <v>7.5</v>
      </c>
      <c r="I64" s="170">
        <v>7.5</v>
      </c>
      <c r="J64" s="142"/>
      <c r="K64" s="161">
        <v>-20</v>
      </c>
      <c r="L64" s="162">
        <v>90</v>
      </c>
      <c r="M64" s="162">
        <v>100</v>
      </c>
      <c r="N64" s="162">
        <v>300</v>
      </c>
      <c r="O64" s="162">
        <v>16</v>
      </c>
    </row>
    <row r="65" spans="4:15" x14ac:dyDescent="0.25">
      <c r="D65" s="161">
        <v>-75</v>
      </c>
      <c r="E65" s="162">
        <v>-24</v>
      </c>
      <c r="F65" s="243">
        <v>-323.17</v>
      </c>
      <c r="G65" s="162">
        <v>7.5</v>
      </c>
      <c r="H65" s="162">
        <v>7.5</v>
      </c>
      <c r="I65" s="170">
        <v>7.5</v>
      </c>
      <c r="J65" s="142"/>
      <c r="K65" s="161">
        <v>-20</v>
      </c>
      <c r="L65" s="162">
        <v>90</v>
      </c>
      <c r="M65" s="162">
        <v>100</v>
      </c>
      <c r="N65" s="162">
        <v>300</v>
      </c>
      <c r="O65" s="162">
        <v>16</v>
      </c>
    </row>
    <row r="66" spans="4:15" x14ac:dyDescent="0.25">
      <c r="D66" s="161">
        <v>-45</v>
      </c>
      <c r="E66" s="162">
        <v>-75</v>
      </c>
      <c r="F66" s="243">
        <v>-323.17</v>
      </c>
      <c r="G66" s="162">
        <v>7.5</v>
      </c>
      <c r="H66" s="162">
        <v>7.5</v>
      </c>
      <c r="I66" s="170">
        <v>7.5</v>
      </c>
      <c r="J66" s="142"/>
      <c r="K66" s="161">
        <v>-20</v>
      </c>
      <c r="L66" s="162">
        <v>90</v>
      </c>
      <c r="M66" s="162">
        <v>100</v>
      </c>
      <c r="N66" s="162">
        <v>300</v>
      </c>
      <c r="O66" s="162">
        <v>16</v>
      </c>
    </row>
    <row r="67" spans="4:15" x14ac:dyDescent="0.25">
      <c r="D67" s="161">
        <v>75</v>
      </c>
      <c r="E67" s="162">
        <v>-23</v>
      </c>
      <c r="F67" s="243">
        <v>-323.17</v>
      </c>
      <c r="G67" s="162">
        <v>7.5</v>
      </c>
      <c r="H67" s="162">
        <v>7.5</v>
      </c>
      <c r="I67" s="170">
        <v>7.5</v>
      </c>
      <c r="J67" s="142"/>
      <c r="K67" s="161">
        <v>-20</v>
      </c>
      <c r="L67" s="162">
        <v>90</v>
      </c>
      <c r="M67" s="162">
        <v>100</v>
      </c>
      <c r="N67" s="162">
        <v>300</v>
      </c>
      <c r="O67" s="162">
        <v>16</v>
      </c>
    </row>
    <row r="69" spans="4:15" x14ac:dyDescent="0.25">
      <c r="D69" s="161">
        <v>-75</v>
      </c>
      <c r="E69" s="162">
        <v>72</v>
      </c>
      <c r="F69" s="243">
        <v>-323.17</v>
      </c>
      <c r="G69" s="162">
        <v>7.5</v>
      </c>
      <c r="H69" s="162">
        <v>7.5</v>
      </c>
      <c r="I69" s="170">
        <v>7.5</v>
      </c>
      <c r="J69" s="142"/>
      <c r="K69" s="161">
        <v>-20</v>
      </c>
      <c r="L69" s="162">
        <v>90</v>
      </c>
      <c r="M69" s="162">
        <v>100</v>
      </c>
      <c r="N69" s="162">
        <v>350</v>
      </c>
      <c r="O69" s="162">
        <v>16</v>
      </c>
    </row>
    <row r="70" spans="4:15" x14ac:dyDescent="0.25">
      <c r="D70" s="161">
        <v>60</v>
      </c>
      <c r="E70" s="162">
        <v>-75</v>
      </c>
      <c r="F70" s="243">
        <v>-323.17</v>
      </c>
      <c r="G70" s="162">
        <v>7.5</v>
      </c>
      <c r="H70" s="162">
        <v>7.5</v>
      </c>
      <c r="I70" s="170">
        <v>7.5</v>
      </c>
      <c r="J70" s="142"/>
      <c r="K70" s="161">
        <v>-20</v>
      </c>
      <c r="L70" s="162">
        <v>90</v>
      </c>
      <c r="M70" s="162">
        <v>100</v>
      </c>
      <c r="N70" s="162">
        <v>350</v>
      </c>
      <c r="O70" s="162">
        <v>16</v>
      </c>
    </row>
    <row r="71" spans="4:15" x14ac:dyDescent="0.25">
      <c r="D71" s="161">
        <v>75</v>
      </c>
      <c r="E71" s="162">
        <v>72</v>
      </c>
      <c r="F71" s="243">
        <v>-323.17</v>
      </c>
      <c r="G71" s="162">
        <v>7.5</v>
      </c>
      <c r="H71" s="162">
        <v>7.5</v>
      </c>
      <c r="I71" s="170">
        <v>7.5</v>
      </c>
      <c r="J71" s="142"/>
      <c r="K71" s="161">
        <v>-20</v>
      </c>
      <c r="L71" s="162">
        <v>90</v>
      </c>
      <c r="M71" s="162">
        <v>100</v>
      </c>
      <c r="N71" s="162">
        <v>350</v>
      </c>
      <c r="O71" s="162">
        <v>16</v>
      </c>
    </row>
    <row r="72" spans="4:15" x14ac:dyDescent="0.25">
      <c r="D72" s="161">
        <v>73</v>
      </c>
      <c r="E72" s="162">
        <v>75</v>
      </c>
      <c r="F72" s="243">
        <v>-323.17</v>
      </c>
      <c r="G72" s="162">
        <v>7.5</v>
      </c>
      <c r="H72" s="162">
        <v>7.5</v>
      </c>
      <c r="I72" s="170">
        <v>7.5</v>
      </c>
      <c r="J72" s="142"/>
      <c r="K72" s="161">
        <v>-20</v>
      </c>
      <c r="L72" s="162">
        <v>90</v>
      </c>
      <c r="M72" s="162">
        <v>100</v>
      </c>
      <c r="N72" s="162">
        <v>350</v>
      </c>
      <c r="O72" s="162">
        <v>16</v>
      </c>
    </row>
    <row r="73" spans="4:15" x14ac:dyDescent="0.25">
      <c r="D73" s="161">
        <v>-75</v>
      </c>
      <c r="E73" s="162">
        <v>-51</v>
      </c>
      <c r="F73" s="243">
        <v>-323.17</v>
      </c>
      <c r="G73" s="162">
        <v>7.5</v>
      </c>
      <c r="H73" s="162">
        <v>7.5</v>
      </c>
      <c r="I73" s="170">
        <v>7.5</v>
      </c>
      <c r="J73" s="142"/>
      <c r="K73" s="161">
        <v>-20</v>
      </c>
      <c r="L73" s="162">
        <v>90</v>
      </c>
      <c r="M73" s="162">
        <v>100</v>
      </c>
      <c r="N73" s="162">
        <v>350</v>
      </c>
      <c r="O73" s="162">
        <v>16</v>
      </c>
    </row>
    <row r="74" spans="4:15" x14ac:dyDescent="0.25">
      <c r="D74" s="161">
        <v>-61</v>
      </c>
      <c r="E74" s="162">
        <v>-75</v>
      </c>
      <c r="F74" s="243">
        <v>-323.17</v>
      </c>
      <c r="G74" s="162">
        <v>7.5</v>
      </c>
      <c r="H74" s="162">
        <v>7.5</v>
      </c>
      <c r="I74" s="170">
        <v>7.5</v>
      </c>
      <c r="J74" s="142"/>
      <c r="K74" s="161">
        <v>-20</v>
      </c>
      <c r="L74" s="162">
        <v>90</v>
      </c>
      <c r="M74" s="162">
        <v>100</v>
      </c>
      <c r="N74" s="162">
        <v>350</v>
      </c>
      <c r="O74" s="162">
        <v>16</v>
      </c>
    </row>
    <row r="75" spans="4:15" x14ac:dyDescent="0.25">
      <c r="D75" s="161">
        <v>75</v>
      </c>
      <c r="E75" s="162">
        <v>-50</v>
      </c>
      <c r="F75" s="243">
        <v>-323.17</v>
      </c>
      <c r="G75" s="162">
        <v>7.5</v>
      </c>
      <c r="H75" s="162">
        <v>7.5</v>
      </c>
      <c r="I75" s="170">
        <v>7.5</v>
      </c>
      <c r="J75" s="142"/>
      <c r="K75" s="161">
        <v>-20</v>
      </c>
      <c r="L75" s="162">
        <v>90</v>
      </c>
      <c r="M75" s="162">
        <v>100</v>
      </c>
      <c r="N75" s="162">
        <v>350</v>
      </c>
      <c r="O75" s="162">
        <v>16</v>
      </c>
    </row>
    <row r="76" spans="4:15" x14ac:dyDescent="0.25">
      <c r="D76" s="161">
        <v>-73</v>
      </c>
      <c r="E76" s="162">
        <v>75</v>
      </c>
      <c r="F76" s="243">
        <v>-323.17</v>
      </c>
      <c r="G76" s="162">
        <v>7.5</v>
      </c>
      <c r="H76" s="162">
        <v>7.5</v>
      </c>
      <c r="I76" s="170">
        <v>7.5</v>
      </c>
      <c r="J76" s="142"/>
      <c r="K76" s="161">
        <v>-20</v>
      </c>
      <c r="L76" s="162">
        <v>90</v>
      </c>
      <c r="M76" s="162">
        <v>100</v>
      </c>
      <c r="N76" s="162">
        <v>350</v>
      </c>
      <c r="O76" s="162">
        <v>16</v>
      </c>
    </row>
    <row r="78" spans="4:15" x14ac:dyDescent="0.25">
      <c r="D78" s="161">
        <v>-73</v>
      </c>
      <c r="E78" s="162">
        <v>75</v>
      </c>
      <c r="F78" s="243">
        <v>-373.17</v>
      </c>
      <c r="G78" s="162">
        <v>7.5</v>
      </c>
      <c r="H78" s="162">
        <v>7.5</v>
      </c>
      <c r="I78" s="170">
        <v>7.5</v>
      </c>
      <c r="J78" s="142"/>
      <c r="K78" s="161">
        <v>-20</v>
      </c>
      <c r="L78" s="162">
        <v>90</v>
      </c>
      <c r="M78" s="162">
        <v>100</v>
      </c>
      <c r="N78" s="162">
        <v>350</v>
      </c>
      <c r="O78" s="162">
        <v>16</v>
      </c>
    </row>
    <row r="79" spans="4:15" x14ac:dyDescent="0.25">
      <c r="D79" s="161">
        <v>75</v>
      </c>
      <c r="E79" s="162">
        <v>-50</v>
      </c>
      <c r="F79" s="243">
        <v>-373.17</v>
      </c>
      <c r="G79" s="162">
        <v>7.5</v>
      </c>
      <c r="H79" s="162">
        <v>7.5</v>
      </c>
      <c r="I79" s="170">
        <v>7.5</v>
      </c>
      <c r="J79" s="142"/>
      <c r="K79" s="161">
        <v>-20</v>
      </c>
      <c r="L79" s="162">
        <v>90</v>
      </c>
      <c r="M79" s="162">
        <v>100</v>
      </c>
      <c r="N79" s="162">
        <v>350</v>
      </c>
      <c r="O79" s="162">
        <v>16</v>
      </c>
    </row>
    <row r="80" spans="4:15" x14ac:dyDescent="0.25">
      <c r="D80" s="161">
        <v>75</v>
      </c>
      <c r="E80" s="162">
        <v>0</v>
      </c>
      <c r="F80" s="243">
        <v>-273.17</v>
      </c>
      <c r="G80" s="162">
        <v>7.5</v>
      </c>
      <c r="H80" s="162">
        <v>7.5</v>
      </c>
      <c r="I80" s="170">
        <v>7.5</v>
      </c>
      <c r="J80" s="142"/>
      <c r="K80" s="161">
        <v>-20</v>
      </c>
      <c r="L80" s="162">
        <v>90</v>
      </c>
      <c r="M80" s="162">
        <v>100</v>
      </c>
      <c r="N80" s="162">
        <v>350</v>
      </c>
      <c r="O80" s="162">
        <v>16</v>
      </c>
    </row>
    <row r="81" spans="4:15" x14ac:dyDescent="0.25">
      <c r="D81" s="161">
        <v>0</v>
      </c>
      <c r="E81" s="162">
        <v>75</v>
      </c>
      <c r="F81" s="243">
        <v>-273.17</v>
      </c>
      <c r="G81" s="162">
        <v>7.5</v>
      </c>
      <c r="H81" s="162">
        <v>7.5</v>
      </c>
      <c r="I81" s="170">
        <v>7.5</v>
      </c>
      <c r="J81" s="142"/>
      <c r="K81" s="161">
        <v>-20</v>
      </c>
      <c r="L81" s="162">
        <v>90</v>
      </c>
      <c r="M81" s="162">
        <v>100</v>
      </c>
      <c r="N81" s="162">
        <v>350</v>
      </c>
      <c r="O81" s="162">
        <v>16</v>
      </c>
    </row>
  </sheetData>
  <scenarios current="0">
    <scenario name="test" count="1" user="Joost" comment="Gemaakt door Joost op 6/11/2013">
      <inputCells r="D7" val="0"/>
    </scenario>
  </scenarios>
  <mergeCells count="1">
    <mergeCell ref="U24:Y35"/>
  </mergeCells>
  <conditionalFormatting sqref="C10">
    <cfRule type="colorScale" priority="27">
      <colorScale>
        <cfvo type="num" val="-1"/>
        <cfvo type="num" val="1"/>
        <color rgb="FFFF0000"/>
        <color rgb="FF92D050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:F28">
    <cfRule type="colorScale" priority="13">
      <colorScale>
        <cfvo type="num" val="-1"/>
        <cfvo type="num" val="1"/>
        <color rgb="FFFF0000"/>
        <color rgb="FF92D050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H28">
    <cfRule type="colorScale" priority="11">
      <colorScale>
        <cfvo type="num" val="-1"/>
        <cfvo type="num" val="1"/>
        <color rgb="FFFF0000"/>
        <color rgb="FF92D050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:I28">
    <cfRule type="colorScale" priority="9">
      <colorScale>
        <cfvo type="num" val="-1"/>
        <cfvo type="num" val="1"/>
        <color rgb="FFFF0000"/>
        <color rgb="FF92D050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">
    <cfRule type="colorScale" priority="7">
      <colorScale>
        <cfvo type="num" val="-1"/>
        <cfvo type="num" val="1"/>
        <color rgb="FFFF0000"/>
        <color rgb="FF92D050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W2">
    <cfRule type="colorScale" priority="5">
      <colorScale>
        <cfvo type="num" val="-1"/>
        <cfvo type="num" val="1"/>
        <color rgb="FFFF0000"/>
        <color rgb="FF92D050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">
    <cfRule type="colorScale" priority="3">
      <colorScale>
        <cfvo type="num" val="-1"/>
        <cfvo type="num" val="1"/>
        <color rgb="FFFF0000"/>
        <color rgb="FF92D05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28">
    <cfRule type="colorScale" priority="1">
      <colorScale>
        <cfvo type="num" val="-1"/>
        <cfvo type="num" val="1"/>
        <color rgb="FFFF0000"/>
        <color rgb="FF92D05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181" yWindow="297" count="1">
    <dataValidation type="decimal" errorStyle="information" operator="lessThan" allowBlank="1" showInputMessage="1" showErrorMessage="1" errorTitle="Translation Z-axis " error="The value should be negative." promptTitle="Translation Z-axis" sqref="F7 F40:F43 F52:F53 F45:F50 F55 F58:F59 F61:F67 F69:F76 F78:F81">
      <formula1>-160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AO171"/>
  <sheetViews>
    <sheetView zoomScale="70" zoomScaleNormal="70" workbookViewId="0">
      <pane ySplit="16" topLeftCell="A17" activePane="bottomLeft" state="frozen"/>
      <selection pane="bottomLeft" activeCell="H29" sqref="H29"/>
    </sheetView>
  </sheetViews>
  <sheetFormatPr defaultRowHeight="15" x14ac:dyDescent="0.25"/>
  <cols>
    <col min="2" max="3" width="9.5703125" customWidth="1"/>
    <col min="10" max="10" width="10.140625" customWidth="1"/>
    <col min="16" max="16" width="12" bestFit="1" customWidth="1"/>
    <col min="21" max="21" width="11.85546875" customWidth="1"/>
    <col min="22" max="22" width="10.7109375" bestFit="1" customWidth="1"/>
    <col min="24" max="24" width="10.7109375" bestFit="1" customWidth="1"/>
  </cols>
  <sheetData>
    <row r="1" spans="1:41" ht="15.75" thickBot="1" x14ac:dyDescent="0.3"/>
    <row r="2" spans="1:41" ht="19.5" thickTop="1" x14ac:dyDescent="0.3">
      <c r="B2" s="1" t="s">
        <v>0</v>
      </c>
      <c r="C2" s="2"/>
      <c r="D2" s="2"/>
      <c r="E2" s="2"/>
      <c r="F2" s="2"/>
      <c r="G2" s="3"/>
      <c r="I2" s="1" t="s">
        <v>1</v>
      </c>
      <c r="J2" s="2"/>
      <c r="K2" s="2"/>
      <c r="L2" s="4" t="s">
        <v>2</v>
      </c>
      <c r="M2" s="2"/>
      <c r="N2" s="5"/>
      <c r="P2" s="6"/>
      <c r="Q2" s="7" t="s">
        <v>3</v>
      </c>
      <c r="R2" s="8" t="s">
        <v>4</v>
      </c>
      <c r="S2" s="9" t="s">
        <v>123</v>
      </c>
      <c r="T2" s="8" t="s">
        <v>5</v>
      </c>
      <c r="U2" s="8" t="s">
        <v>6</v>
      </c>
      <c r="V2" s="10"/>
    </row>
    <row r="3" spans="1:41" x14ac:dyDescent="0.25">
      <c r="B3" s="11" t="s">
        <v>7</v>
      </c>
      <c r="C3" s="12" t="s">
        <v>8</v>
      </c>
      <c r="D3" s="12" t="s">
        <v>9</v>
      </c>
      <c r="E3" s="12" t="s">
        <v>10</v>
      </c>
      <c r="F3" s="12" t="s">
        <v>11</v>
      </c>
      <c r="G3" s="13" t="s">
        <v>12</v>
      </c>
      <c r="I3" s="14" t="s">
        <v>13</v>
      </c>
      <c r="J3" s="15"/>
      <c r="K3" s="15"/>
      <c r="L3" s="15"/>
      <c r="M3" s="15"/>
      <c r="N3" s="16"/>
      <c r="P3" s="17"/>
      <c r="Q3" s="18">
        <v>1</v>
      </c>
      <c r="R3" s="19">
        <f>IF(ABS($N$41-$M$5)&lt;0.1,1,-1)</f>
        <v>1</v>
      </c>
      <c r="S3" s="20">
        <f>C41</f>
        <v>40.035400390625</v>
      </c>
      <c r="T3" s="21">
        <f>N41</f>
        <v>350.00221945162571</v>
      </c>
      <c r="U3" s="104">
        <f t="shared" ref="U3:U8" si="0">($M$5-T3)*1000</f>
        <v>-2.2194516257059149</v>
      </c>
      <c r="V3" s="105"/>
      <c r="W3" s="143">
        <f>'Angle II'!T13</f>
        <v>10.591411134810199</v>
      </c>
    </row>
    <row r="4" spans="1:41" x14ac:dyDescent="0.25">
      <c r="B4" s="22">
        <f>'Stewart Gough Platform'!D7</f>
        <v>0</v>
      </c>
      <c r="C4" s="23">
        <f>'Stewart Gough Platform'!E7</f>
        <v>75</v>
      </c>
      <c r="D4" s="23">
        <f>'Stewart Gough Platform'!F7</f>
        <v>-373.17</v>
      </c>
      <c r="E4" s="23">
        <f>'Stewart Gough Platform'!G7</f>
        <v>7.5</v>
      </c>
      <c r="F4" s="23">
        <f>'Stewart Gough Platform'!H7</f>
        <v>7.5</v>
      </c>
      <c r="G4" s="23">
        <f>'Stewart Gough Platform'!I7</f>
        <v>7.5</v>
      </c>
      <c r="I4" s="25" t="s">
        <v>14</v>
      </c>
      <c r="J4" s="26" t="s">
        <v>15</v>
      </c>
      <c r="K4" s="15"/>
      <c r="L4" s="12" t="s">
        <v>16</v>
      </c>
      <c r="M4" s="12" t="s">
        <v>17</v>
      </c>
      <c r="N4" s="16"/>
      <c r="P4" s="17"/>
      <c r="Q4" s="18">
        <v>2</v>
      </c>
      <c r="R4" s="19">
        <f>IF(ABS($N$68-$M$5)&lt;0.1,1,-1)</f>
        <v>1</v>
      </c>
      <c r="S4" s="20">
        <f>C68</f>
        <v>17.449951171875</v>
      </c>
      <c r="T4" s="21">
        <f>N68</f>
        <v>350.01194504639523</v>
      </c>
      <c r="U4" s="104">
        <f t="shared" si="0"/>
        <v>-11.9450463952262</v>
      </c>
      <c r="V4" s="105"/>
      <c r="W4" s="143">
        <f>'Angle II'!T14</f>
        <v>8.6561980756466692</v>
      </c>
    </row>
    <row r="5" spans="1:41" x14ac:dyDescent="0.25">
      <c r="B5" s="27" t="s">
        <v>18</v>
      </c>
      <c r="C5" s="28" t="s">
        <v>18</v>
      </c>
      <c r="D5" s="28" t="s">
        <v>18</v>
      </c>
      <c r="E5" s="28" t="s">
        <v>19</v>
      </c>
      <c r="F5" s="28" t="s">
        <v>19</v>
      </c>
      <c r="G5" s="29" t="s">
        <v>19</v>
      </c>
      <c r="I5" s="22">
        <f>'Stewart Gough Platform'!K7</f>
        <v>-20</v>
      </c>
      <c r="J5" s="23">
        <f>'Stewart Gough Platform'!L7</f>
        <v>90</v>
      </c>
      <c r="K5" s="23"/>
      <c r="L5" s="23">
        <f>'Stewart Gough Platform'!M7</f>
        <v>100</v>
      </c>
      <c r="M5" s="23">
        <f>'Stewart Gough Platform'!N7</f>
        <v>350</v>
      </c>
      <c r="N5" s="16"/>
      <c r="P5" s="17"/>
      <c r="Q5" s="18">
        <v>3</v>
      </c>
      <c r="R5" s="19">
        <f>IF(ABS($N$94-$M$5)&lt;0.1,1,-1)</f>
        <v>1</v>
      </c>
      <c r="S5" s="20">
        <f>C94</f>
        <v>17.208251953125</v>
      </c>
      <c r="T5" s="21">
        <f>N94</f>
        <v>350.02328553801851</v>
      </c>
      <c r="U5" s="104">
        <f t="shared" si="0"/>
        <v>-23.285538018512852</v>
      </c>
      <c r="V5" s="105"/>
      <c r="W5" s="143">
        <f>'Angle II'!T15</f>
        <v>8.6561980756466692</v>
      </c>
    </row>
    <row r="6" spans="1:41" ht="15.75" thickBot="1" x14ac:dyDescent="0.3">
      <c r="A6" s="15"/>
      <c r="B6" s="30"/>
      <c r="C6" s="31"/>
      <c r="D6" s="111" t="s">
        <v>91</v>
      </c>
      <c r="E6" s="31"/>
      <c r="F6" s="31"/>
      <c r="G6" s="32"/>
      <c r="I6" s="27" t="s">
        <v>19</v>
      </c>
      <c r="J6" s="28" t="s">
        <v>19</v>
      </c>
      <c r="K6" s="15"/>
      <c r="L6" s="28" t="s">
        <v>18</v>
      </c>
      <c r="M6" s="28" t="s">
        <v>18</v>
      </c>
      <c r="N6" s="16"/>
      <c r="P6" s="17"/>
      <c r="Q6" s="18">
        <v>4</v>
      </c>
      <c r="R6" s="19">
        <f>IF(ABS($N$119-$M$5)&lt;0.1,1,-1)</f>
        <v>1</v>
      </c>
      <c r="S6" s="20">
        <f>C119</f>
        <v>48.790283203125</v>
      </c>
      <c r="T6" s="21">
        <f>N119</f>
        <v>350.01905694781993</v>
      </c>
      <c r="U6" s="104">
        <f t="shared" si="0"/>
        <v>-19.056947819933612</v>
      </c>
      <c r="V6" s="105"/>
      <c r="W6" s="143">
        <f>'Angle II'!T16</f>
        <v>13.098749904881192</v>
      </c>
    </row>
    <row r="7" spans="1:41" ht="15.75" thickTop="1" x14ac:dyDescent="0.25">
      <c r="B7" s="1" t="s">
        <v>22</v>
      </c>
      <c r="C7" s="2"/>
      <c r="D7" s="39"/>
      <c r="E7" s="2"/>
      <c r="F7" s="40"/>
      <c r="G7" s="41"/>
      <c r="I7" s="1" t="s">
        <v>23</v>
      </c>
      <c r="J7" s="2"/>
      <c r="K7" s="39"/>
      <c r="L7" s="2"/>
      <c r="M7" s="40"/>
      <c r="N7" s="41"/>
      <c r="P7" s="17"/>
      <c r="Q7" s="18">
        <v>5</v>
      </c>
      <c r="R7" s="19">
        <f>IF(ABS($N$144-$M$5)&lt;0.1,1,-1)</f>
        <v>1</v>
      </c>
      <c r="S7" s="20">
        <f>C144</f>
        <v>57.545166015625</v>
      </c>
      <c r="T7" s="21">
        <f>N144</f>
        <v>350.01446448799817</v>
      </c>
      <c r="U7" s="104">
        <f t="shared" si="0"/>
        <v>-14.464487998168352</v>
      </c>
      <c r="V7" s="105"/>
      <c r="W7" s="143">
        <f>'Angle II'!T17</f>
        <v>13.098749904881116</v>
      </c>
      <c r="X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</row>
    <row r="8" spans="1:41" ht="15.75" thickBot="1" x14ac:dyDescent="0.3">
      <c r="A8" s="19"/>
      <c r="B8" s="25" t="s">
        <v>26</v>
      </c>
      <c r="C8" s="26" t="s">
        <v>27</v>
      </c>
      <c r="D8" s="26" t="s">
        <v>28</v>
      </c>
      <c r="E8" s="26" t="s">
        <v>29</v>
      </c>
      <c r="F8" s="26" t="s">
        <v>30</v>
      </c>
      <c r="G8" s="45" t="s">
        <v>31</v>
      </c>
      <c r="I8" s="25" t="s">
        <v>32</v>
      </c>
      <c r="J8" s="26" t="s">
        <v>33</v>
      </c>
      <c r="K8" s="26" t="s">
        <v>34</v>
      </c>
      <c r="L8" s="26" t="s">
        <v>35</v>
      </c>
      <c r="M8" s="26" t="s">
        <v>36</v>
      </c>
      <c r="N8" s="45" t="s">
        <v>37</v>
      </c>
      <c r="P8" s="30"/>
      <c r="Q8" s="33">
        <v>6</v>
      </c>
      <c r="R8" s="34">
        <f>IF(ABS($N$169-$M$5)&lt;0.1,1,-1)</f>
        <v>1</v>
      </c>
      <c r="S8" s="35">
        <f>C169</f>
        <v>42.747802734375</v>
      </c>
      <c r="T8" s="36">
        <f>N169</f>
        <v>350.01056863334628</v>
      </c>
      <c r="U8" s="106">
        <f t="shared" si="0"/>
        <v>-10.568633346281331</v>
      </c>
      <c r="V8" s="107"/>
      <c r="W8" s="143">
        <f>'Angle II'!T18</f>
        <v>10.591411134810199</v>
      </c>
      <c r="X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</row>
    <row r="9" spans="1:41" ht="15.75" thickTop="1" x14ac:dyDescent="0.25">
      <c r="B9" s="22">
        <f>'Stewart Gough Platform'!D12</f>
        <v>0</v>
      </c>
      <c r="C9" s="23">
        <f>'Stewart Gough Platform'!E12</f>
        <v>120</v>
      </c>
      <c r="D9" s="23">
        <f>'Stewart Gough Platform'!F12</f>
        <v>120</v>
      </c>
      <c r="E9" s="23">
        <f>'Stewart Gough Platform'!G12</f>
        <v>240</v>
      </c>
      <c r="F9" s="23">
        <f>'Stewart Gough Platform'!H12</f>
        <v>240</v>
      </c>
      <c r="G9" s="24">
        <f>'Stewart Gough Platform'!I12</f>
        <v>0</v>
      </c>
      <c r="I9" s="22">
        <f>'Stewart Gough Platform'!K11</f>
        <v>0</v>
      </c>
      <c r="J9" s="23">
        <f>'Stewart Gough Platform'!L11</f>
        <v>120</v>
      </c>
      <c r="K9" s="23">
        <f>'Stewart Gough Platform'!M11</f>
        <v>120</v>
      </c>
      <c r="L9" s="23">
        <f>'Stewart Gough Platform'!N11</f>
        <v>240</v>
      </c>
      <c r="M9" s="23">
        <f>'Stewart Gough Platform'!O11</f>
        <v>240</v>
      </c>
      <c r="N9" s="24">
        <f>'Stewart Gough Platform'!P11</f>
        <v>0</v>
      </c>
      <c r="X9" s="15"/>
      <c r="AA9" s="49"/>
      <c r="AB9" s="99"/>
      <c r="AC9" s="15"/>
      <c r="AD9" s="15"/>
      <c r="AE9" s="15"/>
      <c r="AF9" s="15"/>
      <c r="AG9" s="15"/>
      <c r="AH9" s="49"/>
      <c r="AI9" s="15"/>
      <c r="AJ9" s="49"/>
      <c r="AK9" s="15"/>
      <c r="AL9" s="15"/>
      <c r="AM9" s="37"/>
      <c r="AO9" s="38"/>
    </row>
    <row r="10" spans="1:41" x14ac:dyDescent="0.25">
      <c r="B10" s="27" t="str">
        <f>'Stewart Gough Platform'!D13</f>
        <v>degrees</v>
      </c>
      <c r="C10" s="28" t="str">
        <f>'Stewart Gough Platform'!E13</f>
        <v>degrees</v>
      </c>
      <c r="D10" s="28" t="str">
        <f>'Stewart Gough Platform'!F13</f>
        <v>degrees</v>
      </c>
      <c r="E10" s="28" t="str">
        <f>'Stewart Gough Platform'!G13</f>
        <v>degrees</v>
      </c>
      <c r="F10" s="28" t="str">
        <f>'Stewart Gough Platform'!H13</f>
        <v>degrees</v>
      </c>
      <c r="G10" s="29" t="str">
        <f>'Stewart Gough Platform'!I13</f>
        <v>degrees</v>
      </c>
      <c r="I10" s="27" t="s">
        <v>19</v>
      </c>
      <c r="J10" s="28" t="s">
        <v>19</v>
      </c>
      <c r="K10" s="28" t="s">
        <v>19</v>
      </c>
      <c r="L10" s="28" t="s">
        <v>19</v>
      </c>
      <c r="M10" s="28" t="s">
        <v>19</v>
      </c>
      <c r="N10" s="29" t="s">
        <v>19</v>
      </c>
      <c r="X10" s="15"/>
      <c r="AA10" s="15"/>
      <c r="AB10" s="15"/>
      <c r="AC10" s="15"/>
      <c r="AD10" s="15"/>
      <c r="AE10" s="15"/>
      <c r="AF10" s="15"/>
      <c r="AG10" s="15"/>
      <c r="AH10" s="15"/>
      <c r="AI10" s="15"/>
      <c r="AJ10" s="42"/>
      <c r="AK10" s="42"/>
      <c r="AL10" s="15"/>
      <c r="AM10" s="37"/>
      <c r="AO10" s="44"/>
    </row>
    <row r="11" spans="1:41" x14ac:dyDescent="0.25">
      <c r="B11" s="25" t="str">
        <f>'Stewart Gough Platform'!D14</f>
        <v>e B1</v>
      </c>
      <c r="C11" s="26" t="str">
        <f>'Stewart Gough Platform'!E14</f>
        <v>e B2</v>
      </c>
      <c r="D11" s="26" t="str">
        <f>'Stewart Gough Platform'!F14</f>
        <v>e B3</v>
      </c>
      <c r="E11" s="26" t="str">
        <f>'Stewart Gough Platform'!G14</f>
        <v>e B4</v>
      </c>
      <c r="F11" s="26" t="str">
        <f>'Stewart Gough Platform'!H14</f>
        <v>e B5</v>
      </c>
      <c r="G11" s="45" t="str">
        <f>'Stewart Gough Platform'!I14</f>
        <v>e B6</v>
      </c>
      <c r="I11" s="25" t="s">
        <v>48</v>
      </c>
      <c r="J11" s="26" t="s">
        <v>49</v>
      </c>
      <c r="K11" s="26" t="s">
        <v>50</v>
      </c>
      <c r="L11" s="26" t="s">
        <v>51</v>
      </c>
      <c r="M11" s="26" t="s">
        <v>52</v>
      </c>
      <c r="N11" s="45" t="s">
        <v>53</v>
      </c>
      <c r="P11" s="37" t="s">
        <v>21</v>
      </c>
      <c r="R11" s="38" t="s">
        <v>86</v>
      </c>
      <c r="T11" t="s">
        <v>87</v>
      </c>
      <c r="X11" s="15"/>
      <c r="AA11" s="23"/>
      <c r="AB11" s="42"/>
      <c r="AC11" s="23"/>
      <c r="AD11" s="100"/>
      <c r="AE11" s="15"/>
      <c r="AF11" s="15"/>
      <c r="AG11" s="15"/>
      <c r="AH11" s="15"/>
      <c r="AI11" s="15"/>
      <c r="AJ11" s="23"/>
      <c r="AK11" s="23"/>
      <c r="AL11" s="15"/>
      <c r="AM11" s="37"/>
      <c r="AN11" s="44"/>
      <c r="AO11" s="44"/>
    </row>
    <row r="12" spans="1:41" x14ac:dyDescent="0.25">
      <c r="B12" s="22">
        <f>'Stewart Gough Platform'!D15</f>
        <v>31.28</v>
      </c>
      <c r="C12" s="23">
        <f>'Stewart Gough Platform'!E15</f>
        <v>-31.28</v>
      </c>
      <c r="D12" s="23">
        <f>'Stewart Gough Platform'!F15</f>
        <v>31.28</v>
      </c>
      <c r="E12" s="23">
        <f>'Stewart Gough Platform'!G15</f>
        <v>-31.28</v>
      </c>
      <c r="F12" s="23">
        <f>'Stewart Gough Platform'!H15</f>
        <v>31.28</v>
      </c>
      <c r="G12" s="24">
        <f>'Stewart Gough Platform'!I15</f>
        <v>-31.28</v>
      </c>
      <c r="I12" s="22">
        <f>'Stewart Gough Platform'!K14</f>
        <v>31.28</v>
      </c>
      <c r="J12" s="23">
        <f>'Stewart Gough Platform'!L14</f>
        <v>-31.28</v>
      </c>
      <c r="K12" s="23">
        <f>'Stewart Gough Platform'!M14</f>
        <v>31.28</v>
      </c>
      <c r="L12" s="23">
        <f>'Stewart Gough Platform'!N14</f>
        <v>-31.28</v>
      </c>
      <c r="M12" s="23">
        <f>'Stewart Gough Platform'!O14</f>
        <v>31.28</v>
      </c>
      <c r="N12" s="24">
        <f>'Stewart Gough Platform'!P14</f>
        <v>-31.28</v>
      </c>
      <c r="P12" s="37" t="s">
        <v>24</v>
      </c>
      <c r="R12" s="44" t="s">
        <v>25</v>
      </c>
      <c r="X12" s="15"/>
      <c r="AA12" s="101"/>
      <c r="AB12" s="15"/>
      <c r="AC12" s="101"/>
      <c r="AD12" s="15"/>
      <c r="AE12" s="15"/>
      <c r="AF12" s="15"/>
      <c r="AG12" s="15"/>
      <c r="AH12" s="15"/>
      <c r="AI12" s="15"/>
      <c r="AJ12" s="42"/>
      <c r="AK12" s="42"/>
      <c r="AL12" s="15"/>
    </row>
    <row r="13" spans="1:41" x14ac:dyDescent="0.25">
      <c r="B13" s="27" t="str">
        <f>'Stewart Gough Platform'!D16</f>
        <v>mm</v>
      </c>
      <c r="C13" s="28" t="str">
        <f>'Stewart Gough Platform'!E16</f>
        <v>mm</v>
      </c>
      <c r="D13" s="28" t="str">
        <f>'Stewart Gough Platform'!F16</f>
        <v>mm</v>
      </c>
      <c r="E13" s="28" t="str">
        <f>'Stewart Gough Platform'!G16</f>
        <v>mm</v>
      </c>
      <c r="F13" s="28" t="str">
        <f>'Stewart Gough Platform'!H16</f>
        <v>mm</v>
      </c>
      <c r="G13" s="29" t="str">
        <f>'Stewart Gough Platform'!I16</f>
        <v>mm</v>
      </c>
      <c r="I13" s="27" t="s">
        <v>18</v>
      </c>
      <c r="J13" s="28" t="s">
        <v>18</v>
      </c>
      <c r="K13" s="28" t="s">
        <v>18</v>
      </c>
      <c r="L13" s="28" t="s">
        <v>18</v>
      </c>
      <c r="M13" s="28" t="s">
        <v>18</v>
      </c>
      <c r="N13" s="29" t="s">
        <v>18</v>
      </c>
      <c r="P13" s="37" t="s">
        <v>38</v>
      </c>
      <c r="Q13" s="44"/>
      <c r="R13" s="44">
        <v>41476</v>
      </c>
      <c r="X13" s="15"/>
      <c r="AA13" s="47"/>
      <c r="AB13" s="47"/>
      <c r="AC13" s="47"/>
      <c r="AD13" s="47"/>
      <c r="AE13" s="15"/>
      <c r="AF13" s="15"/>
      <c r="AG13" s="15"/>
      <c r="AH13" s="15"/>
      <c r="AI13" s="15"/>
      <c r="AJ13" s="15"/>
      <c r="AK13" s="15"/>
      <c r="AL13" s="15"/>
      <c r="AM13" s="37"/>
    </row>
    <row r="14" spans="1:41" x14ac:dyDescent="0.25">
      <c r="B14" s="25" t="str">
        <f>'Stewart Gough Platform'!D17</f>
        <v>rb</v>
      </c>
      <c r="C14" s="26" t="str">
        <f>'Stewart Gough Platform'!E17</f>
        <v>TCP</v>
      </c>
      <c r="D14" s="28"/>
      <c r="E14" s="28"/>
      <c r="F14" s="28"/>
      <c r="G14" s="29"/>
      <c r="I14" s="25" t="s">
        <v>57</v>
      </c>
      <c r="J14" s="28"/>
      <c r="K14" s="28"/>
      <c r="L14" s="28"/>
      <c r="M14" s="28"/>
      <c r="N14" s="29"/>
      <c r="P14" s="37" t="s">
        <v>41</v>
      </c>
      <c r="X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37"/>
    </row>
    <row r="15" spans="1:41" x14ac:dyDescent="0.25">
      <c r="B15" s="22">
        <f>'Stewart Gough Platform'!D18</f>
        <v>100</v>
      </c>
      <c r="C15" s="23">
        <f>'Stewart Gough Platform'!E18</f>
        <v>0</v>
      </c>
      <c r="D15" s="15"/>
      <c r="E15" s="15"/>
      <c r="F15" s="15"/>
      <c r="G15" s="16"/>
      <c r="I15" s="22">
        <f>'Stewart Gough Platform'!K17</f>
        <v>40</v>
      </c>
      <c r="J15" s="15"/>
      <c r="K15" s="15"/>
      <c r="L15" s="15"/>
      <c r="M15" s="15"/>
      <c r="N15" s="16"/>
      <c r="X15" s="15"/>
      <c r="AA15" s="49"/>
      <c r="AB15" s="49"/>
      <c r="AC15" s="49"/>
      <c r="AD15" s="15"/>
      <c r="AE15" s="15"/>
      <c r="AF15" s="15"/>
      <c r="AG15" s="15"/>
      <c r="AH15" s="23"/>
      <c r="AI15" s="23"/>
      <c r="AJ15" s="15"/>
      <c r="AK15" s="15"/>
      <c r="AL15" s="15"/>
    </row>
    <row r="16" spans="1:41" ht="15.75" thickBot="1" x14ac:dyDescent="0.3">
      <c r="B16" s="102" t="str">
        <f>'Stewart Gough Platform'!D19</f>
        <v>mm</v>
      </c>
      <c r="C16" s="88" t="str">
        <f>'Stewart Gough Platform'!E19</f>
        <v>mm</v>
      </c>
      <c r="D16" s="31"/>
      <c r="E16" s="31"/>
      <c r="F16" s="31"/>
      <c r="G16" s="32"/>
      <c r="I16" s="102" t="s">
        <v>18</v>
      </c>
      <c r="J16" s="31"/>
      <c r="K16" s="31"/>
      <c r="L16" s="31"/>
      <c r="M16" s="31"/>
      <c r="N16" s="32"/>
      <c r="P16" s="37" t="s">
        <v>92</v>
      </c>
      <c r="X16" s="15"/>
      <c r="AA16" s="47"/>
      <c r="AB16" s="50"/>
      <c r="AC16" s="47"/>
      <c r="AD16" s="15"/>
      <c r="AE16" s="15"/>
      <c r="AF16" s="15"/>
      <c r="AG16" s="15"/>
      <c r="AH16" s="42"/>
      <c r="AI16" s="42"/>
      <c r="AJ16" s="15"/>
      <c r="AK16" s="15"/>
      <c r="AL16" s="15"/>
    </row>
    <row r="17" spans="1:38" ht="15.75" thickTop="1" x14ac:dyDescent="0.25">
      <c r="L17" s="15"/>
      <c r="M17" s="15"/>
      <c r="N17" s="15"/>
      <c r="O17" s="15"/>
      <c r="P17" s="15"/>
      <c r="Z17" s="15"/>
      <c r="AA17" s="53"/>
      <c r="AB17" s="52"/>
      <c r="AC17" s="53"/>
      <c r="AD17" s="15"/>
      <c r="AE17" s="15"/>
      <c r="AF17" s="15"/>
      <c r="AG17" s="15"/>
      <c r="AH17" s="15"/>
      <c r="AI17" s="15"/>
      <c r="AJ17" s="15"/>
      <c r="AK17" s="15"/>
      <c r="AL17" s="15"/>
    </row>
    <row r="18" spans="1:38" x14ac:dyDescent="0.25">
      <c r="L18" s="15"/>
      <c r="M18" s="15"/>
      <c r="N18" s="15"/>
      <c r="O18" s="15"/>
      <c r="P18" s="15"/>
      <c r="AH18" s="46"/>
    </row>
    <row r="19" spans="1:38" ht="34.5" thickBot="1" x14ac:dyDescent="0.55000000000000004">
      <c r="B19" s="54" t="s">
        <v>58</v>
      </c>
      <c r="C19" s="54"/>
      <c r="D19" s="55"/>
      <c r="E19" s="55"/>
      <c r="F19" s="55"/>
      <c r="G19" s="55"/>
      <c r="H19" s="55"/>
      <c r="U19" t="s">
        <v>93</v>
      </c>
      <c r="AA19" s="46"/>
      <c r="AB19" s="56"/>
      <c r="AC19" s="46"/>
      <c r="AE19" s="57"/>
      <c r="AF19" s="57"/>
      <c r="AH19" s="56"/>
      <c r="AI19" s="46"/>
    </row>
    <row r="20" spans="1:38" ht="15.75" thickBot="1" x14ac:dyDescent="0.3">
      <c r="A20" s="58">
        <f>IF(ABS($N$41-$M$5)&lt;0.1,1,-1)</f>
        <v>1</v>
      </c>
      <c r="D20" s="59" t="s">
        <v>59</v>
      </c>
      <c r="E20" s="60">
        <v>1</v>
      </c>
      <c r="V20" s="15"/>
      <c r="W20" s="61" t="s">
        <v>13</v>
      </c>
      <c r="X20" s="15"/>
      <c r="AA20" s="62"/>
      <c r="AB20" s="56"/>
      <c r="AC20" s="62"/>
      <c r="AE20" s="63"/>
      <c r="AF20" s="64"/>
      <c r="AH20" s="62"/>
      <c r="AI20" s="62"/>
    </row>
    <row r="21" spans="1:38" x14ac:dyDescent="0.25">
      <c r="D21" s="26" t="s">
        <v>7</v>
      </c>
      <c r="E21" s="26" t="s">
        <v>8</v>
      </c>
      <c r="F21" s="26" t="s">
        <v>9</v>
      </c>
      <c r="G21" s="26" t="s">
        <v>10</v>
      </c>
      <c r="H21" s="26" t="s">
        <v>11</v>
      </c>
      <c r="I21" s="26" t="s">
        <v>12</v>
      </c>
      <c r="J21" s="26"/>
      <c r="K21" s="26" t="s">
        <v>26</v>
      </c>
      <c r="L21" s="26" t="s">
        <v>55</v>
      </c>
      <c r="M21" s="26" t="s">
        <v>60</v>
      </c>
      <c r="N21" s="26"/>
      <c r="O21" s="26" t="s">
        <v>32</v>
      </c>
      <c r="P21" s="26" t="s">
        <v>57</v>
      </c>
      <c r="Q21" s="26" t="s">
        <v>61</v>
      </c>
      <c r="R21" s="26"/>
      <c r="S21" s="26" t="s">
        <v>16</v>
      </c>
      <c r="T21" s="26" t="s">
        <v>56</v>
      </c>
      <c r="U21" s="26" t="s">
        <v>17</v>
      </c>
      <c r="V21" s="15"/>
      <c r="W21" s="26" t="s">
        <v>14</v>
      </c>
      <c r="X21" s="26" t="s">
        <v>15</v>
      </c>
      <c r="AA21" s="62"/>
      <c r="AB21" s="56"/>
      <c r="AC21" s="62"/>
      <c r="AE21" s="63"/>
      <c r="AF21" s="64"/>
      <c r="AH21" s="62"/>
      <c r="AI21" s="62"/>
    </row>
    <row r="22" spans="1:38" x14ac:dyDescent="0.25">
      <c r="D22" s="47">
        <f>$B$4</f>
        <v>0</v>
      </c>
      <c r="E22" s="47">
        <f>$C$4</f>
        <v>75</v>
      </c>
      <c r="F22" s="47">
        <f>$D$4</f>
        <v>-373.17</v>
      </c>
      <c r="G22" s="47">
        <f>$E$4*2*PI()/360</f>
        <v>0.1308996938995747</v>
      </c>
      <c r="H22" s="47">
        <f>$F$4*2*PI()/360</f>
        <v>0.1308996938995747</v>
      </c>
      <c r="I22" s="47">
        <f>$G$4*2*PI()/360</f>
        <v>0.1308996938995747</v>
      </c>
      <c r="J22" s="23"/>
      <c r="K22" s="23">
        <f>($B$9*PI())/180</f>
        <v>0</v>
      </c>
      <c r="L22" s="47">
        <f>$B$15</f>
        <v>100</v>
      </c>
      <c r="M22" s="23">
        <f>$B$12</f>
        <v>31.28</v>
      </c>
      <c r="N22" s="23"/>
      <c r="O22" s="23">
        <f>$I$9*2*PI()/360</f>
        <v>0</v>
      </c>
      <c r="P22" s="47">
        <f>I15</f>
        <v>40</v>
      </c>
      <c r="Q22" s="23">
        <f>$I$12</f>
        <v>31.28</v>
      </c>
      <c r="R22" s="23"/>
      <c r="S22" s="47">
        <f>L5</f>
        <v>100</v>
      </c>
      <c r="T22" s="47">
        <f>C15</f>
        <v>0</v>
      </c>
      <c r="U22" s="47">
        <f>M5</f>
        <v>350</v>
      </c>
      <c r="V22" s="65"/>
      <c r="W22" s="47">
        <f>I5</f>
        <v>-20</v>
      </c>
      <c r="X22" s="47">
        <f>J5</f>
        <v>90</v>
      </c>
      <c r="AA22" s="62"/>
      <c r="AB22" s="56"/>
      <c r="AC22" s="62"/>
      <c r="AE22" s="63"/>
      <c r="AF22" s="64"/>
      <c r="AH22" s="62"/>
      <c r="AI22" s="62"/>
    </row>
    <row r="23" spans="1:38" x14ac:dyDescent="0.25">
      <c r="D23" s="28" t="s">
        <v>18</v>
      </c>
      <c r="E23" s="28" t="s">
        <v>18</v>
      </c>
      <c r="F23" s="28" t="s">
        <v>18</v>
      </c>
      <c r="G23" s="28" t="s">
        <v>20</v>
      </c>
      <c r="H23" s="28" t="s">
        <v>20</v>
      </c>
      <c r="I23" s="28" t="s">
        <v>20</v>
      </c>
      <c r="J23" s="28"/>
      <c r="K23" s="28" t="s">
        <v>20</v>
      </c>
      <c r="L23" s="28" t="str">
        <f>B16</f>
        <v>mm</v>
      </c>
      <c r="M23" s="28" t="s">
        <v>18</v>
      </c>
      <c r="N23" s="28"/>
      <c r="O23" s="28" t="s">
        <v>20</v>
      </c>
      <c r="P23" s="28" t="s">
        <v>18</v>
      </c>
      <c r="Q23" s="28" t="s">
        <v>18</v>
      </c>
      <c r="R23" s="28"/>
      <c r="S23" s="28" t="s">
        <v>18</v>
      </c>
      <c r="T23" s="28" t="s">
        <v>18</v>
      </c>
      <c r="U23" s="28" t="s">
        <v>18</v>
      </c>
      <c r="V23" s="15"/>
      <c r="W23" s="28" t="s">
        <v>19</v>
      </c>
      <c r="X23" s="28" t="s">
        <v>19</v>
      </c>
    </row>
    <row r="25" spans="1:38" x14ac:dyDescent="0.25">
      <c r="B25" s="66" t="s">
        <v>62</v>
      </c>
      <c r="C25" s="66"/>
      <c r="E25" s="48" t="s">
        <v>63</v>
      </c>
      <c r="F25" s="15"/>
      <c r="G25" s="67" t="s">
        <v>64</v>
      </c>
      <c r="H25" s="108" t="s">
        <v>65</v>
      </c>
      <c r="I25" s="109"/>
      <c r="J25" s="110" t="s">
        <v>66</v>
      </c>
      <c r="K25" s="48" t="s">
        <v>67</v>
      </c>
      <c r="L25" s="15"/>
      <c r="M25" s="67" t="s">
        <v>68</v>
      </c>
      <c r="N25" s="48" t="s">
        <v>69</v>
      </c>
      <c r="O25" s="16"/>
      <c r="P25" s="37" t="s">
        <v>70</v>
      </c>
      <c r="R25" s="37" t="s">
        <v>71</v>
      </c>
      <c r="S25" s="16"/>
      <c r="T25" s="68" t="s">
        <v>72</v>
      </c>
      <c r="U25" s="16" t="s">
        <v>73</v>
      </c>
    </row>
    <row r="26" spans="1:38" ht="15.75" thickBot="1" x14ac:dyDescent="0.3">
      <c r="A26" s="46" t="s">
        <v>74</v>
      </c>
      <c r="B26" t="s">
        <v>75</v>
      </c>
      <c r="D26" s="43" t="s">
        <v>20</v>
      </c>
      <c r="E26" s="51" t="s">
        <v>39</v>
      </c>
      <c r="F26" s="42" t="s">
        <v>54</v>
      </c>
      <c r="G26" s="43" t="s">
        <v>40</v>
      </c>
      <c r="H26" s="51" t="s">
        <v>39</v>
      </c>
      <c r="I26" s="42" t="s">
        <v>54</v>
      </c>
      <c r="J26" s="43" t="s">
        <v>40</v>
      </c>
      <c r="K26" s="51" t="s">
        <v>39</v>
      </c>
      <c r="L26" s="42" t="s">
        <v>54</v>
      </c>
      <c r="M26" s="43" t="s">
        <v>40</v>
      </c>
      <c r="N26" s="51" t="s">
        <v>76</v>
      </c>
      <c r="O26" s="69" t="s">
        <v>77</v>
      </c>
      <c r="P26" t="s">
        <v>90</v>
      </c>
      <c r="Q26" t="s">
        <v>78</v>
      </c>
      <c r="R26" s="46" t="s">
        <v>79</v>
      </c>
      <c r="S26" s="43" t="s">
        <v>80</v>
      </c>
      <c r="T26" t="s">
        <v>81</v>
      </c>
      <c r="U26" s="43" t="s">
        <v>82</v>
      </c>
      <c r="V26" s="46"/>
      <c r="X26" s="46"/>
    </row>
    <row r="27" spans="1:38" ht="15.75" thickTop="1" x14ac:dyDescent="0.25">
      <c r="A27" s="70">
        <v>1</v>
      </c>
      <c r="B27" s="120">
        <f>W22-W22</f>
        <v>0</v>
      </c>
      <c r="C27" s="112">
        <f>B27+$W$22</f>
        <v>-20</v>
      </c>
      <c r="D27" s="114">
        <f>C27*2*PI()/360</f>
        <v>-0.3490658503988659</v>
      </c>
      <c r="E27" s="71">
        <f>COS(K22)*(COS(D27)*S22+L22)-SIN(K22)*M22</f>
        <v>193.96926207859084</v>
      </c>
      <c r="F27" s="72">
        <f>SIN(K22)*(COS(D27)*S22+L22)+COS(K22)*M22</f>
        <v>31.28</v>
      </c>
      <c r="G27" s="73">
        <f>-SIN(D27)*S22</f>
        <v>34.202014332566868</v>
      </c>
      <c r="H27" s="71">
        <f>((COS(I22)*COS(H22)-SIN(I22)*SIN(G22)*SIN(H22))*(COS(O22)*P22-SIN(O22)*Q22)-SIN(I22)*COS(G22)*(SIN(O22)*P22 +COS(O22)*Q22)+(COS(I22)*SIN(H22)+SIN(I22)*SIN(G22)*COS(H22))*-T22)+D22</f>
        <v>35.181635217427285</v>
      </c>
      <c r="I27" s="72">
        <f>E22+COS(G22)*COS(I22)*(Q22*COS(O22)+P22*SIN(O22))+(P22*COS(O22)-Q22*SIN(O22))*(COS(I22)*SIN(G22)*SIN(H22)+COS(H22)*SIN(I22))+T22*(COS(I22)*COS(H22)*SIN(G22)-SIN(H22)*SIN(I22))</f>
        <v>111.59911411383668</v>
      </c>
      <c r="J27" s="73">
        <f>F22+Q22*COS(O22)*SIN(G22)+P22*SIN(O22)*SIN(G22)-COS(G22)*(T22*COS(H22)+(P22*COS(O22)-Q22*SIN(O22))*SIN(H22))</f>
        <v>-374.26352160940723</v>
      </c>
      <c r="K27" s="71">
        <f>E27-H27</f>
        <v>158.78762686116357</v>
      </c>
      <c r="L27" s="72">
        <f t="shared" ref="L27:M41" si="1">F27-I27</f>
        <v>-80.319114113836676</v>
      </c>
      <c r="M27" s="73">
        <f>G27-J27</f>
        <v>408.46553594197411</v>
      </c>
      <c r="N27" s="71">
        <f>SQRT((K27)^2+(L27)^2+(M27)^2)</f>
        <v>445.54322415293871</v>
      </c>
      <c r="O27" s="74">
        <f>ATAN(M27/K27)*180/PI()</f>
        <v>68.75681542152293</v>
      </c>
      <c r="P27" s="71">
        <f t="shared" ref="P27:P41" si="2">IF(K27/N27&lt;E27/$L$5,1,0)</f>
        <v>1</v>
      </c>
      <c r="Q27" s="72">
        <f>IF(N27&gt;$U$22,1,0)</f>
        <v>1</v>
      </c>
      <c r="R27" s="72">
        <f>X22-W22</f>
        <v>110</v>
      </c>
      <c r="S27" s="73">
        <v>0</v>
      </c>
      <c r="T27" s="116">
        <f t="shared" ref="T27:T31" si="3">R27-S27</f>
        <v>110</v>
      </c>
      <c r="U27" s="76" t="str">
        <f>IF(ABS(N27-U22)&lt;0.1,"STOP!","-")</f>
        <v>-</v>
      </c>
      <c r="V27" s="77"/>
      <c r="W27" s="78"/>
      <c r="X27" s="79" t="s">
        <v>88</v>
      </c>
      <c r="Y27">
        <v>-162.80000000000001</v>
      </c>
    </row>
    <row r="28" spans="1:38" x14ac:dyDescent="0.25">
      <c r="A28" s="68">
        <v>2</v>
      </c>
      <c r="B28" s="121">
        <f>X22-W22</f>
        <v>110</v>
      </c>
      <c r="C28" s="113">
        <f>B28+$W$22</f>
        <v>90</v>
      </c>
      <c r="D28" s="115">
        <f t="shared" ref="D28:D41" si="4">C28*2*PI()/360</f>
        <v>1.5707963267948966</v>
      </c>
      <c r="E28" s="80">
        <f t="shared" ref="E28:E41" si="5">COS($K$22)*(COS(D28)*$S$22+$L$22)-SIN($K$22)*$M$22</f>
        <v>100</v>
      </c>
      <c r="F28" s="81">
        <f t="shared" ref="F28:F41" si="6">SIN($K$22)*(COS(D28)*$S$22+$L$22)+COS($K$22)*$M$22</f>
        <v>31.28</v>
      </c>
      <c r="G28" s="82">
        <f t="shared" ref="G28:G41" si="7">-SIN(D28)*$S$22</f>
        <v>-100</v>
      </c>
      <c r="H28" s="80">
        <f>((COS(I22)*COS(H22)-SIN(I22)*SIN(G22)*SIN(H22))*(COS(O22)*P22-SIN(O22)*Q22)-SIN(I22)*COS(G22)*(SIN(O22)*P22 +COS(O22)*Q22)+(COS(I22)*SIN(H22)+SIN(I22)*SIN(G22)*COS(H22))*T22)+D22</f>
        <v>35.181635217427285</v>
      </c>
      <c r="I28" s="81">
        <f>((SIN(I22)*COS(H22)+COS(I22)*SIN(G22)*SIN(H22))*(COS(O22)*P22-SIN(O22)*Q22)+COS(I22)*COS(G22)*(SIN(O22)*P22+COS(O22)*Q22)+(SIN(I22)*SIN(H22)-COS(I22)*SIN(G22)*COS(H22))*-T22)+E22</f>
        <v>111.59911411383668</v>
      </c>
      <c r="J28" s="82">
        <f>(-COS(G22)*SIN(H22)*(COS(O22)*P22-SIN(O22)*Q22)+SIN(G22)*(SIN(O22)*P22+COS(O22)*Q22)+COS(G22)*COS(H22)*-T22)+F22</f>
        <v>-374.26352160940723</v>
      </c>
      <c r="K28" s="80">
        <f t="shared" ref="K28:K41" si="8">E28-H28</f>
        <v>64.818364782572715</v>
      </c>
      <c r="L28" s="81">
        <f t="shared" si="1"/>
        <v>-80.319114113836676</v>
      </c>
      <c r="M28" s="82">
        <f t="shared" si="1"/>
        <v>274.26352160940723</v>
      </c>
      <c r="N28" s="80">
        <f t="shared" ref="N28:N41" si="9">SQRT((K28)^2+(L28)^2+(M28)^2)</f>
        <v>293.04105478705873</v>
      </c>
      <c r="O28" s="83">
        <f t="shared" ref="O28:O41" si="10">ATAN(M28/K28)*180/PI()</f>
        <v>76.702925160306464</v>
      </c>
      <c r="P28" s="80">
        <f t="shared" si="2"/>
        <v>1</v>
      </c>
      <c r="Q28" s="81">
        <f t="shared" ref="Q28:Q41" si="11">IF(N28&gt;$U$22,1,0)</f>
        <v>0</v>
      </c>
      <c r="R28" s="81">
        <f>X22-W22</f>
        <v>110</v>
      </c>
      <c r="S28" s="82">
        <f>W22-W22</f>
        <v>0</v>
      </c>
      <c r="T28" s="117">
        <f t="shared" si="3"/>
        <v>110</v>
      </c>
      <c r="U28" s="85" t="str">
        <f t="shared" ref="U28:U41" si="12">IF(ABS(N28-$M$5)&lt;0.1,"STOP!","-")</f>
        <v>-</v>
      </c>
      <c r="V28" s="77"/>
      <c r="W28" s="78"/>
      <c r="X28" s="79" t="s">
        <v>89</v>
      </c>
      <c r="Y28">
        <v>-311.10000000000002</v>
      </c>
    </row>
    <row r="29" spans="1:38" x14ac:dyDescent="0.25">
      <c r="A29" s="68">
        <v>3</v>
      </c>
      <c r="B29" s="121">
        <f>(R28+S28)/2</f>
        <v>55</v>
      </c>
      <c r="C29" s="113">
        <f t="shared" ref="C29:C41" si="13">B29+$W$22</f>
        <v>35</v>
      </c>
      <c r="D29" s="115">
        <f t="shared" si="4"/>
        <v>0.6108652381980153</v>
      </c>
      <c r="E29" s="80">
        <f t="shared" si="5"/>
        <v>181.91520442889919</v>
      </c>
      <c r="F29" s="81">
        <f t="shared" si="6"/>
        <v>31.28</v>
      </c>
      <c r="G29" s="82">
        <f t="shared" si="7"/>
        <v>-57.357643635104608</v>
      </c>
      <c r="H29" s="80">
        <f>H27</f>
        <v>35.181635217427285</v>
      </c>
      <c r="I29" s="81">
        <f>I27</f>
        <v>111.59911411383668</v>
      </c>
      <c r="J29" s="82">
        <f>J27</f>
        <v>-374.26352160940723</v>
      </c>
      <c r="K29" s="80">
        <f t="shared" si="8"/>
        <v>146.73356921147189</v>
      </c>
      <c r="L29" s="81">
        <f t="shared" si="1"/>
        <v>-80.319114113836676</v>
      </c>
      <c r="M29" s="82">
        <f t="shared" si="1"/>
        <v>316.9058779743026</v>
      </c>
      <c r="N29" s="80">
        <f t="shared" si="9"/>
        <v>358.34513519822326</v>
      </c>
      <c r="O29" s="83">
        <f t="shared" si="10"/>
        <v>65.154948130652883</v>
      </c>
      <c r="P29" s="80">
        <f t="shared" si="2"/>
        <v>1</v>
      </c>
      <c r="Q29" s="81">
        <f t="shared" si="11"/>
        <v>1</v>
      </c>
      <c r="R29" s="81">
        <f>IF(Q29=0,B29,R28)</f>
        <v>110</v>
      </c>
      <c r="S29" s="82">
        <f>IF((Q29)&lt;&gt;0,B29,S28)</f>
        <v>55</v>
      </c>
      <c r="T29" s="117">
        <f t="shared" si="3"/>
        <v>55</v>
      </c>
      <c r="U29" s="86" t="str">
        <f t="shared" si="12"/>
        <v>-</v>
      </c>
      <c r="V29" s="77"/>
      <c r="W29" s="78"/>
      <c r="X29" s="79"/>
    </row>
    <row r="30" spans="1:38" x14ac:dyDescent="0.25">
      <c r="A30" s="68">
        <v>4</v>
      </c>
      <c r="B30" s="121">
        <f t="shared" ref="B30:B41" si="14">(R29+S29)/2</f>
        <v>82.5</v>
      </c>
      <c r="C30" s="113">
        <f t="shared" si="13"/>
        <v>62.5</v>
      </c>
      <c r="D30" s="115">
        <f t="shared" si="4"/>
        <v>1.0908307824964558</v>
      </c>
      <c r="E30" s="80">
        <f t="shared" si="5"/>
        <v>146.17486132350342</v>
      </c>
      <c r="F30" s="81">
        <f t="shared" si="6"/>
        <v>31.28</v>
      </c>
      <c r="G30" s="82">
        <f t="shared" si="7"/>
        <v>-88.701083317822167</v>
      </c>
      <c r="H30" s="80">
        <f>H27</f>
        <v>35.181635217427285</v>
      </c>
      <c r="I30" s="81">
        <f>I27</f>
        <v>111.59911411383668</v>
      </c>
      <c r="J30" s="82">
        <f>J27</f>
        <v>-374.26352160940723</v>
      </c>
      <c r="K30" s="80">
        <f t="shared" si="8"/>
        <v>110.99322610607614</v>
      </c>
      <c r="L30" s="81">
        <f t="shared" si="1"/>
        <v>-80.319114113836676</v>
      </c>
      <c r="M30" s="82">
        <f t="shared" si="1"/>
        <v>285.56243829158507</v>
      </c>
      <c r="N30" s="80">
        <f t="shared" si="9"/>
        <v>316.72789977597711</v>
      </c>
      <c r="O30" s="83">
        <f t="shared" si="10"/>
        <v>68.759748901965494</v>
      </c>
      <c r="P30" s="80">
        <f t="shared" si="2"/>
        <v>1</v>
      </c>
      <c r="Q30" s="81">
        <f t="shared" si="11"/>
        <v>0</v>
      </c>
      <c r="R30" s="81">
        <f>IF(Q30=0,B30,R29)</f>
        <v>82.5</v>
      </c>
      <c r="S30" s="82">
        <f t="shared" ref="S30:S41" si="15">IF((Q30)&lt;&gt;0,B30,S29)</f>
        <v>55</v>
      </c>
      <c r="T30" s="117">
        <f t="shared" si="3"/>
        <v>27.5</v>
      </c>
      <c r="U30" s="86" t="str">
        <f t="shared" si="12"/>
        <v>-</v>
      </c>
      <c r="V30" s="77"/>
      <c r="W30" s="78"/>
      <c r="X30" s="79"/>
    </row>
    <row r="31" spans="1:38" x14ac:dyDescent="0.25">
      <c r="A31" s="68">
        <v>5</v>
      </c>
      <c r="B31" s="121">
        <f t="shared" si="14"/>
        <v>68.75</v>
      </c>
      <c r="C31" s="113">
        <f t="shared" si="13"/>
        <v>48.75</v>
      </c>
      <c r="D31" s="115">
        <f t="shared" si="4"/>
        <v>0.85084801034723556</v>
      </c>
      <c r="E31" s="80">
        <f t="shared" si="5"/>
        <v>165.93458151000689</v>
      </c>
      <c r="F31" s="81">
        <f t="shared" si="6"/>
        <v>31.28</v>
      </c>
      <c r="G31" s="82">
        <f t="shared" si="7"/>
        <v>-75.183980747897721</v>
      </c>
      <c r="H31" s="80">
        <f>H27</f>
        <v>35.181635217427285</v>
      </c>
      <c r="I31" s="81">
        <f>I27</f>
        <v>111.59911411383668</v>
      </c>
      <c r="J31" s="82">
        <f>J27</f>
        <v>-374.26352160940723</v>
      </c>
      <c r="K31" s="80">
        <f t="shared" si="8"/>
        <v>130.75294629257962</v>
      </c>
      <c r="L31" s="81">
        <f t="shared" si="1"/>
        <v>-80.319114113836676</v>
      </c>
      <c r="M31" s="82">
        <f t="shared" si="1"/>
        <v>299.07954086150949</v>
      </c>
      <c r="N31" s="80">
        <f t="shared" si="9"/>
        <v>336.14887299848715</v>
      </c>
      <c r="O31" s="83">
        <f t="shared" si="10"/>
        <v>66.385795613503262</v>
      </c>
      <c r="P31" s="80">
        <f t="shared" si="2"/>
        <v>1</v>
      </c>
      <c r="Q31" s="81">
        <f t="shared" si="11"/>
        <v>0</v>
      </c>
      <c r="R31" s="81">
        <f t="shared" ref="R31:R41" si="16">IF(Q31=0,B31,R30)</f>
        <v>68.75</v>
      </c>
      <c r="S31" s="82">
        <f t="shared" si="15"/>
        <v>55</v>
      </c>
      <c r="T31" s="117">
        <f t="shared" si="3"/>
        <v>13.75</v>
      </c>
      <c r="U31" s="86" t="str">
        <f t="shared" si="12"/>
        <v>-</v>
      </c>
      <c r="V31" s="77"/>
      <c r="W31" s="78"/>
      <c r="X31" s="79"/>
    </row>
    <row r="32" spans="1:38" x14ac:dyDescent="0.25">
      <c r="A32" s="68">
        <v>6</v>
      </c>
      <c r="B32" s="121">
        <f t="shared" si="14"/>
        <v>61.875</v>
      </c>
      <c r="C32" s="113">
        <f t="shared" si="13"/>
        <v>41.875</v>
      </c>
      <c r="D32" s="115">
        <f t="shared" si="4"/>
        <v>0.73085662427262543</v>
      </c>
      <c r="E32" s="80">
        <f t="shared" si="5"/>
        <v>174.46028722923262</v>
      </c>
      <c r="F32" s="81">
        <f t="shared" si="6"/>
        <v>31.28</v>
      </c>
      <c r="G32" s="82">
        <f t="shared" si="7"/>
        <v>-66.750772472984735</v>
      </c>
      <c r="H32" s="80">
        <f>H27</f>
        <v>35.181635217427285</v>
      </c>
      <c r="I32" s="81">
        <f>I27</f>
        <v>111.59911411383668</v>
      </c>
      <c r="J32" s="82">
        <f>J27</f>
        <v>-374.26352160940723</v>
      </c>
      <c r="K32" s="80">
        <f t="shared" si="8"/>
        <v>139.27865201180532</v>
      </c>
      <c r="L32" s="81">
        <f t="shared" si="1"/>
        <v>-80.319114113836676</v>
      </c>
      <c r="M32" s="82">
        <f t="shared" si="1"/>
        <v>307.51274913642249</v>
      </c>
      <c r="N32" s="80">
        <f t="shared" si="9"/>
        <v>347.00690753888085</v>
      </c>
      <c r="O32" s="83">
        <f t="shared" si="10"/>
        <v>65.633280394783085</v>
      </c>
      <c r="P32" s="80">
        <f t="shared" si="2"/>
        <v>1</v>
      </c>
      <c r="Q32" s="81">
        <f t="shared" si="11"/>
        <v>0</v>
      </c>
      <c r="R32" s="81">
        <f t="shared" si="16"/>
        <v>61.875</v>
      </c>
      <c r="S32" s="82">
        <f t="shared" si="15"/>
        <v>55</v>
      </c>
      <c r="T32" s="117">
        <f>R32-S32</f>
        <v>6.875</v>
      </c>
      <c r="U32" s="86" t="str">
        <f t="shared" si="12"/>
        <v>-</v>
      </c>
      <c r="V32" s="77"/>
      <c r="W32" s="78"/>
      <c r="X32" s="79"/>
    </row>
    <row r="33" spans="1:24" x14ac:dyDescent="0.25">
      <c r="A33" s="68">
        <v>7</v>
      </c>
      <c r="B33" s="121">
        <f t="shared" si="14"/>
        <v>58.4375</v>
      </c>
      <c r="C33" s="113">
        <f t="shared" si="13"/>
        <v>38.4375</v>
      </c>
      <c r="D33" s="115">
        <f>C33*2*PI()/360</f>
        <v>0.67086093123532042</v>
      </c>
      <c r="E33" s="80">
        <f t="shared" si="5"/>
        <v>178.32867492286505</v>
      </c>
      <c r="F33" s="81">
        <f t="shared" si="6"/>
        <v>31.28</v>
      </c>
      <c r="G33" s="82">
        <f t="shared" si="7"/>
        <v>-62.166057337007743</v>
      </c>
      <c r="H33" s="80">
        <f>H27</f>
        <v>35.181635217427285</v>
      </c>
      <c r="I33" s="81">
        <f>I27</f>
        <v>111.59911411383668</v>
      </c>
      <c r="J33" s="82">
        <f>J27</f>
        <v>-374.26352160940723</v>
      </c>
      <c r="K33" s="80">
        <f t="shared" si="8"/>
        <v>143.14703970543775</v>
      </c>
      <c r="L33" s="81">
        <f t="shared" si="1"/>
        <v>-80.319114113836676</v>
      </c>
      <c r="M33" s="82">
        <f t="shared" si="1"/>
        <v>312.09746427239952</v>
      </c>
      <c r="N33" s="80">
        <f t="shared" si="9"/>
        <v>352.62878820896543</v>
      </c>
      <c r="O33" s="83">
        <f t="shared" si="10"/>
        <v>65.360906523956814</v>
      </c>
      <c r="P33" s="80">
        <f t="shared" si="2"/>
        <v>1</v>
      </c>
      <c r="Q33" s="81">
        <f t="shared" si="11"/>
        <v>1</v>
      </c>
      <c r="R33" s="81">
        <f t="shared" si="16"/>
        <v>61.875</v>
      </c>
      <c r="S33" s="82">
        <f t="shared" si="15"/>
        <v>58.4375</v>
      </c>
      <c r="T33" s="117">
        <f t="shared" ref="T33:T40" si="17">R33-S33</f>
        <v>3.4375</v>
      </c>
      <c r="U33" s="86" t="str">
        <f t="shared" si="12"/>
        <v>-</v>
      </c>
      <c r="V33" s="77"/>
      <c r="W33" s="78"/>
      <c r="X33" s="79"/>
    </row>
    <row r="34" spans="1:24" x14ac:dyDescent="0.25">
      <c r="A34" s="68">
        <v>8</v>
      </c>
      <c r="B34" s="121">
        <f t="shared" si="14"/>
        <v>60.15625</v>
      </c>
      <c r="C34" s="113">
        <f t="shared" si="13"/>
        <v>40.15625</v>
      </c>
      <c r="D34" s="115">
        <f t="shared" si="4"/>
        <v>0.70085877775397287</v>
      </c>
      <c r="E34" s="80">
        <f t="shared" si="5"/>
        <v>176.42886654987302</v>
      </c>
      <c r="F34" s="81">
        <f t="shared" si="6"/>
        <v>31.28</v>
      </c>
      <c r="G34" s="82">
        <f t="shared" si="7"/>
        <v>-64.487427905768584</v>
      </c>
      <c r="H34" s="80">
        <f>H27</f>
        <v>35.181635217427285</v>
      </c>
      <c r="I34" s="81">
        <f>I27</f>
        <v>111.59911411383668</v>
      </c>
      <c r="J34" s="82">
        <f>J27</f>
        <v>-374.26352160940723</v>
      </c>
      <c r="K34" s="80">
        <f t="shared" si="8"/>
        <v>141.24723133244572</v>
      </c>
      <c r="L34" s="81">
        <f t="shared" si="1"/>
        <v>-80.319114113836676</v>
      </c>
      <c r="M34" s="82">
        <f t="shared" si="1"/>
        <v>309.77609370363865</v>
      </c>
      <c r="N34" s="80">
        <f t="shared" si="9"/>
        <v>349.80447207175393</v>
      </c>
      <c r="O34" s="83">
        <f t="shared" si="10"/>
        <v>65.488647602121688</v>
      </c>
      <c r="P34" s="80">
        <f t="shared" si="2"/>
        <v>1</v>
      </c>
      <c r="Q34" s="81">
        <f t="shared" si="11"/>
        <v>0</v>
      </c>
      <c r="R34" s="81">
        <f t="shared" si="16"/>
        <v>60.15625</v>
      </c>
      <c r="S34" s="82">
        <f t="shared" si="15"/>
        <v>58.4375</v>
      </c>
      <c r="T34" s="117">
        <f t="shared" si="17"/>
        <v>1.71875</v>
      </c>
      <c r="U34" s="86" t="str">
        <f t="shared" si="12"/>
        <v>-</v>
      </c>
      <c r="V34" s="77"/>
      <c r="W34" s="78"/>
      <c r="X34" s="79"/>
    </row>
    <row r="35" spans="1:24" x14ac:dyDescent="0.25">
      <c r="A35" s="68">
        <v>9</v>
      </c>
      <c r="B35" s="121">
        <f t="shared" si="14"/>
        <v>59.296875</v>
      </c>
      <c r="C35" s="113">
        <f t="shared" si="13"/>
        <v>39.296875</v>
      </c>
      <c r="D35" s="115">
        <f t="shared" si="4"/>
        <v>0.68585985449464659</v>
      </c>
      <c r="E35" s="80">
        <f t="shared" si="5"/>
        <v>177.38747541431326</v>
      </c>
      <c r="F35" s="81">
        <f t="shared" si="6"/>
        <v>31.28</v>
      </c>
      <c r="G35" s="82">
        <f t="shared" si="7"/>
        <v>-63.333866524941165</v>
      </c>
      <c r="H35" s="80">
        <f>H27</f>
        <v>35.181635217427285</v>
      </c>
      <c r="I35" s="81">
        <f>I27</f>
        <v>111.59911411383668</v>
      </c>
      <c r="J35" s="82">
        <f>J27</f>
        <v>-374.26352160940723</v>
      </c>
      <c r="K35" s="80">
        <f t="shared" si="8"/>
        <v>142.20584019688596</v>
      </c>
      <c r="L35" s="81">
        <f t="shared" si="1"/>
        <v>-80.319114113836676</v>
      </c>
      <c r="M35" s="82">
        <f t="shared" si="1"/>
        <v>310.92965508446605</v>
      </c>
      <c r="N35" s="80">
        <f t="shared" si="9"/>
        <v>351.21348420736751</v>
      </c>
      <c r="O35" s="83">
        <f t="shared" si="10"/>
        <v>65.422683018245593</v>
      </c>
      <c r="P35" s="80">
        <f t="shared" si="2"/>
        <v>1</v>
      </c>
      <c r="Q35" s="81">
        <f t="shared" si="11"/>
        <v>1</v>
      </c>
      <c r="R35" s="81">
        <f t="shared" si="16"/>
        <v>60.15625</v>
      </c>
      <c r="S35" s="82">
        <f t="shared" si="15"/>
        <v>59.296875</v>
      </c>
      <c r="T35" s="117">
        <f t="shared" si="17"/>
        <v>0.859375</v>
      </c>
      <c r="U35" s="86" t="str">
        <f t="shared" si="12"/>
        <v>-</v>
      </c>
      <c r="V35" s="77"/>
      <c r="W35" s="78"/>
      <c r="X35" s="79"/>
    </row>
    <row r="36" spans="1:24" ht="15.75" thickBot="1" x14ac:dyDescent="0.3">
      <c r="A36" s="68">
        <v>10</v>
      </c>
      <c r="B36" s="122">
        <f t="shared" si="14"/>
        <v>59.7265625</v>
      </c>
      <c r="C36" s="123">
        <f>B36+$W$22</f>
        <v>39.7265625</v>
      </c>
      <c r="D36" s="119">
        <f t="shared" si="4"/>
        <v>0.69335931612430979</v>
      </c>
      <c r="E36" s="80">
        <f t="shared" si="5"/>
        <v>176.91033376455798</v>
      </c>
      <c r="F36" s="81">
        <f t="shared" si="6"/>
        <v>31.28</v>
      </c>
      <c r="G36" s="82">
        <f t="shared" si="7"/>
        <v>-63.912444486377574</v>
      </c>
      <c r="H36" s="80">
        <f>H27</f>
        <v>35.181635217427285</v>
      </c>
      <c r="I36" s="81">
        <f>I27</f>
        <v>111.59911411383668</v>
      </c>
      <c r="J36" s="82">
        <f>J27</f>
        <v>-374.26352160940723</v>
      </c>
      <c r="K36" s="80">
        <f t="shared" si="8"/>
        <v>141.7286985471307</v>
      </c>
      <c r="L36" s="81">
        <f t="shared" si="1"/>
        <v>-80.319114113836676</v>
      </c>
      <c r="M36" s="82">
        <f t="shared" si="1"/>
        <v>310.35107712302965</v>
      </c>
      <c r="N36" s="80">
        <f t="shared" si="9"/>
        <v>350.50816703084064</v>
      </c>
      <c r="O36" s="87">
        <f t="shared" si="10"/>
        <v>65.45513958283496</v>
      </c>
      <c r="P36" s="80">
        <f t="shared" si="2"/>
        <v>1</v>
      </c>
      <c r="Q36" s="81">
        <f t="shared" si="11"/>
        <v>1</v>
      </c>
      <c r="R36" s="81">
        <f t="shared" si="16"/>
        <v>60.15625</v>
      </c>
      <c r="S36" s="82">
        <f t="shared" si="15"/>
        <v>59.7265625</v>
      </c>
      <c r="T36" s="118">
        <f t="shared" si="17"/>
        <v>0.4296875</v>
      </c>
      <c r="U36" s="91" t="str">
        <f t="shared" si="12"/>
        <v>-</v>
      </c>
      <c r="V36" s="77"/>
      <c r="W36" s="78"/>
      <c r="X36" s="79"/>
    </row>
    <row r="37" spans="1:24" ht="15.75" thickTop="1" x14ac:dyDescent="0.25">
      <c r="A37" s="75">
        <v>11</v>
      </c>
      <c r="B37" s="121">
        <f t="shared" si="14"/>
        <v>59.94140625</v>
      </c>
      <c r="C37" s="113">
        <f t="shared" si="13"/>
        <v>39.94140625</v>
      </c>
      <c r="D37" s="115">
        <f t="shared" si="4"/>
        <v>0.69710904693914144</v>
      </c>
      <c r="E37" s="71">
        <f t="shared" si="5"/>
        <v>176.67013916610847</v>
      </c>
      <c r="F37" s="72">
        <f t="shared" si="6"/>
        <v>31.28</v>
      </c>
      <c r="G37" s="73">
        <f t="shared" si="7"/>
        <v>-64.20038753971474</v>
      </c>
      <c r="H37" s="71">
        <f>H27</f>
        <v>35.181635217427285</v>
      </c>
      <c r="I37" s="72">
        <f>I27</f>
        <v>111.59911411383668</v>
      </c>
      <c r="J37" s="73">
        <f>J27</f>
        <v>-374.26352160940723</v>
      </c>
      <c r="K37" s="71">
        <f>E37-H37</f>
        <v>141.48850394868117</v>
      </c>
      <c r="L37" s="72">
        <f t="shared" si="1"/>
        <v>-80.319114113836676</v>
      </c>
      <c r="M37" s="73">
        <f>G37-J37</f>
        <v>310.06313406969252</v>
      </c>
      <c r="N37" s="71">
        <f>SQRT((K37)^2+(L37)^2+(M37)^2)</f>
        <v>350.1561136847215</v>
      </c>
      <c r="O37" s="83">
        <f t="shared" si="10"/>
        <v>65.471761886897241</v>
      </c>
      <c r="P37" s="71">
        <f t="shared" si="2"/>
        <v>1</v>
      </c>
      <c r="Q37" s="72">
        <f t="shared" si="11"/>
        <v>1</v>
      </c>
      <c r="R37" s="72">
        <f t="shared" si="16"/>
        <v>60.15625</v>
      </c>
      <c r="S37" s="73">
        <f t="shared" si="15"/>
        <v>59.94140625</v>
      </c>
      <c r="T37" s="117">
        <f t="shared" si="17"/>
        <v>0.21484375</v>
      </c>
      <c r="U37" s="86" t="str">
        <f t="shared" si="12"/>
        <v>-</v>
      </c>
      <c r="V37" s="77"/>
      <c r="W37" s="78"/>
      <c r="X37" s="79"/>
    </row>
    <row r="38" spans="1:24" x14ac:dyDescent="0.25">
      <c r="A38" s="46">
        <v>12</v>
      </c>
      <c r="B38" s="121">
        <f t="shared" si="14"/>
        <v>60.048828125</v>
      </c>
      <c r="C38" s="113">
        <f t="shared" si="13"/>
        <v>40.048828125</v>
      </c>
      <c r="D38" s="115">
        <f t="shared" si="4"/>
        <v>0.69898391234655721</v>
      </c>
      <c r="E38" s="80">
        <f t="shared" si="5"/>
        <v>176.54963739854335</v>
      </c>
      <c r="F38" s="81">
        <f t="shared" si="6"/>
        <v>31.28</v>
      </c>
      <c r="G38" s="82">
        <f t="shared" si="7"/>
        <v>-64.344020811195278</v>
      </c>
      <c r="H38" s="80">
        <f>H27</f>
        <v>35.181635217427285</v>
      </c>
      <c r="I38" s="81">
        <f>I27</f>
        <v>111.59911411383668</v>
      </c>
      <c r="J38" s="82">
        <f>J27</f>
        <v>-374.26352160940723</v>
      </c>
      <c r="K38" s="80">
        <f t="shared" si="8"/>
        <v>141.36800218111608</v>
      </c>
      <c r="L38" s="81">
        <f t="shared" si="1"/>
        <v>-80.319114113836676</v>
      </c>
      <c r="M38" s="82">
        <f t="shared" si="1"/>
        <v>309.91950079821197</v>
      </c>
      <c r="N38" s="80">
        <f t="shared" si="9"/>
        <v>349.98024102472482</v>
      </c>
      <c r="O38" s="83">
        <f t="shared" si="10"/>
        <v>65.480171784106659</v>
      </c>
      <c r="P38" s="80">
        <f t="shared" si="2"/>
        <v>1</v>
      </c>
      <c r="Q38" s="81">
        <f t="shared" si="11"/>
        <v>0</v>
      </c>
      <c r="R38" s="81">
        <f t="shared" si="16"/>
        <v>60.048828125</v>
      </c>
      <c r="S38" s="82">
        <f t="shared" si="15"/>
        <v>59.94140625</v>
      </c>
      <c r="T38" s="117">
        <f t="shared" si="17"/>
        <v>0.107421875</v>
      </c>
      <c r="U38" s="86" t="str">
        <f t="shared" si="12"/>
        <v>STOP!</v>
      </c>
      <c r="V38" s="77"/>
      <c r="W38" s="78"/>
      <c r="X38" s="79"/>
    </row>
    <row r="39" spans="1:24" x14ac:dyDescent="0.25">
      <c r="A39" s="46">
        <v>13</v>
      </c>
      <c r="B39" s="121">
        <f t="shared" si="14"/>
        <v>59.9951171875</v>
      </c>
      <c r="C39" s="113">
        <f t="shared" si="13"/>
        <v>39.9951171875</v>
      </c>
      <c r="D39" s="115">
        <f t="shared" si="4"/>
        <v>0.69804647964284927</v>
      </c>
      <c r="E39" s="80">
        <f t="shared" si="5"/>
        <v>176.60992194395988</v>
      </c>
      <c r="F39" s="81">
        <f t="shared" si="6"/>
        <v>31.28</v>
      </c>
      <c r="G39" s="82">
        <f t="shared" si="7"/>
        <v>-64.272232416031514</v>
      </c>
      <c r="H39" s="80">
        <f>H28</f>
        <v>35.181635217427285</v>
      </c>
      <c r="I39" s="81">
        <f>I27</f>
        <v>111.59911411383668</v>
      </c>
      <c r="J39" s="82">
        <f>J27</f>
        <v>-374.26352160940723</v>
      </c>
      <c r="K39" s="80">
        <f t="shared" si="8"/>
        <v>141.42828672653258</v>
      </c>
      <c r="L39" s="81">
        <f t="shared" si="1"/>
        <v>-80.319114113836676</v>
      </c>
      <c r="M39" s="82">
        <f t="shared" si="1"/>
        <v>309.99128919337574</v>
      </c>
      <c r="N39" s="80">
        <f t="shared" si="9"/>
        <v>350.0681644397344</v>
      </c>
      <c r="O39" s="83">
        <f t="shared" si="10"/>
        <v>65.475958599642695</v>
      </c>
      <c r="P39" s="80">
        <f t="shared" si="2"/>
        <v>1</v>
      </c>
      <c r="Q39" s="81">
        <f t="shared" si="11"/>
        <v>1</v>
      </c>
      <c r="R39" s="81">
        <f t="shared" si="16"/>
        <v>60.048828125</v>
      </c>
      <c r="S39" s="82">
        <f t="shared" si="15"/>
        <v>59.9951171875</v>
      </c>
      <c r="T39" s="117">
        <f t="shared" si="17"/>
        <v>5.37109375E-2</v>
      </c>
      <c r="U39" s="86" t="str">
        <f t="shared" si="12"/>
        <v>STOP!</v>
      </c>
      <c r="V39" s="77"/>
      <c r="W39" s="78"/>
      <c r="X39" s="79"/>
    </row>
    <row r="40" spans="1:24" x14ac:dyDescent="0.25">
      <c r="A40" s="46">
        <v>14</v>
      </c>
      <c r="B40" s="121">
        <f t="shared" si="14"/>
        <v>60.02197265625</v>
      </c>
      <c r="C40" s="113">
        <f t="shared" si="13"/>
        <v>40.02197265625</v>
      </c>
      <c r="D40" s="115">
        <f t="shared" si="4"/>
        <v>0.69851519599470324</v>
      </c>
      <c r="E40" s="80">
        <f t="shared" si="5"/>
        <v>176.57978808335045</v>
      </c>
      <c r="F40" s="81">
        <f t="shared" si="6"/>
        <v>31.28</v>
      </c>
      <c r="G40" s="82">
        <f t="shared" si="7"/>
        <v>-64.308133677701591</v>
      </c>
      <c r="H40" s="80">
        <f>H29</f>
        <v>35.181635217427285</v>
      </c>
      <c r="I40" s="81">
        <f>I27</f>
        <v>111.59911411383668</v>
      </c>
      <c r="J40" s="82">
        <f>J27</f>
        <v>-374.26352160940723</v>
      </c>
      <c r="K40" s="80">
        <f t="shared" si="8"/>
        <v>141.39815286592318</v>
      </c>
      <c r="L40" s="81">
        <f t="shared" si="1"/>
        <v>-80.319114113836676</v>
      </c>
      <c r="M40" s="82">
        <f t="shared" si="1"/>
        <v>309.95538793170567</v>
      </c>
      <c r="N40" s="80">
        <f t="shared" si="9"/>
        <v>350.02419949743569</v>
      </c>
      <c r="O40" s="83">
        <f t="shared" si="10"/>
        <v>65.478063132379091</v>
      </c>
      <c r="P40" s="80">
        <f t="shared" si="2"/>
        <v>1</v>
      </c>
      <c r="Q40" s="81">
        <f t="shared" si="11"/>
        <v>1</v>
      </c>
      <c r="R40" s="81">
        <f t="shared" si="16"/>
        <v>60.048828125</v>
      </c>
      <c r="S40" s="82">
        <f t="shared" si="15"/>
        <v>60.02197265625</v>
      </c>
      <c r="T40" s="117">
        <f t="shared" si="17"/>
        <v>2.685546875E-2</v>
      </c>
      <c r="U40" s="86" t="str">
        <f t="shared" si="12"/>
        <v>STOP!</v>
      </c>
      <c r="V40" s="77"/>
      <c r="W40" s="78"/>
      <c r="X40" s="79"/>
    </row>
    <row r="41" spans="1:24" ht="15.75" thickBot="1" x14ac:dyDescent="0.3">
      <c r="A41" s="88">
        <v>15</v>
      </c>
      <c r="B41" s="122">
        <f t="shared" si="14"/>
        <v>60.035400390625</v>
      </c>
      <c r="C41" s="123">
        <f t="shared" si="13"/>
        <v>40.035400390625</v>
      </c>
      <c r="D41" s="119">
        <f t="shared" si="4"/>
        <v>0.69874955417063023</v>
      </c>
      <c r="E41" s="92">
        <f t="shared" si="5"/>
        <v>176.56471484355768</v>
      </c>
      <c r="F41" s="90">
        <f t="shared" si="6"/>
        <v>31.28</v>
      </c>
      <c r="G41" s="89">
        <f t="shared" si="7"/>
        <v>-64.326079010963312</v>
      </c>
      <c r="H41" s="92">
        <f>H30</f>
        <v>35.181635217427285</v>
      </c>
      <c r="I41" s="90">
        <f>I27</f>
        <v>111.59911411383668</v>
      </c>
      <c r="J41" s="89">
        <f>J27</f>
        <v>-374.26352160940723</v>
      </c>
      <c r="K41" s="92">
        <f t="shared" si="8"/>
        <v>141.38307962613038</v>
      </c>
      <c r="L41" s="90">
        <f t="shared" si="1"/>
        <v>-80.319114113836676</v>
      </c>
      <c r="M41" s="89">
        <f t="shared" si="1"/>
        <v>309.93744259844391</v>
      </c>
      <c r="N41" s="92">
        <f t="shared" si="9"/>
        <v>350.00221945162571</v>
      </c>
      <c r="O41" s="87">
        <f t="shared" si="10"/>
        <v>65.479116943302685</v>
      </c>
      <c r="P41" s="92">
        <f t="shared" si="2"/>
        <v>1</v>
      </c>
      <c r="Q41" s="90">
        <f t="shared" si="11"/>
        <v>1</v>
      </c>
      <c r="R41" s="90">
        <f t="shared" si="16"/>
        <v>60.048828125</v>
      </c>
      <c r="S41" s="89">
        <f t="shared" si="15"/>
        <v>60.035400390625</v>
      </c>
      <c r="T41" s="118">
        <f>R41-S41</f>
        <v>1.3427734375E-2</v>
      </c>
      <c r="U41" s="91" t="str">
        <f t="shared" si="12"/>
        <v>STOP!</v>
      </c>
      <c r="V41" s="77"/>
      <c r="W41" s="78"/>
      <c r="X41" s="79"/>
    </row>
    <row r="42" spans="1:24" ht="15.75" thickTop="1" x14ac:dyDescent="0.25">
      <c r="E42" s="17"/>
      <c r="F42" s="15"/>
      <c r="G42" s="16"/>
      <c r="J42" s="16"/>
      <c r="M42" s="16"/>
      <c r="Q42" s="75"/>
      <c r="R42" s="75"/>
      <c r="U42" s="15"/>
      <c r="V42" s="15"/>
      <c r="W42" s="15"/>
    </row>
    <row r="43" spans="1:24" x14ac:dyDescent="0.25">
      <c r="D43" s="84"/>
      <c r="E43" s="48" t="s">
        <v>83</v>
      </c>
      <c r="F43" s="15"/>
      <c r="H43" s="48" t="s">
        <v>84</v>
      </c>
      <c r="I43" s="15"/>
      <c r="K43" s="48" t="s">
        <v>85</v>
      </c>
      <c r="L43" s="15"/>
      <c r="V43" s="15"/>
      <c r="W43" s="15"/>
    </row>
    <row r="44" spans="1:24" x14ac:dyDescent="0.25">
      <c r="D44" s="84"/>
      <c r="V44" s="15"/>
      <c r="W44" s="15"/>
    </row>
    <row r="45" spans="1:24" x14ac:dyDescent="0.25">
      <c r="D45" s="93"/>
      <c r="G45" s="94"/>
    </row>
    <row r="46" spans="1:24" ht="15.75" thickBot="1" x14ac:dyDescent="0.3">
      <c r="D46" s="95"/>
      <c r="E46" s="46"/>
      <c r="F46" s="46"/>
      <c r="G46" s="96"/>
      <c r="J46" s="97"/>
      <c r="K46" s="98"/>
      <c r="L46" s="98"/>
      <c r="M46" s="46"/>
    </row>
    <row r="47" spans="1:24" ht="15.75" thickBot="1" x14ac:dyDescent="0.3">
      <c r="A47" s="58">
        <f>IF(ABS($N$68-$M$5)&lt;0.1,1,-1)</f>
        <v>1</v>
      </c>
      <c r="D47" s="59" t="s">
        <v>59</v>
      </c>
      <c r="E47" s="60">
        <v>2</v>
      </c>
      <c r="V47" s="15"/>
      <c r="W47" s="61" t="s">
        <v>13</v>
      </c>
      <c r="X47" s="15"/>
    </row>
    <row r="48" spans="1:24" x14ac:dyDescent="0.25">
      <c r="D48" s="26" t="s">
        <v>7</v>
      </c>
      <c r="E48" s="26" t="s">
        <v>8</v>
      </c>
      <c r="F48" s="26" t="s">
        <v>9</v>
      </c>
      <c r="G48" s="26" t="s">
        <v>10</v>
      </c>
      <c r="H48" s="26" t="s">
        <v>11</v>
      </c>
      <c r="I48" s="26" t="s">
        <v>12</v>
      </c>
      <c r="J48" s="26"/>
      <c r="K48" s="26" t="s">
        <v>26</v>
      </c>
      <c r="L48" s="26" t="s">
        <v>55</v>
      </c>
      <c r="M48" s="26" t="s">
        <v>60</v>
      </c>
      <c r="N48" s="26"/>
      <c r="O48" s="26" t="s">
        <v>32</v>
      </c>
      <c r="P48" s="26" t="s">
        <v>57</v>
      </c>
      <c r="Q48" s="26" t="s">
        <v>61</v>
      </c>
      <c r="R48" s="26"/>
      <c r="S48" s="26" t="s">
        <v>16</v>
      </c>
      <c r="T48" s="26" t="s">
        <v>56</v>
      </c>
      <c r="U48" s="26" t="s">
        <v>17</v>
      </c>
      <c r="V48" s="15"/>
      <c r="W48" s="26" t="s">
        <v>14</v>
      </c>
      <c r="X48" s="26" t="s">
        <v>15</v>
      </c>
    </row>
    <row r="49" spans="1:24" x14ac:dyDescent="0.25">
      <c r="D49" s="47">
        <f>$B$4</f>
        <v>0</v>
      </c>
      <c r="E49" s="47">
        <f>$C$4</f>
        <v>75</v>
      </c>
      <c r="F49" s="47">
        <f>$D$4</f>
        <v>-373.17</v>
      </c>
      <c r="G49" s="47">
        <f>$E$4*2*PI()/360</f>
        <v>0.1308996938995747</v>
      </c>
      <c r="H49" s="47">
        <f>$F$4*2*PI()/360</f>
        <v>0.1308996938995747</v>
      </c>
      <c r="I49" s="47">
        <f>$G$4*2*PI()/360</f>
        <v>0.1308996938995747</v>
      </c>
      <c r="J49" s="23"/>
      <c r="K49" s="23">
        <f>$C$9*2*PI()/360</f>
        <v>2.0943951023931953</v>
      </c>
      <c r="L49" s="47">
        <f>$B$15</f>
        <v>100</v>
      </c>
      <c r="M49" s="23">
        <f>$C$12</f>
        <v>-31.28</v>
      </c>
      <c r="N49" s="23"/>
      <c r="O49" s="23">
        <f>$J$9*2*PI()/360</f>
        <v>2.0943951023931953</v>
      </c>
      <c r="P49" s="47">
        <f>$I$15</f>
        <v>40</v>
      </c>
      <c r="Q49" s="23">
        <f>$J$12</f>
        <v>-31.28</v>
      </c>
      <c r="R49" s="23"/>
      <c r="S49" s="47">
        <f>$L$5</f>
        <v>100</v>
      </c>
      <c r="T49" s="47">
        <f>$C$15</f>
        <v>0</v>
      </c>
      <c r="U49" s="47">
        <f>$M$5</f>
        <v>350</v>
      </c>
      <c r="V49" s="65"/>
      <c r="W49" s="47">
        <f>$I$5</f>
        <v>-20</v>
      </c>
      <c r="X49" s="47">
        <f>$J$5</f>
        <v>90</v>
      </c>
    </row>
    <row r="50" spans="1:24" x14ac:dyDescent="0.25">
      <c r="D50" s="28" t="s">
        <v>18</v>
      </c>
      <c r="E50" s="28" t="s">
        <v>18</v>
      </c>
      <c r="F50" s="28" t="s">
        <v>18</v>
      </c>
      <c r="G50" s="28" t="s">
        <v>20</v>
      </c>
      <c r="H50" s="28" t="s">
        <v>20</v>
      </c>
      <c r="I50" s="28" t="s">
        <v>20</v>
      </c>
      <c r="J50" s="28"/>
      <c r="K50" s="28" t="s">
        <v>20</v>
      </c>
      <c r="L50" s="28">
        <f>D45</f>
        <v>0</v>
      </c>
      <c r="M50" s="28" t="s">
        <v>18</v>
      </c>
      <c r="N50" s="28"/>
      <c r="O50" s="28" t="s">
        <v>20</v>
      </c>
      <c r="P50" s="28" t="s">
        <v>18</v>
      </c>
      <c r="Q50" s="28" t="s">
        <v>18</v>
      </c>
      <c r="R50" s="28"/>
      <c r="S50" s="28" t="s">
        <v>18</v>
      </c>
      <c r="T50" s="28" t="s">
        <v>18</v>
      </c>
      <c r="U50" s="28" t="s">
        <v>18</v>
      </c>
      <c r="V50" s="15"/>
      <c r="W50" s="28" t="s">
        <v>19</v>
      </c>
      <c r="X50" s="28" t="s">
        <v>19</v>
      </c>
    </row>
    <row r="52" spans="1:24" x14ac:dyDescent="0.25">
      <c r="B52" s="66" t="s">
        <v>62</v>
      </c>
      <c r="C52" s="66"/>
      <c r="E52" s="48" t="s">
        <v>63</v>
      </c>
      <c r="F52" s="15"/>
      <c r="G52" s="67" t="s">
        <v>64</v>
      </c>
      <c r="H52" s="108" t="s">
        <v>65</v>
      </c>
      <c r="I52" s="109"/>
      <c r="J52" s="110" t="s">
        <v>66</v>
      </c>
      <c r="K52" s="48" t="s">
        <v>67</v>
      </c>
      <c r="L52" s="15"/>
      <c r="M52" s="67" t="s">
        <v>68</v>
      </c>
      <c r="N52" s="48" t="s">
        <v>69</v>
      </c>
      <c r="O52" s="16"/>
      <c r="P52" s="37" t="s">
        <v>70</v>
      </c>
      <c r="R52" s="37" t="s">
        <v>71</v>
      </c>
      <c r="S52" s="16"/>
      <c r="T52" s="68" t="s">
        <v>72</v>
      </c>
      <c r="U52" s="16" t="s">
        <v>73</v>
      </c>
    </row>
    <row r="53" spans="1:24" ht="15.75" thickBot="1" x14ac:dyDescent="0.3">
      <c r="A53" s="46" t="s">
        <v>74</v>
      </c>
      <c r="B53" t="s">
        <v>75</v>
      </c>
      <c r="D53" s="43" t="s">
        <v>20</v>
      </c>
      <c r="E53" s="51" t="s">
        <v>39</v>
      </c>
      <c r="F53" s="42" t="s">
        <v>54</v>
      </c>
      <c r="G53" s="43" t="s">
        <v>40</v>
      </c>
      <c r="H53" s="51" t="s">
        <v>39</v>
      </c>
      <c r="I53" s="42" t="s">
        <v>54</v>
      </c>
      <c r="J53" s="43" t="s">
        <v>40</v>
      </c>
      <c r="K53" s="51" t="s">
        <v>39</v>
      </c>
      <c r="L53" s="42" t="s">
        <v>54</v>
      </c>
      <c r="M53" s="43" t="s">
        <v>40</v>
      </c>
      <c r="N53" s="51" t="s">
        <v>76</v>
      </c>
      <c r="O53" s="69" t="s">
        <v>77</v>
      </c>
      <c r="Q53" t="s">
        <v>78</v>
      </c>
      <c r="R53" t="s">
        <v>79</v>
      </c>
      <c r="S53" s="43" t="s">
        <v>80</v>
      </c>
      <c r="T53" t="s">
        <v>81</v>
      </c>
      <c r="U53" s="43" t="s">
        <v>82</v>
      </c>
      <c r="V53" s="46"/>
      <c r="X53" s="46"/>
    </row>
    <row r="54" spans="1:24" ht="15.75" thickTop="1" x14ac:dyDescent="0.25">
      <c r="A54" s="128">
        <v>1</v>
      </c>
      <c r="B54" s="120">
        <f>W49-W49</f>
        <v>0</v>
      </c>
      <c r="C54" s="112">
        <f>B54+W49</f>
        <v>-20</v>
      </c>
      <c r="D54" s="114">
        <f>C54*2*PI()/360</f>
        <v>-0.3490658503988659</v>
      </c>
      <c r="E54" s="71">
        <f>COS($K$49)*(COS(D54)*$S$49+$L$49)-SIN($K$49)*$M$49</f>
        <v>-69.895356408918133</v>
      </c>
      <c r="F54" s="72">
        <f>SIN($K$49)*(COS(D54)*$S$49+$L$49)+COS($K$49)*$M$49</f>
        <v>183.62230851338123</v>
      </c>
      <c r="G54" s="73">
        <f>-SIN(D54)*$S$49</f>
        <v>34.202014332566868</v>
      </c>
      <c r="H54" s="71">
        <f>((COS(I49)*COS(H49)-SIN(I49)*SIN(G49)*SIN(H49))*(COS(O49)*P49-SIN(O49)*Q49)-SIN(I49)*COS(G49)*(SIN(O49)*P49 +COS(O49)*Q49)+(COS(I49)*SIN(H49)+SIN(I49)*SIN(G49)*COS(H49))*-T49)+D49</f>
        <v>0.44588671901914623</v>
      </c>
      <c r="I54" s="72">
        <f>E49+COS(G49)*COS(I49)*(Q49*COS(O49)+P49*SIN(O49))+(P49*COS(O49)-Q49*SIN(O49))*(COS(I49)*SIN(G49)*SIN(H49)+COS(H49)*SIN(I49))+T49*(COS(I49)*COS(H49)*SIN(G49)-SIN(H49)*SIN(I49))</f>
        <v>125.46154105012688</v>
      </c>
      <c r="J54" s="73">
        <f>F49+Q49*COS(O49)*SIN(G49)+P49*SIN(O49)*SIN(G49)-COS(G49)*(T49*COS(H49)+(P49*COS(O49)-Q49*SIN(O49))*SIN(H49))</f>
        <v>-367.52443006595769</v>
      </c>
      <c r="K54" s="71">
        <f>E54-H54</f>
        <v>-70.341243127937275</v>
      </c>
      <c r="L54" s="72">
        <f t="shared" ref="L54:M68" si="18">F54-I54</f>
        <v>58.160767463254345</v>
      </c>
      <c r="M54" s="73">
        <f>G54-J54</f>
        <v>401.72644439852456</v>
      </c>
      <c r="N54" s="71">
        <f>SQRT((K54)^2+(L54)^2+(M54)^2)</f>
        <v>411.96444201627298</v>
      </c>
      <c r="O54" s="74">
        <f>ATAN(M54/K54)*180/PI()</f>
        <v>-80.068341572598712</v>
      </c>
      <c r="P54" s="71">
        <f t="shared" ref="P54:P68" si="19">IF(K54/N54&lt;E54/$L$5,1,0)</f>
        <v>0</v>
      </c>
      <c r="Q54" s="72">
        <f>IF(N54&gt;$U$22,1,0)</f>
        <v>1</v>
      </c>
      <c r="R54" s="72">
        <f>X49-W49</f>
        <v>110</v>
      </c>
      <c r="S54" s="73">
        <v>0</v>
      </c>
      <c r="T54" s="72">
        <f t="shared" ref="T54:T58" si="20">R54-S54</f>
        <v>110</v>
      </c>
      <c r="U54" s="76" t="str">
        <f>IF(ABS(N54-U49)&lt;0.1,"STOP!","-")</f>
        <v>-</v>
      </c>
      <c r="V54" s="77"/>
      <c r="W54" s="78"/>
      <c r="X54" s="79"/>
    </row>
    <row r="55" spans="1:24" x14ac:dyDescent="0.25">
      <c r="A55" s="129">
        <v>2</v>
      </c>
      <c r="B55" s="125">
        <f>X49-W49</f>
        <v>110</v>
      </c>
      <c r="C55" s="126">
        <f>B55+W49</f>
        <v>90</v>
      </c>
      <c r="D55" s="115">
        <f t="shared" ref="D55:D68" si="21">C55*2*PI()/360</f>
        <v>1.5707963267948966</v>
      </c>
      <c r="E55" s="80">
        <f t="shared" ref="E55:E68" si="22">COS($K$49)*(COS(D55)*$S$49+$L$49)-SIN($K$49)*$M$49</f>
        <v>-22.910725369622735</v>
      </c>
      <c r="F55" s="81">
        <f t="shared" ref="F55:F68" si="23">SIN($K$49)*(COS(D55)*$S$49+$L$49)+COS($K$49)*$M$49</f>
        <v>102.24254037844386</v>
      </c>
      <c r="G55" s="82">
        <f t="shared" ref="G55:G68" si="24">-SIN(D55)*$S$49</f>
        <v>-100</v>
      </c>
      <c r="H55" s="80">
        <f>H54</f>
        <v>0.44588671901914623</v>
      </c>
      <c r="I55" s="81">
        <f>((SIN(I49)*COS(H49)+COS(I49)*SIN(G49)*SIN(H49))*(COS(O49)*P49-SIN(O49)*Q49)+COS(I49)*COS(G49)*(SIN(O49)*P49+COS(O49)*Q49)+(SIN(I49)*SIN(H49)-COS(I49)*SIN(G49)*COS(H49))*-T49)+E49</f>
        <v>125.46154105012687</v>
      </c>
      <c r="J55" s="82">
        <f>J54</f>
        <v>-367.52443006595769</v>
      </c>
      <c r="K55" s="80">
        <f t="shared" ref="K55:K68" si="25">E55-H55</f>
        <v>-23.356612088641882</v>
      </c>
      <c r="L55" s="81">
        <f t="shared" si="18"/>
        <v>-23.219000671683006</v>
      </c>
      <c r="M55" s="82">
        <f t="shared" si="18"/>
        <v>267.52443006595769</v>
      </c>
      <c r="N55" s="80">
        <f t="shared" ref="N55:N68" si="26">SQRT((K55)^2+(L55)^2+(M55)^2)</f>
        <v>269.54401125338768</v>
      </c>
      <c r="O55" s="83">
        <f t="shared" ref="O55:O68" si="27">ATAN(M55/K55)*180/PI()</f>
        <v>-85.010360115682928</v>
      </c>
      <c r="P55" s="80">
        <f t="shared" si="19"/>
        <v>0</v>
      </c>
      <c r="Q55" s="81">
        <f t="shared" ref="Q55:Q68" si="28">IF(N55&gt;$U$22,1,0)</f>
        <v>0</v>
      </c>
      <c r="R55" s="81">
        <f>X49-W49</f>
        <v>110</v>
      </c>
      <c r="S55" s="82">
        <f>W49-W49</f>
        <v>0</v>
      </c>
      <c r="T55" s="84">
        <f t="shared" si="20"/>
        <v>110</v>
      </c>
      <c r="U55" s="85" t="str">
        <f t="shared" ref="U55:U68" si="29">IF(ABS(N55-$M$5)&lt;0.1,"STOP!","-")</f>
        <v>-</v>
      </c>
      <c r="V55" s="77"/>
      <c r="W55" s="78"/>
      <c r="X55" s="79"/>
    </row>
    <row r="56" spans="1:24" x14ac:dyDescent="0.25">
      <c r="A56" s="129">
        <v>3</v>
      </c>
      <c r="B56" s="125">
        <f>(R55+S55)/2</f>
        <v>55</v>
      </c>
      <c r="C56" s="126">
        <f>B56+W49</f>
        <v>35</v>
      </c>
      <c r="D56" s="115">
        <f t="shared" si="21"/>
        <v>0.6108652381980153</v>
      </c>
      <c r="E56" s="80">
        <f t="shared" si="22"/>
        <v>-63.868327584072304</v>
      </c>
      <c r="F56" s="81">
        <f t="shared" si="23"/>
        <v>173.18318837006612</v>
      </c>
      <c r="G56" s="82">
        <f t="shared" si="24"/>
        <v>-57.357643635104608</v>
      </c>
      <c r="H56" s="80">
        <f>H54</f>
        <v>0.44588671901914623</v>
      </c>
      <c r="I56" s="81">
        <f>I54</f>
        <v>125.46154105012688</v>
      </c>
      <c r="J56" s="82">
        <f>J54</f>
        <v>-367.52443006595769</v>
      </c>
      <c r="K56" s="80">
        <f t="shared" si="25"/>
        <v>-64.314214303091447</v>
      </c>
      <c r="L56" s="81">
        <f t="shared" si="18"/>
        <v>47.721647319939237</v>
      </c>
      <c r="M56" s="82">
        <f t="shared" si="18"/>
        <v>310.16678643085311</v>
      </c>
      <c r="N56" s="80">
        <f t="shared" si="26"/>
        <v>320.33905348738716</v>
      </c>
      <c r="O56" s="83">
        <f t="shared" si="27"/>
        <v>-78.285518539749347</v>
      </c>
      <c r="P56" s="80">
        <f t="shared" si="19"/>
        <v>0</v>
      </c>
      <c r="Q56" s="81">
        <f t="shared" si="28"/>
        <v>0</v>
      </c>
      <c r="R56" s="81">
        <f>IF(Q56=0,B56,R55)</f>
        <v>55</v>
      </c>
      <c r="S56" s="82">
        <f>IF((Q56)&lt;&gt;0,B56,S55)</f>
        <v>0</v>
      </c>
      <c r="T56" s="84">
        <f t="shared" si="20"/>
        <v>55</v>
      </c>
      <c r="U56" s="86" t="str">
        <f t="shared" si="29"/>
        <v>-</v>
      </c>
      <c r="V56" s="77"/>
      <c r="W56" s="78"/>
      <c r="X56" s="79"/>
    </row>
    <row r="57" spans="1:24" x14ac:dyDescent="0.25">
      <c r="A57" s="129">
        <v>4</v>
      </c>
      <c r="B57" s="125">
        <f t="shared" ref="B57:B68" si="30">(R56+S56)/2</f>
        <v>27.5</v>
      </c>
      <c r="C57" s="126">
        <f>B57+W49</f>
        <v>7.5</v>
      </c>
      <c r="D57" s="115">
        <f t="shared" si="21"/>
        <v>0.1308996938995747</v>
      </c>
      <c r="E57" s="80">
        <f t="shared" si="22"/>
        <v>-72.482968438313222</v>
      </c>
      <c r="F57" s="81">
        <f t="shared" si="23"/>
        <v>188.10418401856995</v>
      </c>
      <c r="G57" s="82">
        <f t="shared" si="24"/>
        <v>-13.052619222005157</v>
      </c>
      <c r="H57" s="80">
        <f>H54</f>
        <v>0.44588671901914623</v>
      </c>
      <c r="I57" s="81">
        <f>I54</f>
        <v>125.46154105012688</v>
      </c>
      <c r="J57" s="82">
        <f>J54</f>
        <v>-367.52443006595769</v>
      </c>
      <c r="K57" s="80">
        <f t="shared" si="25"/>
        <v>-72.928855157332364</v>
      </c>
      <c r="L57" s="81">
        <f t="shared" si="18"/>
        <v>62.64264296844307</v>
      </c>
      <c r="M57" s="82">
        <f t="shared" si="18"/>
        <v>354.47181084395254</v>
      </c>
      <c r="N57" s="80">
        <f t="shared" si="26"/>
        <v>367.2778012834724</v>
      </c>
      <c r="O57" s="83">
        <f t="shared" si="27"/>
        <v>-78.37421794958847</v>
      </c>
      <c r="P57" s="80">
        <f t="shared" si="19"/>
        <v>0</v>
      </c>
      <c r="Q57" s="81">
        <f t="shared" si="28"/>
        <v>1</v>
      </c>
      <c r="R57" s="81">
        <f t="shared" ref="R57:R68" si="31">IF(Q57=0,B57,R56)</f>
        <v>55</v>
      </c>
      <c r="S57" s="82">
        <f t="shared" ref="S57:S68" si="32">IF((Q57)&lt;&gt;0,B57,S56)</f>
        <v>27.5</v>
      </c>
      <c r="T57" s="84">
        <f t="shared" si="20"/>
        <v>27.5</v>
      </c>
      <c r="U57" s="86" t="str">
        <f t="shared" si="29"/>
        <v>-</v>
      </c>
      <c r="V57" s="77"/>
      <c r="W57" s="78"/>
      <c r="X57" s="79"/>
    </row>
    <row r="58" spans="1:24" x14ac:dyDescent="0.25">
      <c r="A58" s="129">
        <v>5</v>
      </c>
      <c r="B58" s="125">
        <f t="shared" si="30"/>
        <v>41.25</v>
      </c>
      <c r="C58" s="126">
        <f>B58+W49</f>
        <v>21.25</v>
      </c>
      <c r="D58" s="115">
        <f t="shared" si="21"/>
        <v>0.37088246604879505</v>
      </c>
      <c r="E58" s="80">
        <f t="shared" si="22"/>
        <v>-69.511118833762637</v>
      </c>
      <c r="F58" s="81">
        <f t="shared" si="23"/>
        <v>182.95678951103486</v>
      </c>
      <c r="G58" s="82">
        <f t="shared" si="24"/>
        <v>-36.243803828370162</v>
      </c>
      <c r="H58" s="80">
        <f>H54</f>
        <v>0.44588671901914623</v>
      </c>
      <c r="I58" s="81">
        <f>I54</f>
        <v>125.46154105012688</v>
      </c>
      <c r="J58" s="82">
        <f>J54</f>
        <v>-367.52443006595769</v>
      </c>
      <c r="K58" s="80">
        <f t="shared" si="25"/>
        <v>-69.95700555278178</v>
      </c>
      <c r="L58" s="81">
        <f t="shared" si="18"/>
        <v>57.495248460907973</v>
      </c>
      <c r="M58" s="82">
        <f t="shared" si="18"/>
        <v>331.28062623758751</v>
      </c>
      <c r="N58" s="80">
        <f t="shared" si="26"/>
        <v>343.43345722550333</v>
      </c>
      <c r="O58" s="83">
        <f t="shared" si="27"/>
        <v>-78.075952610680801</v>
      </c>
      <c r="P58" s="80">
        <f t="shared" si="19"/>
        <v>0</v>
      </c>
      <c r="Q58" s="81">
        <f t="shared" si="28"/>
        <v>0</v>
      </c>
      <c r="R58" s="81">
        <f t="shared" si="31"/>
        <v>41.25</v>
      </c>
      <c r="S58" s="82">
        <f t="shared" si="32"/>
        <v>27.5</v>
      </c>
      <c r="T58" s="84">
        <f t="shared" si="20"/>
        <v>13.75</v>
      </c>
      <c r="U58" s="86" t="str">
        <f t="shared" si="29"/>
        <v>-</v>
      </c>
      <c r="V58" s="77"/>
      <c r="W58" s="78"/>
      <c r="X58" s="79"/>
    </row>
    <row r="59" spans="1:24" x14ac:dyDescent="0.25">
      <c r="A59" s="129">
        <v>6</v>
      </c>
      <c r="B59" s="125">
        <f t="shared" si="30"/>
        <v>34.375</v>
      </c>
      <c r="C59" s="126">
        <f>B59+W49</f>
        <v>14.375</v>
      </c>
      <c r="D59" s="115">
        <f t="shared" si="21"/>
        <v>0.25089107997418486</v>
      </c>
      <c r="E59" s="80">
        <f t="shared" si="22"/>
        <v>-71.345304387452373</v>
      </c>
      <c r="F59" s="81">
        <f t="shared" si="23"/>
        <v>186.13369208053433</v>
      </c>
      <c r="G59" s="82">
        <f t="shared" si="24"/>
        <v>-24.826723937371629</v>
      </c>
      <c r="H59" s="80">
        <f>H54</f>
        <v>0.44588671901914623</v>
      </c>
      <c r="I59" s="81">
        <f>I54</f>
        <v>125.46154105012688</v>
      </c>
      <c r="J59" s="82">
        <f>J54</f>
        <v>-367.52443006595769</v>
      </c>
      <c r="K59" s="80">
        <f t="shared" si="25"/>
        <v>-71.791191106471516</v>
      </c>
      <c r="L59" s="81">
        <f t="shared" si="18"/>
        <v>60.672151030407449</v>
      </c>
      <c r="M59" s="82">
        <f t="shared" si="18"/>
        <v>342.69770612858605</v>
      </c>
      <c r="N59" s="80">
        <f t="shared" si="26"/>
        <v>355.35447487957316</v>
      </c>
      <c r="O59" s="83">
        <f t="shared" si="27"/>
        <v>-78.168298689932982</v>
      </c>
      <c r="P59" s="80">
        <f t="shared" si="19"/>
        <v>0</v>
      </c>
      <c r="Q59" s="81">
        <f t="shared" si="28"/>
        <v>1</v>
      </c>
      <c r="R59" s="81">
        <f t="shared" si="31"/>
        <v>41.25</v>
      </c>
      <c r="S59" s="82">
        <f t="shared" si="32"/>
        <v>34.375</v>
      </c>
      <c r="T59" s="84">
        <f>R59-S59</f>
        <v>6.875</v>
      </c>
      <c r="U59" s="86" t="str">
        <f t="shared" si="29"/>
        <v>-</v>
      </c>
      <c r="V59" s="77"/>
      <c r="W59" s="78"/>
      <c r="X59" s="79"/>
    </row>
    <row r="60" spans="1:24" x14ac:dyDescent="0.25">
      <c r="A60" s="129">
        <v>7</v>
      </c>
      <c r="B60" s="125">
        <f t="shared" si="30"/>
        <v>37.8125</v>
      </c>
      <c r="C60" s="126">
        <f>B60+W49</f>
        <v>17.8125</v>
      </c>
      <c r="D60" s="115">
        <f>C60*2*PI()/360</f>
        <v>0.31088677301148998</v>
      </c>
      <c r="E60" s="80">
        <f t="shared" si="22"/>
        <v>-70.513859255318934</v>
      </c>
      <c r="F60" s="81">
        <f t="shared" si="23"/>
        <v>184.69358686797341</v>
      </c>
      <c r="G60" s="82">
        <f t="shared" si="24"/>
        <v>-30.59030200965535</v>
      </c>
      <c r="H60" s="80">
        <f>H54</f>
        <v>0.44588671901914623</v>
      </c>
      <c r="I60" s="81">
        <f>I54</f>
        <v>125.46154105012688</v>
      </c>
      <c r="J60" s="82">
        <f>J54</f>
        <v>-367.52443006595769</v>
      </c>
      <c r="K60" s="80">
        <f t="shared" si="25"/>
        <v>-70.959745974338077</v>
      </c>
      <c r="L60" s="81">
        <f t="shared" si="18"/>
        <v>59.232045817846526</v>
      </c>
      <c r="M60" s="82">
        <f t="shared" si="18"/>
        <v>336.93412805630231</v>
      </c>
      <c r="N60" s="80">
        <f t="shared" si="26"/>
        <v>349.38278069986615</v>
      </c>
      <c r="O60" s="83">
        <f t="shared" si="27"/>
        <v>-78.10706841111913</v>
      </c>
      <c r="P60" s="80">
        <f t="shared" si="19"/>
        <v>0</v>
      </c>
      <c r="Q60" s="81">
        <f t="shared" si="28"/>
        <v>0</v>
      </c>
      <c r="R60" s="81">
        <f t="shared" si="31"/>
        <v>37.8125</v>
      </c>
      <c r="S60" s="82">
        <f t="shared" si="32"/>
        <v>34.375</v>
      </c>
      <c r="T60" s="84">
        <f t="shared" ref="T60:T67" si="33">R60-S60</f>
        <v>3.4375</v>
      </c>
      <c r="U60" s="86" t="str">
        <f t="shared" si="29"/>
        <v>-</v>
      </c>
      <c r="V60" s="77"/>
      <c r="W60" s="78"/>
      <c r="X60" s="79"/>
    </row>
    <row r="61" spans="1:24" x14ac:dyDescent="0.25">
      <c r="A61" s="129">
        <v>8</v>
      </c>
      <c r="B61" s="125">
        <f t="shared" si="30"/>
        <v>36.09375</v>
      </c>
      <c r="C61" s="126">
        <f>B61+W49</f>
        <v>16.09375</v>
      </c>
      <c r="D61" s="115">
        <f t="shared" si="21"/>
        <v>0.28088892649283742</v>
      </c>
      <c r="E61" s="80">
        <f t="shared" si="22"/>
        <v>-70.951195308490099</v>
      </c>
      <c r="F61" s="81">
        <f t="shared" si="23"/>
        <v>185.45107513204749</v>
      </c>
      <c r="G61" s="82">
        <f t="shared" si="24"/>
        <v>-27.720984690503215</v>
      </c>
      <c r="H61" s="80">
        <f>H54</f>
        <v>0.44588671901914623</v>
      </c>
      <c r="I61" s="81">
        <f>I54</f>
        <v>125.46154105012688</v>
      </c>
      <c r="J61" s="82">
        <f>J54</f>
        <v>-367.52443006595769</v>
      </c>
      <c r="K61" s="80">
        <f t="shared" si="25"/>
        <v>-71.397082027509242</v>
      </c>
      <c r="L61" s="81">
        <f t="shared" si="18"/>
        <v>59.98953408192061</v>
      </c>
      <c r="M61" s="82">
        <f t="shared" si="18"/>
        <v>339.80344537545449</v>
      </c>
      <c r="N61" s="80">
        <f t="shared" si="26"/>
        <v>352.36723600590091</v>
      </c>
      <c r="O61" s="83">
        <f t="shared" si="27"/>
        <v>-78.134026404154312</v>
      </c>
      <c r="P61" s="80">
        <f t="shared" si="19"/>
        <v>0</v>
      </c>
      <c r="Q61" s="81">
        <f t="shared" si="28"/>
        <v>1</v>
      </c>
      <c r="R61" s="81">
        <f t="shared" si="31"/>
        <v>37.8125</v>
      </c>
      <c r="S61" s="82">
        <f t="shared" si="32"/>
        <v>36.09375</v>
      </c>
      <c r="T61" s="84">
        <f t="shared" si="33"/>
        <v>1.71875</v>
      </c>
      <c r="U61" s="86" t="str">
        <f t="shared" si="29"/>
        <v>-</v>
      </c>
      <c r="V61" s="77"/>
      <c r="W61" s="78"/>
      <c r="X61" s="79"/>
    </row>
    <row r="62" spans="1:24" x14ac:dyDescent="0.25">
      <c r="A62" s="129">
        <v>9</v>
      </c>
      <c r="B62" s="125">
        <f t="shared" si="30"/>
        <v>36.953125</v>
      </c>
      <c r="C62" s="126">
        <f>B62+W49</f>
        <v>16.953125</v>
      </c>
      <c r="D62" s="115">
        <f t="shared" si="21"/>
        <v>0.2958878497521637</v>
      </c>
      <c r="E62" s="80">
        <f t="shared" si="22"/>
        <v>-70.737906966544074</v>
      </c>
      <c r="F62" s="81">
        <f t="shared" si="23"/>
        <v>185.08164888713486</v>
      </c>
      <c r="G62" s="82">
        <f t="shared" si="24"/>
        <v>-29.158923196517833</v>
      </c>
      <c r="H62" s="80">
        <f>H54</f>
        <v>0.44588671901914623</v>
      </c>
      <c r="I62" s="81">
        <f>I54</f>
        <v>125.46154105012688</v>
      </c>
      <c r="J62" s="82">
        <f>J54</f>
        <v>-367.52443006595769</v>
      </c>
      <c r="K62" s="80">
        <f t="shared" si="25"/>
        <v>-71.183793685563217</v>
      </c>
      <c r="L62" s="81">
        <f t="shared" si="18"/>
        <v>59.620107837007978</v>
      </c>
      <c r="M62" s="82">
        <f t="shared" si="18"/>
        <v>338.36550686943986</v>
      </c>
      <c r="N62" s="80">
        <f t="shared" si="26"/>
        <v>350.87448750369163</v>
      </c>
      <c r="O62" s="83">
        <f t="shared" si="27"/>
        <v>-78.119619670447236</v>
      </c>
      <c r="P62" s="80">
        <f t="shared" si="19"/>
        <v>0</v>
      </c>
      <c r="Q62" s="81">
        <f t="shared" si="28"/>
        <v>1</v>
      </c>
      <c r="R62" s="81">
        <f t="shared" si="31"/>
        <v>37.8125</v>
      </c>
      <c r="S62" s="82">
        <f t="shared" si="32"/>
        <v>36.953125</v>
      </c>
      <c r="T62" s="84">
        <f t="shared" si="33"/>
        <v>0.859375</v>
      </c>
      <c r="U62" s="86" t="str">
        <f t="shared" si="29"/>
        <v>-</v>
      </c>
      <c r="V62" s="77"/>
      <c r="W62" s="78"/>
      <c r="X62" s="79"/>
    </row>
    <row r="63" spans="1:24" ht="15.75" thickBot="1" x14ac:dyDescent="0.3">
      <c r="A63" s="130">
        <v>10</v>
      </c>
      <c r="B63" s="122">
        <f t="shared" si="30"/>
        <v>37.3828125</v>
      </c>
      <c r="C63" s="123">
        <f>B63+W49</f>
        <v>17.3828125</v>
      </c>
      <c r="D63" s="119">
        <f t="shared" si="21"/>
        <v>0.30338731138182684</v>
      </c>
      <c r="E63" s="80">
        <f t="shared" si="22"/>
        <v>-70.627224938531256</v>
      </c>
      <c r="F63" s="81">
        <f t="shared" si="23"/>
        <v>184.88994199113191</v>
      </c>
      <c r="G63" s="82">
        <f t="shared" si="24"/>
        <v>-29.875452725630876</v>
      </c>
      <c r="H63" s="80">
        <f>H54</f>
        <v>0.44588671901914623</v>
      </c>
      <c r="I63" s="81">
        <f>I54</f>
        <v>125.46154105012688</v>
      </c>
      <c r="J63" s="82">
        <f>J54</f>
        <v>-367.52443006595769</v>
      </c>
      <c r="K63" s="80">
        <f t="shared" si="25"/>
        <v>-71.073111657550399</v>
      </c>
      <c r="L63" s="81">
        <f t="shared" si="18"/>
        <v>59.428400941005023</v>
      </c>
      <c r="M63" s="82">
        <f t="shared" si="18"/>
        <v>337.64897734032684</v>
      </c>
      <c r="N63" s="80">
        <f t="shared" si="26"/>
        <v>350.12848204346363</v>
      </c>
      <c r="O63" s="87">
        <f t="shared" si="27"/>
        <v>-78.113110428844067</v>
      </c>
      <c r="P63" s="80">
        <f t="shared" si="19"/>
        <v>0</v>
      </c>
      <c r="Q63" s="81">
        <f t="shared" si="28"/>
        <v>1</v>
      </c>
      <c r="R63" s="81">
        <f t="shared" si="31"/>
        <v>37.8125</v>
      </c>
      <c r="S63" s="82">
        <f t="shared" si="32"/>
        <v>37.3828125</v>
      </c>
      <c r="T63" s="90">
        <f t="shared" si="33"/>
        <v>0.4296875</v>
      </c>
      <c r="U63" s="91" t="str">
        <f t="shared" si="29"/>
        <v>-</v>
      </c>
      <c r="V63" s="77"/>
      <c r="W63" s="78"/>
      <c r="X63" s="79"/>
    </row>
    <row r="64" spans="1:24" ht="15.75" thickTop="1" x14ac:dyDescent="0.25">
      <c r="A64" s="124">
        <v>11</v>
      </c>
      <c r="B64" s="120">
        <f t="shared" si="30"/>
        <v>37.59765625</v>
      </c>
      <c r="C64" s="112">
        <f>B64+W49</f>
        <v>17.59765625</v>
      </c>
      <c r="D64" s="114">
        <f t="shared" si="21"/>
        <v>0.30713704219665838</v>
      </c>
      <c r="E64" s="71">
        <f t="shared" si="22"/>
        <v>-70.570877158866224</v>
      </c>
      <c r="F64" s="72">
        <f t="shared" si="23"/>
        <v>184.79234477385836</v>
      </c>
      <c r="G64" s="73">
        <f t="shared" si="24"/>
        <v>-30.233089913289994</v>
      </c>
      <c r="H64" s="71">
        <f>H54</f>
        <v>0.44588671901914623</v>
      </c>
      <c r="I64" s="72">
        <f>I54</f>
        <v>125.46154105012688</v>
      </c>
      <c r="J64" s="73">
        <f>J54</f>
        <v>-367.52443006595769</v>
      </c>
      <c r="K64" s="71">
        <f t="shared" si="25"/>
        <v>-71.016763877885367</v>
      </c>
      <c r="L64" s="72">
        <f t="shared" si="18"/>
        <v>59.330803723731478</v>
      </c>
      <c r="M64" s="73">
        <f t="shared" si="18"/>
        <v>337.29134015266771</v>
      </c>
      <c r="N64" s="71">
        <f t="shared" si="26"/>
        <v>349.75559061174971</v>
      </c>
      <c r="O64" s="83">
        <f t="shared" si="27"/>
        <v>-78.110030807579648</v>
      </c>
      <c r="P64" s="71">
        <f t="shared" si="19"/>
        <v>0</v>
      </c>
      <c r="Q64" s="72">
        <f t="shared" si="28"/>
        <v>0</v>
      </c>
      <c r="R64" s="72">
        <f t="shared" si="31"/>
        <v>37.59765625</v>
      </c>
      <c r="S64" s="73">
        <f t="shared" si="32"/>
        <v>37.3828125</v>
      </c>
      <c r="T64" s="84">
        <f t="shared" si="33"/>
        <v>0.21484375</v>
      </c>
      <c r="U64" s="86" t="str">
        <f t="shared" si="29"/>
        <v>-</v>
      </c>
      <c r="V64" s="77"/>
      <c r="W64" s="78"/>
      <c r="X64" s="79"/>
    </row>
    <row r="65" spans="1:24" x14ac:dyDescent="0.25">
      <c r="A65" s="51">
        <v>12</v>
      </c>
      <c r="B65" s="125">
        <f t="shared" si="30"/>
        <v>37.490234375</v>
      </c>
      <c r="C65" s="126">
        <f>B65+W49</f>
        <v>17.490234375</v>
      </c>
      <c r="D65" s="115">
        <f t="shared" si="21"/>
        <v>0.30526217678924261</v>
      </c>
      <c r="E65" s="80">
        <f t="shared" si="22"/>
        <v>-70.599134863922231</v>
      </c>
      <c r="F65" s="81">
        <f t="shared" si="23"/>
        <v>184.84128855472065</v>
      </c>
      <c r="G65" s="82">
        <f t="shared" si="24"/>
        <v>-30.054324141727346</v>
      </c>
      <c r="H65" s="80">
        <f>H54</f>
        <v>0.44588671901914623</v>
      </c>
      <c r="I65" s="81">
        <f>I54</f>
        <v>125.46154105012688</v>
      </c>
      <c r="J65" s="82">
        <f>J54</f>
        <v>-367.52443006595769</v>
      </c>
      <c r="K65" s="80">
        <f t="shared" si="25"/>
        <v>-71.045021582941374</v>
      </c>
      <c r="L65" s="81">
        <f t="shared" si="18"/>
        <v>59.379747504593766</v>
      </c>
      <c r="M65" s="82">
        <f t="shared" si="18"/>
        <v>337.47010592423032</v>
      </c>
      <c r="N65" s="80">
        <f t="shared" si="26"/>
        <v>349.94202648144613</v>
      </c>
      <c r="O65" s="83">
        <f t="shared" si="27"/>
        <v>-78.111555991274514</v>
      </c>
      <c r="P65" s="80">
        <f t="shared" si="19"/>
        <v>0</v>
      </c>
      <c r="Q65" s="81">
        <f t="shared" si="28"/>
        <v>0</v>
      </c>
      <c r="R65" s="81">
        <f t="shared" si="31"/>
        <v>37.490234375</v>
      </c>
      <c r="S65" s="82">
        <f t="shared" si="32"/>
        <v>37.3828125</v>
      </c>
      <c r="T65" s="84">
        <f t="shared" si="33"/>
        <v>0.107421875</v>
      </c>
      <c r="U65" s="86" t="str">
        <f t="shared" si="29"/>
        <v>STOP!</v>
      </c>
      <c r="V65" s="77"/>
      <c r="W65" s="78"/>
      <c r="X65" s="79"/>
    </row>
    <row r="66" spans="1:24" x14ac:dyDescent="0.25">
      <c r="A66" s="51">
        <v>13</v>
      </c>
      <c r="B66" s="125">
        <f t="shared" si="30"/>
        <v>37.4365234375</v>
      </c>
      <c r="C66" s="126">
        <f>B66+W49</f>
        <v>17.4365234375</v>
      </c>
      <c r="D66" s="115">
        <f t="shared" si="21"/>
        <v>0.30432474408553467</v>
      </c>
      <c r="E66" s="80">
        <f t="shared" si="22"/>
        <v>-70.613200861217678</v>
      </c>
      <c r="F66" s="81">
        <f t="shared" si="23"/>
        <v>184.86565157669551</v>
      </c>
      <c r="G66" s="82">
        <f t="shared" si="24"/>
        <v>-29.964901599957365</v>
      </c>
      <c r="H66" s="80">
        <f>H55</f>
        <v>0.44588671901914623</v>
      </c>
      <c r="I66" s="81">
        <f>I54</f>
        <v>125.46154105012688</v>
      </c>
      <c r="J66" s="82">
        <f>J54</f>
        <v>-367.52443006595769</v>
      </c>
      <c r="K66" s="80">
        <f t="shared" si="25"/>
        <v>-71.05908758023682</v>
      </c>
      <c r="L66" s="81">
        <f t="shared" si="18"/>
        <v>59.40411052656863</v>
      </c>
      <c r="M66" s="82">
        <f t="shared" si="18"/>
        <v>337.5595284660003</v>
      </c>
      <c r="N66" s="80">
        <f t="shared" si="26"/>
        <v>350.03525184383506</v>
      </c>
      <c r="O66" s="83">
        <f t="shared" si="27"/>
        <v>-78.112329556596606</v>
      </c>
      <c r="P66" s="80">
        <f t="shared" si="19"/>
        <v>0</v>
      </c>
      <c r="Q66" s="81">
        <f t="shared" si="28"/>
        <v>1</v>
      </c>
      <c r="R66" s="81">
        <f t="shared" si="31"/>
        <v>37.490234375</v>
      </c>
      <c r="S66" s="82">
        <f t="shared" si="32"/>
        <v>37.4365234375</v>
      </c>
      <c r="T66" s="84">
        <f t="shared" si="33"/>
        <v>5.37109375E-2</v>
      </c>
      <c r="U66" s="86" t="str">
        <f t="shared" si="29"/>
        <v>STOP!</v>
      </c>
      <c r="V66" s="77"/>
      <c r="W66" s="78"/>
      <c r="X66" s="79"/>
    </row>
    <row r="67" spans="1:24" x14ac:dyDescent="0.25">
      <c r="A67" s="51">
        <v>14</v>
      </c>
      <c r="B67" s="125">
        <f t="shared" si="30"/>
        <v>37.46337890625</v>
      </c>
      <c r="C67" s="126">
        <f>B67+W49</f>
        <v>17.46337890625</v>
      </c>
      <c r="D67" s="115">
        <f t="shared" si="21"/>
        <v>0.30479346043738864</v>
      </c>
      <c r="E67" s="80">
        <f t="shared" si="22"/>
        <v>-70.606173101795989</v>
      </c>
      <c r="F67" s="81">
        <f t="shared" si="23"/>
        <v>184.85347914031377</v>
      </c>
      <c r="G67" s="82">
        <f t="shared" si="24"/>
        <v>-30.009616167323884</v>
      </c>
      <c r="H67" s="80">
        <f>H56</f>
        <v>0.44588671901914623</v>
      </c>
      <c r="I67" s="81">
        <f>I54</f>
        <v>125.46154105012688</v>
      </c>
      <c r="J67" s="82">
        <f>J54</f>
        <v>-367.52443006595769</v>
      </c>
      <c r="K67" s="80">
        <f t="shared" si="25"/>
        <v>-71.052059820815131</v>
      </c>
      <c r="L67" s="81">
        <f t="shared" si="18"/>
        <v>59.391938090186883</v>
      </c>
      <c r="M67" s="82">
        <f t="shared" si="18"/>
        <v>337.5148138986338</v>
      </c>
      <c r="N67" s="80">
        <f t="shared" si="26"/>
        <v>349.98863855262317</v>
      </c>
      <c r="O67" s="83">
        <f t="shared" si="27"/>
        <v>-78.111941860160883</v>
      </c>
      <c r="P67" s="80">
        <f t="shared" si="19"/>
        <v>0</v>
      </c>
      <c r="Q67" s="81">
        <f t="shared" si="28"/>
        <v>0</v>
      </c>
      <c r="R67" s="81">
        <f t="shared" si="31"/>
        <v>37.46337890625</v>
      </c>
      <c r="S67" s="82">
        <f t="shared" si="32"/>
        <v>37.4365234375</v>
      </c>
      <c r="T67" s="84">
        <f t="shared" si="33"/>
        <v>2.685546875E-2</v>
      </c>
      <c r="U67" s="86" t="str">
        <f t="shared" si="29"/>
        <v>STOP!</v>
      </c>
      <c r="V67" s="77"/>
      <c r="W67" s="78"/>
      <c r="X67" s="79"/>
    </row>
    <row r="68" spans="1:24" ht="15.75" thickBot="1" x14ac:dyDescent="0.3">
      <c r="A68" s="127">
        <v>15</v>
      </c>
      <c r="B68" s="122">
        <f t="shared" si="30"/>
        <v>37.449951171875</v>
      </c>
      <c r="C68" s="123">
        <f>B68+W49</f>
        <v>17.449951171875</v>
      </c>
      <c r="D68" s="119">
        <f t="shared" si="21"/>
        <v>0.30455910226146166</v>
      </c>
      <c r="E68" s="92">
        <f t="shared" si="22"/>
        <v>-70.609688291409896</v>
      </c>
      <c r="F68" s="90">
        <f t="shared" si="23"/>
        <v>184.85956762732329</v>
      </c>
      <c r="G68" s="89">
        <f t="shared" si="24"/>
        <v>-29.987259707147068</v>
      </c>
      <c r="H68" s="92">
        <f>H57</f>
        <v>0.44588671901914623</v>
      </c>
      <c r="I68" s="90">
        <f>I54</f>
        <v>125.46154105012688</v>
      </c>
      <c r="J68" s="89">
        <f>J54</f>
        <v>-367.52443006595769</v>
      </c>
      <c r="K68" s="92">
        <f t="shared" si="25"/>
        <v>-71.055575010429038</v>
      </c>
      <c r="L68" s="90">
        <f t="shared" si="18"/>
        <v>59.398026577196404</v>
      </c>
      <c r="M68" s="89">
        <f t="shared" si="18"/>
        <v>337.53717035881061</v>
      </c>
      <c r="N68" s="92">
        <f t="shared" si="26"/>
        <v>350.01194504639523</v>
      </c>
      <c r="O68" s="87">
        <f t="shared" si="27"/>
        <v>-78.112135479986193</v>
      </c>
      <c r="P68" s="92">
        <f t="shared" si="19"/>
        <v>0</v>
      </c>
      <c r="Q68" s="90">
        <f t="shared" si="28"/>
        <v>1</v>
      </c>
      <c r="R68" s="90">
        <f t="shared" si="31"/>
        <v>37.46337890625</v>
      </c>
      <c r="S68" s="89">
        <f t="shared" si="32"/>
        <v>37.449951171875</v>
      </c>
      <c r="T68" s="90">
        <f>R68-S68</f>
        <v>1.3427734375E-2</v>
      </c>
      <c r="U68" s="91" t="str">
        <f t="shared" si="29"/>
        <v>STOP!</v>
      </c>
      <c r="V68" s="77"/>
      <c r="W68" s="78"/>
      <c r="X68" s="79"/>
    </row>
    <row r="69" spans="1:24" ht="15.75" thickTop="1" x14ac:dyDescent="0.25">
      <c r="E69" s="17"/>
      <c r="F69" s="15"/>
      <c r="G69" s="16"/>
      <c r="J69" s="16"/>
      <c r="M69" s="16"/>
      <c r="Q69" s="75"/>
      <c r="R69" s="75"/>
      <c r="U69" s="15"/>
      <c r="V69" s="15"/>
      <c r="W69" s="15"/>
    </row>
    <row r="70" spans="1:24" x14ac:dyDescent="0.25">
      <c r="D70" s="84"/>
      <c r="E70" s="48" t="s">
        <v>83</v>
      </c>
      <c r="F70" s="15"/>
      <c r="H70" s="48" t="s">
        <v>84</v>
      </c>
      <c r="I70" s="15"/>
      <c r="K70" s="48" t="s">
        <v>85</v>
      </c>
      <c r="L70" s="15"/>
      <c r="V70" s="15"/>
      <c r="W70" s="15"/>
    </row>
    <row r="71" spans="1:24" x14ac:dyDescent="0.25">
      <c r="D71" s="84"/>
      <c r="V71" s="15"/>
      <c r="W71" s="15"/>
    </row>
    <row r="72" spans="1:24" ht="15.75" thickBot="1" x14ac:dyDescent="0.3"/>
    <row r="73" spans="1:24" ht="15.75" thickBot="1" x14ac:dyDescent="0.3">
      <c r="A73" s="58">
        <f>IF(ABS($N$94-$M$5)&lt;0.1,1,-1)</f>
        <v>1</v>
      </c>
      <c r="D73" s="59" t="s">
        <v>59</v>
      </c>
      <c r="E73" s="60">
        <v>3</v>
      </c>
      <c r="V73" s="15"/>
      <c r="W73" s="61" t="s">
        <v>13</v>
      </c>
      <c r="X73" s="15"/>
    </row>
    <row r="74" spans="1:24" x14ac:dyDescent="0.25">
      <c r="D74" s="26" t="s">
        <v>7</v>
      </c>
      <c r="E74" s="26" t="s">
        <v>8</v>
      </c>
      <c r="F74" s="26" t="s">
        <v>9</v>
      </c>
      <c r="G74" s="26" t="s">
        <v>10</v>
      </c>
      <c r="H74" s="26" t="s">
        <v>11</v>
      </c>
      <c r="I74" s="26" t="s">
        <v>12</v>
      </c>
      <c r="J74" s="26"/>
      <c r="K74" s="26" t="s">
        <v>28</v>
      </c>
      <c r="L74" s="26" t="s">
        <v>55</v>
      </c>
      <c r="M74" s="26" t="s">
        <v>60</v>
      </c>
      <c r="N74" s="26"/>
      <c r="O74" s="26" t="s">
        <v>32</v>
      </c>
      <c r="P74" s="26" t="s">
        <v>57</v>
      </c>
      <c r="Q74" s="26" t="s">
        <v>61</v>
      </c>
      <c r="R74" s="26"/>
      <c r="S74" s="26" t="s">
        <v>16</v>
      </c>
      <c r="T74" s="26" t="s">
        <v>56</v>
      </c>
      <c r="U74" s="26" t="s">
        <v>17</v>
      </c>
      <c r="V74" s="15"/>
      <c r="W74" s="26" t="s">
        <v>14</v>
      </c>
      <c r="X74" s="26" t="s">
        <v>15</v>
      </c>
    </row>
    <row r="75" spans="1:24" x14ac:dyDescent="0.25">
      <c r="D75" s="47">
        <f>$B$4</f>
        <v>0</v>
      </c>
      <c r="E75" s="47">
        <f>$C$4</f>
        <v>75</v>
      </c>
      <c r="F75" s="47">
        <f>$D$4</f>
        <v>-373.17</v>
      </c>
      <c r="G75" s="47">
        <f>$E$4*2*PI()/360</f>
        <v>0.1308996938995747</v>
      </c>
      <c r="H75" s="47">
        <f>$F$4*2*PI()/360</f>
        <v>0.1308996938995747</v>
      </c>
      <c r="I75" s="47">
        <f>$G$4*2*PI()/360</f>
        <v>0.1308996938995747</v>
      </c>
      <c r="J75" s="23"/>
      <c r="K75" s="23">
        <f>$D$9*2*PI()/360</f>
        <v>2.0943951023931953</v>
      </c>
      <c r="L75" s="47">
        <f>$B$15</f>
        <v>100</v>
      </c>
      <c r="M75" s="23">
        <f>$D$12</f>
        <v>31.28</v>
      </c>
      <c r="N75" s="23"/>
      <c r="O75" s="23">
        <f>$K$9*2*PI()/360</f>
        <v>2.0943951023931953</v>
      </c>
      <c r="P75" s="47">
        <f>$I$15</f>
        <v>40</v>
      </c>
      <c r="Q75" s="23">
        <f>$K$12</f>
        <v>31.28</v>
      </c>
      <c r="R75" s="23"/>
      <c r="S75" s="47">
        <f>$L$5</f>
        <v>100</v>
      </c>
      <c r="T75" s="47">
        <f>$C$15</f>
        <v>0</v>
      </c>
      <c r="U75" s="47">
        <f>$M$5</f>
        <v>350</v>
      </c>
      <c r="V75" s="15"/>
      <c r="W75" s="47">
        <f>$I$5</f>
        <v>-20</v>
      </c>
      <c r="X75" s="47">
        <f>$J$5</f>
        <v>90</v>
      </c>
    </row>
    <row r="76" spans="1:24" x14ac:dyDescent="0.25">
      <c r="D76" s="28" t="s">
        <v>18</v>
      </c>
      <c r="E76" s="28" t="s">
        <v>18</v>
      </c>
      <c r="F76" s="28" t="s">
        <v>18</v>
      </c>
      <c r="G76" s="28" t="s">
        <v>20</v>
      </c>
      <c r="H76" s="28" t="s">
        <v>20</v>
      </c>
      <c r="I76" s="28" t="s">
        <v>20</v>
      </c>
      <c r="J76" s="28"/>
      <c r="K76" s="28" t="s">
        <v>20</v>
      </c>
      <c r="L76" s="28">
        <f>D71</f>
        <v>0</v>
      </c>
      <c r="M76" s="28" t="s">
        <v>18</v>
      </c>
      <c r="N76" s="28"/>
      <c r="O76" s="28" t="s">
        <v>20</v>
      </c>
      <c r="P76" s="28" t="s">
        <v>18</v>
      </c>
      <c r="Q76" s="28" t="s">
        <v>18</v>
      </c>
      <c r="R76" s="28"/>
      <c r="S76" s="28" t="s">
        <v>18</v>
      </c>
      <c r="T76" s="28" t="s">
        <v>18</v>
      </c>
      <c r="U76" s="28" t="s">
        <v>18</v>
      </c>
      <c r="V76" s="15"/>
      <c r="W76" s="28" t="s">
        <v>19</v>
      </c>
      <c r="X76" s="28" t="s">
        <v>19</v>
      </c>
    </row>
    <row r="78" spans="1:24" x14ac:dyDescent="0.25">
      <c r="B78" s="66" t="s">
        <v>62</v>
      </c>
      <c r="C78" s="66"/>
      <c r="E78" s="48" t="s">
        <v>63</v>
      </c>
      <c r="F78" s="15"/>
      <c r="G78" s="67" t="s">
        <v>64</v>
      </c>
      <c r="H78" s="108" t="s">
        <v>65</v>
      </c>
      <c r="I78" s="109"/>
      <c r="J78" s="110" t="s">
        <v>66</v>
      </c>
      <c r="K78" s="48" t="s">
        <v>67</v>
      </c>
      <c r="L78" s="15"/>
      <c r="M78" s="67" t="s">
        <v>68</v>
      </c>
      <c r="N78" s="48" t="s">
        <v>69</v>
      </c>
      <c r="O78" s="16"/>
      <c r="P78" s="37" t="s">
        <v>70</v>
      </c>
      <c r="R78" s="37" t="s">
        <v>71</v>
      </c>
      <c r="S78" s="16"/>
      <c r="T78" s="68" t="s">
        <v>72</v>
      </c>
      <c r="U78" s="16" t="s">
        <v>73</v>
      </c>
    </row>
    <row r="79" spans="1:24" ht="15.75" thickBot="1" x14ac:dyDescent="0.3">
      <c r="A79" s="46" t="s">
        <v>74</v>
      </c>
      <c r="B79" t="s">
        <v>75</v>
      </c>
      <c r="D79" s="43" t="s">
        <v>20</v>
      </c>
      <c r="E79" s="51" t="s">
        <v>39</v>
      </c>
      <c r="F79" s="42" t="s">
        <v>54</v>
      </c>
      <c r="G79" s="43" t="s">
        <v>40</v>
      </c>
      <c r="H79" s="51" t="s">
        <v>39</v>
      </c>
      <c r="I79" s="42" t="s">
        <v>54</v>
      </c>
      <c r="J79" s="43" t="s">
        <v>40</v>
      </c>
      <c r="K79" s="51" t="s">
        <v>39</v>
      </c>
      <c r="L79" s="42" t="s">
        <v>54</v>
      </c>
      <c r="M79" s="43" t="s">
        <v>40</v>
      </c>
      <c r="N79" s="51" t="s">
        <v>76</v>
      </c>
      <c r="O79" s="69" t="s">
        <v>77</v>
      </c>
      <c r="Q79" t="s">
        <v>78</v>
      </c>
      <c r="R79" t="s">
        <v>79</v>
      </c>
      <c r="S79" s="43" t="s">
        <v>80</v>
      </c>
      <c r="T79" t="s">
        <v>81</v>
      </c>
      <c r="U79" s="43" t="s">
        <v>82</v>
      </c>
      <c r="V79" s="46"/>
      <c r="X79" s="46"/>
    </row>
    <row r="80" spans="1:24" ht="15.75" thickTop="1" x14ac:dyDescent="0.25">
      <c r="A80" s="70">
        <v>1</v>
      </c>
      <c r="B80" s="120">
        <f>W75-W75</f>
        <v>0</v>
      </c>
      <c r="C80" s="112">
        <f>B80+W75</f>
        <v>-20</v>
      </c>
      <c r="D80" s="114">
        <f>C80*2*PI()/360</f>
        <v>-0.3490658503988659</v>
      </c>
      <c r="E80" s="71">
        <f>COS($K$75)*(COS(D80)*$S$75+$L$75)-SIN($K$75)*$M$75</f>
        <v>-124.07390566967263</v>
      </c>
      <c r="F80" s="72">
        <f>SIN($K$75)*(COS(D80)*$S$75+$L$75)+COS($K$75)*$M$75</f>
        <v>152.34230851338125</v>
      </c>
      <c r="G80" s="73">
        <f>-SIN(D80)*$S$75</f>
        <v>34.202014332566868</v>
      </c>
      <c r="H80" s="71">
        <f>D75-COS(G75)*(Q75*COS(O75)+P75*SIN(O75))*SIN(I75)-T75*(COS(I75)*SIN(H75)+COS(H75)*SIN(G75)*SIN(I75))+(P75*COS(O75)-Q75*SIN(O75))*(COS(H75)*COS(I75)-SIN(G75)*SIN(H75)*SIN(I75))</f>
        <v>-48.641206523530371</v>
      </c>
      <c r="I80" s="72">
        <f>E75+COS(G75)*COS(I75)*(Q75*COS(O75)+P75*SIN(O75))+(P75*COS(O75)-Q75*SIN(O75))*(COS(I75)*SIN(G75)*SIN(H75)+COS(H75)*SIN(I75))+T75*(COS(I75)*COS(H75)*SIN(G75)-SIN(H75)*SIN(I75))</f>
        <v>86.788093060087348</v>
      </c>
      <c r="J80" s="73">
        <f>F75+Q75*COS(O75)*SIN(G75)+P75*SIN(O75)*SIN(G75)-COS(G75)*(T75*COS(H75)+(P75*COS(O75)-Q75*SIN(O75))*SIN(H75))</f>
        <v>-364.59606916624671</v>
      </c>
      <c r="K80" s="71">
        <f>E80-H80</f>
        <v>-75.432699146142255</v>
      </c>
      <c r="L80" s="72">
        <f t="shared" ref="L80:M94" si="34">F80-I80</f>
        <v>65.554215453293907</v>
      </c>
      <c r="M80" s="73">
        <f>G80-J80</f>
        <v>398.79808349881358</v>
      </c>
      <c r="N80" s="71">
        <f>SQRT((K80)^2+(L80)^2+(M80)^2)</f>
        <v>411.1293697444832</v>
      </c>
      <c r="O80" s="74">
        <f>ATAN(M80/K80)*180/PI()</f>
        <v>-79.289038999797896</v>
      </c>
      <c r="P80" s="71">
        <f t="shared" ref="P80:P94" si="35">IF(K80/N80&lt;E80/$L$5,1,0)</f>
        <v>0</v>
      </c>
      <c r="Q80" s="72">
        <f>IF(N80&gt;$U$22,1,0)</f>
        <v>1</v>
      </c>
      <c r="R80" s="72">
        <f>X75-W75</f>
        <v>110</v>
      </c>
      <c r="S80" s="73">
        <v>0</v>
      </c>
      <c r="T80" s="72">
        <f t="shared" ref="T80:T84" si="36">R80-S80</f>
        <v>110</v>
      </c>
      <c r="U80" s="76" t="str">
        <f>IF(ABS(N80-U75)&lt;0.1,"STOP!","-")</f>
        <v>-</v>
      </c>
      <c r="V80" s="77"/>
      <c r="W80" s="78"/>
      <c r="X80" s="79"/>
    </row>
    <row r="81" spans="1:24" x14ac:dyDescent="0.25">
      <c r="A81" s="68">
        <v>2</v>
      </c>
      <c r="B81" s="121">
        <f>X75-W75</f>
        <v>110</v>
      </c>
      <c r="C81" s="113">
        <f>B81+W75</f>
        <v>90</v>
      </c>
      <c r="D81" s="115">
        <f t="shared" ref="D81:D94" si="37">C81*2*PI()/360</f>
        <v>1.5707963267948966</v>
      </c>
      <c r="E81" s="80">
        <f t="shared" ref="E81:E94" si="38">COS($K$75)*(COS(D81)*$S$75+$L$75)-SIN($K$75)*$M$75</f>
        <v>-77.089274630377219</v>
      </c>
      <c r="F81" s="81">
        <f t="shared" ref="F81:F94" si="39">SIN($K$75)*(COS(D81)*$S$75+$L$75)+COS($K$75)*$M$75</f>
        <v>70.96254037844389</v>
      </c>
      <c r="G81" s="82">
        <f t="shared" ref="G81:G94" si="40">-SIN(D81)*$S$75</f>
        <v>-100</v>
      </c>
      <c r="H81" s="80">
        <f>H80</f>
        <v>-48.641206523530371</v>
      </c>
      <c r="I81" s="81">
        <f>((SIN(I75)*COS(H75)+COS(I75)*SIN(G75)*SIN(H75))*(COS(O75)*P75-SIN(O75)*Q75)+COS(I75)*COS(G75)*(SIN(O75)*P75+COS(O75)*Q75)+(SIN(I75)*SIN(H75)-COS(I75)*SIN(G75)*COS(H75))*-T75)+E75</f>
        <v>86.788093060087348</v>
      </c>
      <c r="J81" s="82">
        <f>J80</f>
        <v>-364.59606916624671</v>
      </c>
      <c r="K81" s="80">
        <f t="shared" ref="K81:K94" si="41">E81-H81</f>
        <v>-28.448068106846847</v>
      </c>
      <c r="L81" s="81">
        <f t="shared" si="34"/>
        <v>-15.825552681643458</v>
      </c>
      <c r="M81" s="82">
        <f t="shared" si="34"/>
        <v>264.59606916624671</v>
      </c>
      <c r="N81" s="80">
        <f t="shared" ref="N81:N94" si="42">SQRT((K81)^2+(L81)^2+(M81)^2)</f>
        <v>266.59111109510098</v>
      </c>
      <c r="O81" s="83">
        <f t="shared" ref="O81:O94" si="43">ATAN(M81/K81)*180/PI()</f>
        <v>-83.863412391127071</v>
      </c>
      <c r="P81" s="80">
        <f t="shared" si="35"/>
        <v>0</v>
      </c>
      <c r="Q81" s="81">
        <f t="shared" ref="Q81:Q94" si="44">IF(N81&gt;$U$22,1,0)</f>
        <v>0</v>
      </c>
      <c r="R81" s="81">
        <f>X75-W75</f>
        <v>110</v>
      </c>
      <c r="S81" s="82">
        <f>W75-W75</f>
        <v>0</v>
      </c>
      <c r="T81" s="84">
        <f t="shared" si="36"/>
        <v>110</v>
      </c>
      <c r="U81" s="85" t="str">
        <f t="shared" ref="U81:U94" si="45">IF(ABS(N81-$M$5)&lt;0.1,"STOP!","-")</f>
        <v>-</v>
      </c>
      <c r="V81" s="77"/>
      <c r="W81" s="78"/>
      <c r="X81" s="79"/>
    </row>
    <row r="82" spans="1:24" x14ac:dyDescent="0.25">
      <c r="A82" s="68">
        <v>3</v>
      </c>
      <c r="B82" s="121">
        <f>(R81+S81)/2</f>
        <v>55</v>
      </c>
      <c r="C82" s="113">
        <f>B82+W75</f>
        <v>35</v>
      </c>
      <c r="D82" s="115">
        <f t="shared" si="37"/>
        <v>0.6108652381980153</v>
      </c>
      <c r="E82" s="80">
        <f t="shared" si="38"/>
        <v>-118.0468768448268</v>
      </c>
      <c r="F82" s="81">
        <f t="shared" si="39"/>
        <v>141.90318837006615</v>
      </c>
      <c r="G82" s="82">
        <f t="shared" si="40"/>
        <v>-57.357643635104608</v>
      </c>
      <c r="H82" s="80">
        <f>H80</f>
        <v>-48.641206523530371</v>
      </c>
      <c r="I82" s="81">
        <f>I80</f>
        <v>86.788093060087348</v>
      </c>
      <c r="J82" s="82">
        <f>J80</f>
        <v>-364.59606916624671</v>
      </c>
      <c r="K82" s="80">
        <f t="shared" si="41"/>
        <v>-69.405670321296427</v>
      </c>
      <c r="L82" s="81">
        <f t="shared" si="34"/>
        <v>55.115095309978798</v>
      </c>
      <c r="M82" s="82">
        <f t="shared" si="34"/>
        <v>307.23842553114207</v>
      </c>
      <c r="N82" s="80">
        <f t="shared" si="42"/>
        <v>319.76596273936298</v>
      </c>
      <c r="O82" s="83">
        <f t="shared" si="43"/>
        <v>-77.2704540363017</v>
      </c>
      <c r="P82" s="80">
        <f t="shared" si="35"/>
        <v>0</v>
      </c>
      <c r="Q82" s="81">
        <f t="shared" si="44"/>
        <v>0</v>
      </c>
      <c r="R82" s="81">
        <f>IF(Q82=0,B82,R81)</f>
        <v>55</v>
      </c>
      <c r="S82" s="82">
        <f>IF((Q82)&lt;&gt;0,B82,S81)</f>
        <v>0</v>
      </c>
      <c r="T82" s="84">
        <f t="shared" si="36"/>
        <v>55</v>
      </c>
      <c r="U82" s="86" t="str">
        <f t="shared" si="45"/>
        <v>-</v>
      </c>
      <c r="V82" s="77"/>
      <c r="W82" s="78"/>
      <c r="X82" s="79"/>
    </row>
    <row r="83" spans="1:24" x14ac:dyDescent="0.25">
      <c r="A83" s="68">
        <v>4</v>
      </c>
      <c r="B83" s="121">
        <f t="shared" ref="B83:B94" si="46">(R82+S82)/2</f>
        <v>27.5</v>
      </c>
      <c r="C83" s="113">
        <f>B83+W75</f>
        <v>7.5</v>
      </c>
      <c r="D83" s="115">
        <f t="shared" si="37"/>
        <v>0.1308996938995747</v>
      </c>
      <c r="E83" s="80">
        <f t="shared" si="38"/>
        <v>-126.66151769906772</v>
      </c>
      <c r="F83" s="81">
        <f t="shared" si="39"/>
        <v>156.82418401856998</v>
      </c>
      <c r="G83" s="82">
        <f t="shared" si="40"/>
        <v>-13.052619222005157</v>
      </c>
      <c r="H83" s="80">
        <f>H80</f>
        <v>-48.641206523530371</v>
      </c>
      <c r="I83" s="81">
        <f>I80</f>
        <v>86.788093060087348</v>
      </c>
      <c r="J83" s="82">
        <f>J80</f>
        <v>-364.59606916624671</v>
      </c>
      <c r="K83" s="80">
        <f t="shared" si="41"/>
        <v>-78.020311175537344</v>
      </c>
      <c r="L83" s="81">
        <f t="shared" si="34"/>
        <v>70.036090958482632</v>
      </c>
      <c r="M83" s="82">
        <f t="shared" si="34"/>
        <v>351.54344994424156</v>
      </c>
      <c r="N83" s="80">
        <f t="shared" si="42"/>
        <v>366.84468129083183</v>
      </c>
      <c r="O83" s="83">
        <f t="shared" si="43"/>
        <v>-77.486795344912778</v>
      </c>
      <c r="P83" s="80">
        <f t="shared" si="35"/>
        <v>0</v>
      </c>
      <c r="Q83" s="81">
        <f t="shared" si="44"/>
        <v>1</v>
      </c>
      <c r="R83" s="81">
        <f t="shared" ref="R83:R94" si="47">IF(Q83=0,B83,R82)</f>
        <v>55</v>
      </c>
      <c r="S83" s="82">
        <f t="shared" ref="S83:S94" si="48">IF((Q83)&lt;&gt;0,B83,S82)</f>
        <v>27.5</v>
      </c>
      <c r="T83" s="84">
        <f t="shared" si="36"/>
        <v>27.5</v>
      </c>
      <c r="U83" s="86" t="str">
        <f t="shared" si="45"/>
        <v>-</v>
      </c>
      <c r="V83" s="77"/>
      <c r="W83" s="78"/>
      <c r="X83" s="79"/>
    </row>
    <row r="84" spans="1:24" x14ac:dyDescent="0.25">
      <c r="A84" s="68">
        <v>5</v>
      </c>
      <c r="B84" s="121">
        <f t="shared" si="46"/>
        <v>41.25</v>
      </c>
      <c r="C84" s="113">
        <f>B84+W75</f>
        <v>21.25</v>
      </c>
      <c r="D84" s="115">
        <f t="shared" si="37"/>
        <v>0.37088246604879505</v>
      </c>
      <c r="E84" s="80">
        <f t="shared" si="38"/>
        <v>-123.68966809451713</v>
      </c>
      <c r="F84" s="81">
        <f t="shared" si="39"/>
        <v>151.67678951103488</v>
      </c>
      <c r="G84" s="82">
        <f t="shared" si="40"/>
        <v>-36.243803828370162</v>
      </c>
      <c r="H84" s="80">
        <f>H80</f>
        <v>-48.641206523530371</v>
      </c>
      <c r="I84" s="81">
        <f>I80</f>
        <v>86.788093060087348</v>
      </c>
      <c r="J84" s="82">
        <f>J80</f>
        <v>-364.59606916624671</v>
      </c>
      <c r="K84" s="80">
        <f t="shared" si="41"/>
        <v>-75.04846157098676</v>
      </c>
      <c r="L84" s="81">
        <f t="shared" si="34"/>
        <v>64.888696450947535</v>
      </c>
      <c r="M84" s="82">
        <f t="shared" si="34"/>
        <v>328.35226533787653</v>
      </c>
      <c r="N84" s="80">
        <f t="shared" si="42"/>
        <v>343.01315523430054</v>
      </c>
      <c r="O84" s="83">
        <f t="shared" si="43"/>
        <v>-77.125576328344152</v>
      </c>
      <c r="P84" s="80">
        <f t="shared" si="35"/>
        <v>0</v>
      </c>
      <c r="Q84" s="81">
        <f t="shared" si="44"/>
        <v>0</v>
      </c>
      <c r="R84" s="81">
        <f t="shared" si="47"/>
        <v>41.25</v>
      </c>
      <c r="S84" s="82">
        <f t="shared" si="48"/>
        <v>27.5</v>
      </c>
      <c r="T84" s="84">
        <f t="shared" si="36"/>
        <v>13.75</v>
      </c>
      <c r="U84" s="86" t="str">
        <f t="shared" si="45"/>
        <v>-</v>
      </c>
      <c r="V84" s="77"/>
      <c r="W84" s="78"/>
      <c r="X84" s="79"/>
    </row>
    <row r="85" spans="1:24" x14ac:dyDescent="0.25">
      <c r="A85" s="68">
        <v>6</v>
      </c>
      <c r="B85" s="121">
        <f t="shared" si="46"/>
        <v>34.375</v>
      </c>
      <c r="C85" s="113">
        <f>B85+W75</f>
        <v>14.375</v>
      </c>
      <c r="D85" s="115">
        <f t="shared" si="37"/>
        <v>0.25089107997418486</v>
      </c>
      <c r="E85" s="80">
        <f t="shared" si="38"/>
        <v>-125.52385364820687</v>
      </c>
      <c r="F85" s="81">
        <f t="shared" si="39"/>
        <v>154.85369208053436</v>
      </c>
      <c r="G85" s="82">
        <f t="shared" si="40"/>
        <v>-24.826723937371629</v>
      </c>
      <c r="H85" s="80">
        <f>H80</f>
        <v>-48.641206523530371</v>
      </c>
      <c r="I85" s="81">
        <f>I80</f>
        <v>86.788093060087348</v>
      </c>
      <c r="J85" s="82">
        <f>J80</f>
        <v>-364.59606916624671</v>
      </c>
      <c r="K85" s="80">
        <f t="shared" si="41"/>
        <v>-76.882647124676495</v>
      </c>
      <c r="L85" s="81">
        <f t="shared" si="34"/>
        <v>68.06559902044701</v>
      </c>
      <c r="M85" s="82">
        <f t="shared" si="34"/>
        <v>339.76934522887507</v>
      </c>
      <c r="N85" s="80">
        <f t="shared" si="42"/>
        <v>354.94658070781338</v>
      </c>
      <c r="O85" s="83">
        <f t="shared" si="43"/>
        <v>-77.249888740007805</v>
      </c>
      <c r="P85" s="80">
        <f t="shared" si="35"/>
        <v>0</v>
      </c>
      <c r="Q85" s="81">
        <f t="shared" si="44"/>
        <v>1</v>
      </c>
      <c r="R85" s="81">
        <f t="shared" si="47"/>
        <v>41.25</v>
      </c>
      <c r="S85" s="82">
        <f t="shared" si="48"/>
        <v>34.375</v>
      </c>
      <c r="T85" s="84">
        <f>R85-S85</f>
        <v>6.875</v>
      </c>
      <c r="U85" s="86" t="str">
        <f t="shared" si="45"/>
        <v>-</v>
      </c>
      <c r="V85" s="77"/>
      <c r="W85" s="78"/>
      <c r="X85" s="79"/>
    </row>
    <row r="86" spans="1:24" x14ac:dyDescent="0.25">
      <c r="A86" s="68">
        <v>7</v>
      </c>
      <c r="B86" s="121">
        <f t="shared" si="46"/>
        <v>37.8125</v>
      </c>
      <c r="C86" s="113">
        <f>B86+W75</f>
        <v>17.8125</v>
      </c>
      <c r="D86" s="115">
        <f>C86*2*PI()/360</f>
        <v>0.31088677301148998</v>
      </c>
      <c r="E86" s="80">
        <f t="shared" si="38"/>
        <v>-124.69240851607343</v>
      </c>
      <c r="F86" s="81">
        <f t="shared" si="39"/>
        <v>153.41358686797344</v>
      </c>
      <c r="G86" s="82">
        <f t="shared" si="40"/>
        <v>-30.59030200965535</v>
      </c>
      <c r="H86" s="80">
        <f>H80</f>
        <v>-48.641206523530371</v>
      </c>
      <c r="I86" s="81">
        <f>I80</f>
        <v>86.788093060087348</v>
      </c>
      <c r="J86" s="82">
        <f>J80</f>
        <v>-364.59606916624671</v>
      </c>
      <c r="K86" s="80">
        <f t="shared" si="41"/>
        <v>-76.051201992543056</v>
      </c>
      <c r="L86" s="81">
        <f t="shared" si="34"/>
        <v>66.625493807886087</v>
      </c>
      <c r="M86" s="82">
        <f t="shared" si="34"/>
        <v>334.00576715659133</v>
      </c>
      <c r="N86" s="80">
        <f t="shared" si="42"/>
        <v>348.97362972511024</v>
      </c>
      <c r="O86" s="83">
        <f t="shared" si="43"/>
        <v>-77.172769252307646</v>
      </c>
      <c r="P86" s="80">
        <f t="shared" si="35"/>
        <v>0</v>
      </c>
      <c r="Q86" s="81">
        <f t="shared" si="44"/>
        <v>0</v>
      </c>
      <c r="R86" s="81">
        <f t="shared" si="47"/>
        <v>37.8125</v>
      </c>
      <c r="S86" s="82">
        <f t="shared" si="48"/>
        <v>34.375</v>
      </c>
      <c r="T86" s="84">
        <f t="shared" ref="T86:T93" si="49">R86-S86</f>
        <v>3.4375</v>
      </c>
      <c r="U86" s="86" t="str">
        <f t="shared" si="45"/>
        <v>-</v>
      </c>
      <c r="V86" s="77"/>
      <c r="W86" s="78"/>
      <c r="X86" s="79"/>
    </row>
    <row r="87" spans="1:24" x14ac:dyDescent="0.25">
      <c r="A87" s="68">
        <v>8</v>
      </c>
      <c r="B87" s="121">
        <f t="shared" si="46"/>
        <v>36.09375</v>
      </c>
      <c r="C87" s="113">
        <f>B87+W75</f>
        <v>16.09375</v>
      </c>
      <c r="D87" s="115">
        <f t="shared" si="37"/>
        <v>0.28088892649283742</v>
      </c>
      <c r="E87" s="80">
        <f t="shared" si="38"/>
        <v>-125.12974456924459</v>
      </c>
      <c r="F87" s="81">
        <f t="shared" si="39"/>
        <v>154.17107513204752</v>
      </c>
      <c r="G87" s="82">
        <f t="shared" si="40"/>
        <v>-27.720984690503215</v>
      </c>
      <c r="H87" s="80">
        <f>H80</f>
        <v>-48.641206523530371</v>
      </c>
      <c r="I87" s="81">
        <f>I80</f>
        <v>86.788093060087348</v>
      </c>
      <c r="J87" s="82">
        <f>J80</f>
        <v>-364.59606916624671</v>
      </c>
      <c r="K87" s="80">
        <f t="shared" si="41"/>
        <v>-76.488538045714222</v>
      </c>
      <c r="L87" s="81">
        <f t="shared" si="34"/>
        <v>67.382982071960171</v>
      </c>
      <c r="M87" s="82">
        <f t="shared" si="34"/>
        <v>336.87508447574351</v>
      </c>
      <c r="N87" s="80">
        <f t="shared" si="42"/>
        <v>351.95991997075475</v>
      </c>
      <c r="O87" s="83">
        <f t="shared" si="43"/>
        <v>-77.207699219050738</v>
      </c>
      <c r="P87" s="80">
        <f t="shared" si="35"/>
        <v>0</v>
      </c>
      <c r="Q87" s="81">
        <f t="shared" si="44"/>
        <v>1</v>
      </c>
      <c r="R87" s="81">
        <f t="shared" si="47"/>
        <v>37.8125</v>
      </c>
      <c r="S87" s="82">
        <f t="shared" si="48"/>
        <v>36.09375</v>
      </c>
      <c r="T87" s="84">
        <f t="shared" si="49"/>
        <v>1.71875</v>
      </c>
      <c r="U87" s="86" t="str">
        <f t="shared" si="45"/>
        <v>-</v>
      </c>
      <c r="V87" s="77"/>
      <c r="W87" s="78"/>
      <c r="X87" s="79"/>
    </row>
    <row r="88" spans="1:24" x14ac:dyDescent="0.25">
      <c r="A88" s="68">
        <v>9</v>
      </c>
      <c r="B88" s="121">
        <f t="shared" si="46"/>
        <v>36.953125</v>
      </c>
      <c r="C88" s="113">
        <f>B88+W75</f>
        <v>16.953125</v>
      </c>
      <c r="D88" s="115">
        <f t="shared" si="37"/>
        <v>0.2958878497521637</v>
      </c>
      <c r="E88" s="80">
        <f t="shared" si="38"/>
        <v>-124.91645622729857</v>
      </c>
      <c r="F88" s="81">
        <f t="shared" si="39"/>
        <v>153.80164888713489</v>
      </c>
      <c r="G88" s="82">
        <f t="shared" si="40"/>
        <v>-29.158923196517833</v>
      </c>
      <c r="H88" s="80">
        <f>H80</f>
        <v>-48.641206523530371</v>
      </c>
      <c r="I88" s="81">
        <f>I80</f>
        <v>86.788093060087348</v>
      </c>
      <c r="J88" s="82">
        <f>J80</f>
        <v>-364.59606916624671</v>
      </c>
      <c r="K88" s="80">
        <f t="shared" si="41"/>
        <v>-76.275249703768196</v>
      </c>
      <c r="L88" s="81">
        <f t="shared" si="34"/>
        <v>67.01355582704754</v>
      </c>
      <c r="M88" s="82">
        <f t="shared" si="34"/>
        <v>335.43714596972887</v>
      </c>
      <c r="N88" s="80">
        <f t="shared" si="42"/>
        <v>350.46655942939009</v>
      </c>
      <c r="O88" s="83">
        <f t="shared" si="43"/>
        <v>-77.189312877220303</v>
      </c>
      <c r="P88" s="80">
        <f t="shared" si="35"/>
        <v>0</v>
      </c>
      <c r="Q88" s="81">
        <f t="shared" si="44"/>
        <v>1</v>
      </c>
      <c r="R88" s="81">
        <f t="shared" si="47"/>
        <v>37.8125</v>
      </c>
      <c r="S88" s="82">
        <f t="shared" si="48"/>
        <v>36.953125</v>
      </c>
      <c r="T88" s="84">
        <f t="shared" si="49"/>
        <v>0.859375</v>
      </c>
      <c r="U88" s="86" t="str">
        <f t="shared" si="45"/>
        <v>-</v>
      </c>
      <c r="V88" s="77"/>
      <c r="W88" s="78"/>
      <c r="X88" s="79"/>
    </row>
    <row r="89" spans="1:24" ht="15.75" thickBot="1" x14ac:dyDescent="0.3">
      <c r="A89" s="68">
        <v>10</v>
      </c>
      <c r="B89" s="121">
        <f t="shared" si="46"/>
        <v>37.3828125</v>
      </c>
      <c r="C89" s="113">
        <f>B89+W75</f>
        <v>17.3828125</v>
      </c>
      <c r="D89" s="115">
        <f t="shared" si="37"/>
        <v>0.30338731138182684</v>
      </c>
      <c r="E89" s="80">
        <f t="shared" si="38"/>
        <v>-124.80577419928575</v>
      </c>
      <c r="F89" s="81">
        <f t="shared" si="39"/>
        <v>153.60994199113193</v>
      </c>
      <c r="G89" s="82">
        <f t="shared" si="40"/>
        <v>-29.875452725630876</v>
      </c>
      <c r="H89" s="80">
        <f>H80</f>
        <v>-48.641206523530371</v>
      </c>
      <c r="I89" s="81">
        <f>I80</f>
        <v>86.788093060087348</v>
      </c>
      <c r="J89" s="82">
        <f>J80</f>
        <v>-364.59606916624671</v>
      </c>
      <c r="K89" s="80">
        <f t="shared" si="41"/>
        <v>-76.164567675755379</v>
      </c>
      <c r="L89" s="81">
        <f t="shared" si="34"/>
        <v>66.821848931044585</v>
      </c>
      <c r="M89" s="82">
        <f t="shared" si="34"/>
        <v>334.72061644061586</v>
      </c>
      <c r="N89" s="80">
        <f t="shared" si="42"/>
        <v>349.72001935002794</v>
      </c>
      <c r="O89" s="87">
        <f t="shared" si="43"/>
        <v>-77.180808987717811</v>
      </c>
      <c r="P89" s="80">
        <f t="shared" si="35"/>
        <v>0</v>
      </c>
      <c r="Q89" s="81">
        <f t="shared" si="44"/>
        <v>0</v>
      </c>
      <c r="R89" s="81">
        <f t="shared" si="47"/>
        <v>37.3828125</v>
      </c>
      <c r="S89" s="82">
        <f t="shared" si="48"/>
        <v>36.953125</v>
      </c>
      <c r="T89" s="90">
        <f t="shared" si="49"/>
        <v>0.4296875</v>
      </c>
      <c r="U89" s="91" t="str">
        <f t="shared" si="45"/>
        <v>-</v>
      </c>
      <c r="V89" s="77"/>
      <c r="W89" s="78"/>
      <c r="X89" s="79"/>
    </row>
    <row r="90" spans="1:24" ht="15.75" thickTop="1" x14ac:dyDescent="0.25">
      <c r="A90" s="124">
        <v>11</v>
      </c>
      <c r="B90" s="120">
        <f t="shared" si="46"/>
        <v>37.16796875</v>
      </c>
      <c r="C90" s="112">
        <f>B90+W75</f>
        <v>17.16796875</v>
      </c>
      <c r="D90" s="114">
        <f t="shared" si="37"/>
        <v>0.29963758056699524</v>
      </c>
      <c r="E90" s="71">
        <f t="shared" si="38"/>
        <v>-124.86145106279255</v>
      </c>
      <c r="F90" s="72">
        <f t="shared" si="39"/>
        <v>153.70637714753178</v>
      </c>
      <c r="G90" s="73">
        <f t="shared" si="40"/>
        <v>-29.51739547522304</v>
      </c>
      <c r="H90" s="71">
        <f>H80</f>
        <v>-48.641206523530371</v>
      </c>
      <c r="I90" s="72">
        <f>I80</f>
        <v>86.788093060087348</v>
      </c>
      <c r="J90" s="73">
        <f>J80</f>
        <v>-364.59606916624671</v>
      </c>
      <c r="K90" s="71">
        <f t="shared" si="41"/>
        <v>-76.220244539262183</v>
      </c>
      <c r="L90" s="72">
        <f t="shared" si="34"/>
        <v>66.918284087444434</v>
      </c>
      <c r="M90" s="73">
        <f t="shared" si="34"/>
        <v>335.07867369102365</v>
      </c>
      <c r="N90" s="71">
        <f t="shared" si="42"/>
        <v>350.09327326495196</v>
      </c>
      <c r="O90" s="83">
        <f t="shared" si="43"/>
        <v>-77.185003130269564</v>
      </c>
      <c r="P90" s="71">
        <f t="shared" si="35"/>
        <v>0</v>
      </c>
      <c r="Q90" s="72">
        <f t="shared" si="44"/>
        <v>1</v>
      </c>
      <c r="R90" s="72">
        <f t="shared" si="47"/>
        <v>37.3828125</v>
      </c>
      <c r="S90" s="73">
        <f t="shared" si="48"/>
        <v>37.16796875</v>
      </c>
      <c r="T90" s="84">
        <f t="shared" si="49"/>
        <v>0.21484375</v>
      </c>
      <c r="U90" s="86" t="str">
        <f t="shared" si="45"/>
        <v>STOP!</v>
      </c>
      <c r="V90" s="77"/>
      <c r="W90" s="78"/>
      <c r="X90" s="79"/>
    </row>
    <row r="91" spans="1:24" x14ac:dyDescent="0.25">
      <c r="A91" s="51">
        <v>12</v>
      </c>
      <c r="B91" s="125">
        <f t="shared" si="46"/>
        <v>37.275390625</v>
      </c>
      <c r="C91" s="126">
        <f>B91+W75</f>
        <v>17.275390625</v>
      </c>
      <c r="D91" s="115">
        <f t="shared" si="37"/>
        <v>0.30151244597441101</v>
      </c>
      <c r="E91" s="80">
        <f t="shared" si="38"/>
        <v>-124.83369654470782</v>
      </c>
      <c r="F91" s="81">
        <f t="shared" si="39"/>
        <v>153.65830491206944</v>
      </c>
      <c r="G91" s="82">
        <f t="shared" si="40"/>
        <v>-29.696476293754937</v>
      </c>
      <c r="H91" s="80">
        <f>H80</f>
        <v>-48.641206523530371</v>
      </c>
      <c r="I91" s="81">
        <f>I80</f>
        <v>86.788093060087348</v>
      </c>
      <c r="J91" s="82">
        <f>J80</f>
        <v>-364.59606916624671</v>
      </c>
      <c r="K91" s="80">
        <f t="shared" si="41"/>
        <v>-76.192490021177449</v>
      </c>
      <c r="L91" s="81">
        <f t="shared" si="34"/>
        <v>66.870211851982091</v>
      </c>
      <c r="M91" s="82">
        <f t="shared" si="34"/>
        <v>334.89959287249178</v>
      </c>
      <c r="N91" s="80">
        <f t="shared" si="42"/>
        <v>349.90664194169983</v>
      </c>
      <c r="O91" s="83">
        <f t="shared" si="43"/>
        <v>-77.182891581302812</v>
      </c>
      <c r="P91" s="80">
        <f t="shared" si="35"/>
        <v>0</v>
      </c>
      <c r="Q91" s="81">
        <f t="shared" si="44"/>
        <v>0</v>
      </c>
      <c r="R91" s="81">
        <f t="shared" si="47"/>
        <v>37.275390625</v>
      </c>
      <c r="S91" s="82">
        <f t="shared" si="48"/>
        <v>37.16796875</v>
      </c>
      <c r="T91" s="84">
        <f t="shared" si="49"/>
        <v>0.107421875</v>
      </c>
      <c r="U91" s="86" t="str">
        <f t="shared" si="45"/>
        <v>STOP!</v>
      </c>
      <c r="V91" s="77"/>
      <c r="W91" s="78"/>
      <c r="X91" s="79"/>
    </row>
    <row r="92" spans="1:24" x14ac:dyDescent="0.25">
      <c r="A92" s="51">
        <v>13</v>
      </c>
      <c r="B92" s="125">
        <f t="shared" si="46"/>
        <v>37.2216796875</v>
      </c>
      <c r="C92" s="126">
        <f>B92+W75</f>
        <v>17.2216796875</v>
      </c>
      <c r="D92" s="115">
        <f t="shared" si="37"/>
        <v>0.30057501327070313</v>
      </c>
      <c r="E92" s="80">
        <f t="shared" si="38"/>
        <v>-124.8475947882787</v>
      </c>
      <c r="F92" s="81">
        <f t="shared" si="39"/>
        <v>153.68237737607018</v>
      </c>
      <c r="G92" s="82">
        <f t="shared" si="40"/>
        <v>-29.606948893486408</v>
      </c>
      <c r="H92" s="80">
        <f>H81</f>
        <v>-48.641206523530371</v>
      </c>
      <c r="I92" s="81">
        <f>I80</f>
        <v>86.788093060087348</v>
      </c>
      <c r="J92" s="82">
        <f>J80</f>
        <v>-364.59606916624671</v>
      </c>
      <c r="K92" s="80">
        <f t="shared" si="41"/>
        <v>-76.206388264748327</v>
      </c>
      <c r="L92" s="81">
        <f t="shared" si="34"/>
        <v>66.89428431598283</v>
      </c>
      <c r="M92" s="82">
        <f t="shared" si="34"/>
        <v>334.98912027276032</v>
      </c>
      <c r="N92" s="80">
        <f t="shared" si="42"/>
        <v>349.99995655374443</v>
      </c>
      <c r="O92" s="83">
        <f t="shared" si="43"/>
        <v>-77.18394373975562</v>
      </c>
      <c r="P92" s="80">
        <f t="shared" si="35"/>
        <v>0</v>
      </c>
      <c r="Q92" s="81">
        <f t="shared" si="44"/>
        <v>0</v>
      </c>
      <c r="R92" s="81">
        <f t="shared" si="47"/>
        <v>37.2216796875</v>
      </c>
      <c r="S92" s="82">
        <f t="shared" si="48"/>
        <v>37.16796875</v>
      </c>
      <c r="T92" s="84">
        <f t="shared" si="49"/>
        <v>5.37109375E-2</v>
      </c>
      <c r="U92" s="86" t="str">
        <f t="shared" si="45"/>
        <v>STOP!</v>
      </c>
      <c r="V92" s="77"/>
      <c r="W92" s="78"/>
      <c r="X92" s="79"/>
    </row>
    <row r="93" spans="1:24" x14ac:dyDescent="0.25">
      <c r="A93" s="51">
        <v>14</v>
      </c>
      <c r="B93" s="125">
        <f t="shared" si="46"/>
        <v>37.19482421875</v>
      </c>
      <c r="C93" s="126">
        <f>B93+W75</f>
        <v>17.19482421875</v>
      </c>
      <c r="D93" s="115">
        <f t="shared" si="37"/>
        <v>0.30010629691884916</v>
      </c>
      <c r="E93" s="80">
        <f t="shared" si="38"/>
        <v>-124.85452817242967</v>
      </c>
      <c r="F93" s="81">
        <f t="shared" si="39"/>
        <v>153.69438634968805</v>
      </c>
      <c r="G93" s="82">
        <f t="shared" si="40"/>
        <v>-29.562175431686001</v>
      </c>
      <c r="H93" s="80">
        <f>H82</f>
        <v>-48.641206523530371</v>
      </c>
      <c r="I93" s="81">
        <f>I80</f>
        <v>86.788093060087348</v>
      </c>
      <c r="J93" s="82">
        <f>J80</f>
        <v>-364.59606916624671</v>
      </c>
      <c r="K93" s="80">
        <f t="shared" si="41"/>
        <v>-76.213321648899296</v>
      </c>
      <c r="L93" s="81">
        <f t="shared" si="34"/>
        <v>66.906293289600697</v>
      </c>
      <c r="M93" s="82">
        <f t="shared" si="34"/>
        <v>335.03389373456071</v>
      </c>
      <c r="N93" s="80">
        <f t="shared" si="42"/>
        <v>350.04661465218254</v>
      </c>
      <c r="O93" s="83">
        <f t="shared" si="43"/>
        <v>-77.184472531429023</v>
      </c>
      <c r="P93" s="80">
        <f t="shared" si="35"/>
        <v>0</v>
      </c>
      <c r="Q93" s="81">
        <f t="shared" si="44"/>
        <v>1</v>
      </c>
      <c r="R93" s="81">
        <f t="shared" si="47"/>
        <v>37.2216796875</v>
      </c>
      <c r="S93" s="82">
        <f t="shared" si="48"/>
        <v>37.19482421875</v>
      </c>
      <c r="T93" s="84">
        <f t="shared" si="49"/>
        <v>2.685546875E-2</v>
      </c>
      <c r="U93" s="86" t="str">
        <f t="shared" si="45"/>
        <v>STOP!</v>
      </c>
      <c r="V93" s="77"/>
      <c r="W93" s="78"/>
      <c r="X93" s="79"/>
    </row>
    <row r="94" spans="1:24" ht="15.75" thickBot="1" x14ac:dyDescent="0.3">
      <c r="A94" s="127">
        <v>15</v>
      </c>
      <c r="B94" s="122">
        <f t="shared" si="46"/>
        <v>37.208251953125</v>
      </c>
      <c r="C94" s="123">
        <f>B94+W75</f>
        <v>17.208251953125</v>
      </c>
      <c r="D94" s="119">
        <f t="shared" si="37"/>
        <v>0.30034065509477614</v>
      </c>
      <c r="E94" s="92">
        <f t="shared" si="38"/>
        <v>-124.85106279198256</v>
      </c>
      <c r="F94" s="90">
        <f t="shared" si="39"/>
        <v>153.68838413468609</v>
      </c>
      <c r="G94" s="89">
        <f t="shared" si="40"/>
        <v>-29.584562975033833</v>
      </c>
      <c r="H94" s="92">
        <f>H83</f>
        <v>-48.641206523530371</v>
      </c>
      <c r="I94" s="90">
        <f>I80</f>
        <v>86.788093060087348</v>
      </c>
      <c r="J94" s="89">
        <f>J80</f>
        <v>-364.59606916624671</v>
      </c>
      <c r="K94" s="92">
        <f t="shared" si="41"/>
        <v>-76.209856268452185</v>
      </c>
      <c r="L94" s="90">
        <f t="shared" si="34"/>
        <v>66.900291074598741</v>
      </c>
      <c r="M94" s="89">
        <f t="shared" si="34"/>
        <v>335.0115061912129</v>
      </c>
      <c r="N94" s="92">
        <f t="shared" si="42"/>
        <v>350.02328553801851</v>
      </c>
      <c r="O94" s="87">
        <f t="shared" si="43"/>
        <v>-77.184207909643405</v>
      </c>
      <c r="P94" s="92">
        <f t="shared" si="35"/>
        <v>0</v>
      </c>
      <c r="Q94" s="90">
        <f t="shared" si="44"/>
        <v>1</v>
      </c>
      <c r="R94" s="90">
        <f t="shared" si="47"/>
        <v>37.2216796875</v>
      </c>
      <c r="S94" s="89">
        <f t="shared" si="48"/>
        <v>37.208251953125</v>
      </c>
      <c r="T94" s="90">
        <f>R94-S94</f>
        <v>1.3427734375E-2</v>
      </c>
      <c r="U94" s="91" t="str">
        <f t="shared" si="45"/>
        <v>STOP!</v>
      </c>
      <c r="V94" s="77"/>
      <c r="W94" s="78"/>
      <c r="X94" s="79"/>
    </row>
    <row r="95" spans="1:24" ht="15.75" thickTop="1" x14ac:dyDescent="0.25">
      <c r="E95" s="17"/>
      <c r="F95" s="15"/>
      <c r="G95" s="16"/>
      <c r="J95" s="16"/>
      <c r="M95" s="16"/>
      <c r="Q95" s="75"/>
      <c r="R95" s="75"/>
      <c r="U95" s="15"/>
      <c r="V95" s="15"/>
      <c r="W95" s="15"/>
    </row>
    <row r="96" spans="1:24" x14ac:dyDescent="0.25">
      <c r="D96" s="84"/>
      <c r="E96" s="48" t="s">
        <v>83</v>
      </c>
      <c r="F96" s="15"/>
      <c r="H96" s="48" t="s">
        <v>84</v>
      </c>
      <c r="I96" s="15"/>
      <c r="K96" s="48" t="s">
        <v>85</v>
      </c>
      <c r="L96" s="15"/>
      <c r="V96" s="15"/>
      <c r="W96" s="15"/>
    </row>
    <row r="97" spans="1:24" ht="15.75" thickBot="1" x14ac:dyDescent="0.3"/>
    <row r="98" spans="1:24" ht="15.75" thickBot="1" x14ac:dyDescent="0.3">
      <c r="A98" s="58">
        <f>IF(ABS($N$119-$M$5)&lt;0.1,1,-1)</f>
        <v>1</v>
      </c>
      <c r="D98" s="59" t="s">
        <v>59</v>
      </c>
      <c r="E98" s="60">
        <v>4</v>
      </c>
      <c r="V98" s="15"/>
      <c r="W98" s="61" t="s">
        <v>13</v>
      </c>
      <c r="X98" s="15"/>
    </row>
    <row r="99" spans="1:24" x14ac:dyDescent="0.25">
      <c r="D99" s="26" t="s">
        <v>7</v>
      </c>
      <c r="E99" s="26" t="s">
        <v>8</v>
      </c>
      <c r="F99" s="26" t="s">
        <v>9</v>
      </c>
      <c r="G99" s="26" t="s">
        <v>10</v>
      </c>
      <c r="H99" s="26" t="s">
        <v>11</v>
      </c>
      <c r="I99" s="26" t="s">
        <v>12</v>
      </c>
      <c r="J99" s="26"/>
      <c r="K99" s="26" t="s">
        <v>28</v>
      </c>
      <c r="L99" s="26" t="s">
        <v>55</v>
      </c>
      <c r="M99" s="26" t="s">
        <v>60</v>
      </c>
      <c r="N99" s="26"/>
      <c r="O99" s="26" t="s">
        <v>32</v>
      </c>
      <c r="P99" s="26" t="s">
        <v>57</v>
      </c>
      <c r="Q99" s="26" t="s">
        <v>61</v>
      </c>
      <c r="R99" s="26"/>
      <c r="S99" s="26" t="s">
        <v>16</v>
      </c>
      <c r="T99" s="26" t="s">
        <v>56</v>
      </c>
      <c r="U99" s="26" t="s">
        <v>17</v>
      </c>
      <c r="V99" s="15"/>
      <c r="W99" s="26" t="s">
        <v>14</v>
      </c>
      <c r="X99" s="26" t="s">
        <v>15</v>
      </c>
    </row>
    <row r="100" spans="1:24" x14ac:dyDescent="0.25">
      <c r="D100" s="47">
        <f>$B$4</f>
        <v>0</v>
      </c>
      <c r="E100" s="47">
        <f>$C$4</f>
        <v>75</v>
      </c>
      <c r="F100" s="47">
        <f>$D$4</f>
        <v>-373.17</v>
      </c>
      <c r="G100" s="47">
        <f>$E$4*2*PI()/360</f>
        <v>0.1308996938995747</v>
      </c>
      <c r="H100" s="47">
        <f>$F$4*2*PI()/360</f>
        <v>0.1308996938995747</v>
      </c>
      <c r="I100" s="47">
        <f>$G$4*2*PI()/360</f>
        <v>0.1308996938995747</v>
      </c>
      <c r="J100" s="23"/>
      <c r="K100" s="23">
        <f>E9*2*PI()/360</f>
        <v>4.1887902047863905</v>
      </c>
      <c r="L100" s="47">
        <f>$B$15</f>
        <v>100</v>
      </c>
      <c r="M100" s="23">
        <f>$E$12</f>
        <v>-31.28</v>
      </c>
      <c r="N100" s="23"/>
      <c r="O100" s="23">
        <f>L9*2*PI()/360</f>
        <v>4.1887902047863905</v>
      </c>
      <c r="P100" s="47">
        <f>$I$15</f>
        <v>40</v>
      </c>
      <c r="Q100" s="23">
        <f>$E$12</f>
        <v>-31.28</v>
      </c>
      <c r="R100" s="23"/>
      <c r="S100" s="47">
        <f>$L$5</f>
        <v>100</v>
      </c>
      <c r="T100" s="47">
        <f>$C$15</f>
        <v>0</v>
      </c>
      <c r="U100" s="47">
        <f>$M$5</f>
        <v>350</v>
      </c>
      <c r="V100" s="15"/>
      <c r="W100" s="47">
        <f>$I$5</f>
        <v>-20</v>
      </c>
      <c r="X100" s="47">
        <f>$J$5</f>
        <v>90</v>
      </c>
    </row>
    <row r="101" spans="1:24" x14ac:dyDescent="0.25">
      <c r="D101" s="28" t="s">
        <v>18</v>
      </c>
      <c r="E101" s="28" t="s">
        <v>18</v>
      </c>
      <c r="F101" s="28" t="s">
        <v>18</v>
      </c>
      <c r="G101" s="28" t="s">
        <v>20</v>
      </c>
      <c r="H101" s="28" t="s">
        <v>20</v>
      </c>
      <c r="I101" s="28" t="s">
        <v>20</v>
      </c>
      <c r="J101" s="28"/>
      <c r="K101" s="28" t="s">
        <v>20</v>
      </c>
      <c r="L101" s="28">
        <f>D96</f>
        <v>0</v>
      </c>
      <c r="M101" s="28" t="s">
        <v>18</v>
      </c>
      <c r="N101" s="28"/>
      <c r="O101" s="28" t="s">
        <v>20</v>
      </c>
      <c r="P101" s="28" t="s">
        <v>18</v>
      </c>
      <c r="Q101" s="28" t="s">
        <v>18</v>
      </c>
      <c r="R101" s="28"/>
      <c r="S101" s="28" t="s">
        <v>18</v>
      </c>
      <c r="T101" s="28" t="s">
        <v>18</v>
      </c>
      <c r="U101" s="28" t="s">
        <v>18</v>
      </c>
      <c r="V101" s="15"/>
      <c r="W101" s="28" t="s">
        <v>19</v>
      </c>
      <c r="X101" s="28" t="s">
        <v>19</v>
      </c>
    </row>
    <row r="103" spans="1:24" x14ac:dyDescent="0.25">
      <c r="B103" s="66" t="s">
        <v>62</v>
      </c>
      <c r="C103" s="66"/>
      <c r="E103" s="48" t="s">
        <v>63</v>
      </c>
      <c r="F103" s="15"/>
      <c r="G103" s="67" t="s">
        <v>64</v>
      </c>
      <c r="H103" s="108" t="s">
        <v>65</v>
      </c>
      <c r="I103" s="109"/>
      <c r="J103" s="110" t="s">
        <v>66</v>
      </c>
      <c r="K103" s="48" t="s">
        <v>67</v>
      </c>
      <c r="L103" s="15"/>
      <c r="M103" s="67" t="s">
        <v>68</v>
      </c>
      <c r="N103" s="48" t="s">
        <v>69</v>
      </c>
      <c r="O103" s="16"/>
      <c r="P103" s="37" t="s">
        <v>70</v>
      </c>
      <c r="R103" s="37" t="s">
        <v>71</v>
      </c>
      <c r="S103" s="16"/>
      <c r="T103" s="68" t="s">
        <v>72</v>
      </c>
      <c r="U103" s="16" t="s">
        <v>73</v>
      </c>
    </row>
    <row r="104" spans="1:24" ht="15.75" thickBot="1" x14ac:dyDescent="0.3">
      <c r="A104" s="46" t="s">
        <v>74</v>
      </c>
      <c r="B104" t="s">
        <v>75</v>
      </c>
      <c r="D104" s="43" t="s">
        <v>20</v>
      </c>
      <c r="E104" s="51" t="s">
        <v>39</v>
      </c>
      <c r="F104" s="42" t="s">
        <v>54</v>
      </c>
      <c r="G104" s="43" t="s">
        <v>40</v>
      </c>
      <c r="H104" s="51" t="s">
        <v>39</v>
      </c>
      <c r="I104" s="42" t="s">
        <v>54</v>
      </c>
      <c r="J104" s="43" t="s">
        <v>40</v>
      </c>
      <c r="K104" s="51" t="s">
        <v>39</v>
      </c>
      <c r="L104" s="42" t="s">
        <v>54</v>
      </c>
      <c r="M104" s="43" t="s">
        <v>40</v>
      </c>
      <c r="N104" s="51" t="s">
        <v>76</v>
      </c>
      <c r="O104" s="69" t="s">
        <v>77</v>
      </c>
      <c r="Q104" t="s">
        <v>78</v>
      </c>
      <c r="R104" t="s">
        <v>79</v>
      </c>
      <c r="S104" s="43" t="s">
        <v>80</v>
      </c>
      <c r="T104" t="s">
        <v>81</v>
      </c>
      <c r="U104" s="43" t="s">
        <v>82</v>
      </c>
      <c r="V104" s="46"/>
      <c r="X104" s="46"/>
    </row>
    <row r="105" spans="1:24" ht="15.75" thickTop="1" x14ac:dyDescent="0.25">
      <c r="A105" s="70">
        <v>1</v>
      </c>
      <c r="B105" s="120">
        <f>W100-W100</f>
        <v>0</v>
      </c>
      <c r="C105" s="112">
        <f>B105+W100</f>
        <v>-20</v>
      </c>
      <c r="D105" s="114">
        <f>C105*2*PI()/360</f>
        <v>-0.3490658503988659</v>
      </c>
      <c r="E105" s="71">
        <f>COS($K$100)*(COS(D105)*$S$100+$L$100)-SIN($K$100)*$M$100</f>
        <v>-124.07390566967274</v>
      </c>
      <c r="F105" s="72">
        <f>SIN($K$100)*(COS(D105)*$S$100+$L$100)+COS($K$100)*$M$100</f>
        <v>-152.34230851338117</v>
      </c>
      <c r="G105" s="73">
        <f>-SIN(D105)*$S$100</f>
        <v>34.202014332566868</v>
      </c>
      <c r="H105" s="71">
        <f>((COS(I100)*COS(H100)-SIN(I100)*SIN(G100)*SIN(H100))*(COS(O100)*P100-SIN(O100)*Q100)-SIN(I100)*COS(G100)*(SIN(O100)*P100 +COS(O100)*Q100)+(COS(I100)*SIN(H100)+SIN(I100)*SIN(G100)*COS(H100))*-T100)+D100</f>
        <v>-43.723381667253278</v>
      </c>
      <c r="I105" s="72">
        <f>E100+COS(G100)*COS(I100)*(Q100*COS(O100)+P100*SIN(O100))+(P100*COS(O100)-Q100*SIN(O100))*(COS(I100)*SIN(G100)*SIN(H100)+COS(H100)*SIN(I100))+T100*(COS(I100)*COS(H100)*SIN(G100)-SIN(H100)*SIN(I100))</f>
        <v>49.433504682358524</v>
      </c>
      <c r="J105" s="73">
        <f>F100+Q100*COS(O100)*SIN(G100)+P100*SIN(O100)*SIN(G100)-COS(G100)*(T100*COS(H100)+(P100*COS(O100)-Q100*SIN(O100))*SIN(H100))</f>
        <v>-369.55632973934871</v>
      </c>
      <c r="K105" s="71">
        <f>E105-H105</f>
        <v>-80.350524002419462</v>
      </c>
      <c r="L105" s="72">
        <f t="shared" ref="L105:M119" si="50">F105-I105</f>
        <v>-201.77581319573969</v>
      </c>
      <c r="M105" s="73">
        <f>G105-J105</f>
        <v>403.75834407191559</v>
      </c>
      <c r="N105" s="71">
        <f>SQRT((K105)^2+(L105)^2+(M105)^2)</f>
        <v>458.46535954852772</v>
      </c>
      <c r="O105" s="74">
        <f>ATAN(M105/K105)*180/PI()</f>
        <v>-78.744813453194226</v>
      </c>
      <c r="P105" s="71">
        <f t="shared" ref="P105:P119" si="51">IF(K105/N105&lt;E105/$L$5,1,0)</f>
        <v>0</v>
      </c>
      <c r="Q105" s="72">
        <f>IF(N105&gt;$U$22,1,0)</f>
        <v>1</v>
      </c>
      <c r="R105" s="72">
        <f>X100-W100</f>
        <v>110</v>
      </c>
      <c r="S105" s="73">
        <v>0</v>
      </c>
      <c r="T105" s="72">
        <f t="shared" ref="T105:T109" si="52">R105-S105</f>
        <v>110</v>
      </c>
      <c r="U105" s="76" t="str">
        <f>IF(ABS(N105-U100)&lt;0.1,"STOP!","-")</f>
        <v>-</v>
      </c>
      <c r="V105" s="77"/>
      <c r="W105" s="78"/>
      <c r="X105" s="79"/>
    </row>
    <row r="106" spans="1:24" x14ac:dyDescent="0.25">
      <c r="A106" s="68">
        <v>2</v>
      </c>
      <c r="B106" s="121">
        <f>X100-W100</f>
        <v>110</v>
      </c>
      <c r="C106" s="113">
        <f>B106+W100</f>
        <v>90</v>
      </c>
      <c r="D106" s="115">
        <f t="shared" ref="D106:D119" si="53">C106*2*PI()/360</f>
        <v>1.5707963267948966</v>
      </c>
      <c r="E106" s="80">
        <f t="shared" ref="E106:E119" si="54">COS($K$100)*(COS(D106)*$S$100+$L$100)-SIN($K$100)*$M$100</f>
        <v>-77.089274630377275</v>
      </c>
      <c r="F106" s="81">
        <f t="shared" ref="F106:F119" si="55">SIN($K$100)*(COS(D106)*$S$100+$L$100)+COS($K$100)*$M$100</f>
        <v>-70.962540378443819</v>
      </c>
      <c r="G106" s="82">
        <f t="shared" ref="G106:G119" si="56">-SIN(D106)*$S$100</f>
        <v>-100</v>
      </c>
      <c r="H106" s="80">
        <f>H105</f>
        <v>-43.723381667253278</v>
      </c>
      <c r="I106" s="81">
        <f>((SIN(I100)*COS(H100)+COS(I100)*SIN(G100)*SIN(H100))*(COS(O100)*P100-SIN(O100)*Q100)+COS(I100)*COS(G100)*(SIN(O100)*P100+COS(O100)*Q100)+(SIN(I100)*SIN(H100)-COS(I100)*SIN(G100)*COS(H100))*-T100)+E100</f>
        <v>49.433504682358532</v>
      </c>
      <c r="J106" s="82">
        <f>J105</f>
        <v>-369.55632973934871</v>
      </c>
      <c r="K106" s="80">
        <f t="shared" ref="K106:K119" si="57">E106-H106</f>
        <v>-33.365892963123997</v>
      </c>
      <c r="L106" s="81">
        <f t="shared" si="50"/>
        <v>-120.39604506080235</v>
      </c>
      <c r="M106" s="82">
        <f t="shared" si="50"/>
        <v>269.55632973934871</v>
      </c>
      <c r="N106" s="80">
        <f t="shared" ref="N106:N119" si="58">SQRT((K106)^2+(L106)^2+(M106)^2)</f>
        <v>297.10117028052565</v>
      </c>
      <c r="O106" s="83">
        <f t="shared" ref="O106:O119" si="59">ATAN(M106/K106)*180/PI()</f>
        <v>-82.94377534611651</v>
      </c>
      <c r="P106" s="80">
        <f t="shared" si="51"/>
        <v>0</v>
      </c>
      <c r="Q106" s="81">
        <f t="shared" ref="Q106:Q119" si="60">IF(N106&gt;$U$22,1,0)</f>
        <v>0</v>
      </c>
      <c r="R106" s="81">
        <f>X100-W100</f>
        <v>110</v>
      </c>
      <c r="S106" s="82">
        <f>W100-W100</f>
        <v>0</v>
      </c>
      <c r="T106" s="84">
        <f t="shared" si="52"/>
        <v>110</v>
      </c>
      <c r="U106" s="85" t="str">
        <f t="shared" ref="U106:U119" si="61">IF(ABS(N106-$M$5)&lt;0.1,"STOP!","-")</f>
        <v>-</v>
      </c>
      <c r="V106" s="77"/>
      <c r="W106" s="78"/>
      <c r="X106" s="79"/>
    </row>
    <row r="107" spans="1:24" x14ac:dyDescent="0.25">
      <c r="A107" s="68">
        <v>3</v>
      </c>
      <c r="B107" s="121">
        <f>(R106+S106)/2</f>
        <v>55</v>
      </c>
      <c r="C107" s="113">
        <f>B107+W100</f>
        <v>35</v>
      </c>
      <c r="D107" s="115">
        <f t="shared" si="53"/>
        <v>0.6108652381980153</v>
      </c>
      <c r="E107" s="80">
        <f t="shared" si="54"/>
        <v>-118.04687684482691</v>
      </c>
      <c r="F107" s="81">
        <f t="shared" si="55"/>
        <v>-141.90318837006606</v>
      </c>
      <c r="G107" s="82">
        <f t="shared" si="56"/>
        <v>-57.357643635104608</v>
      </c>
      <c r="H107" s="80">
        <f>H105</f>
        <v>-43.723381667253278</v>
      </c>
      <c r="I107" s="81">
        <f>I105</f>
        <v>49.433504682358524</v>
      </c>
      <c r="J107" s="82">
        <f>J105</f>
        <v>-369.55632973934871</v>
      </c>
      <c r="K107" s="80">
        <f t="shared" si="57"/>
        <v>-74.323495177573633</v>
      </c>
      <c r="L107" s="81">
        <f t="shared" si="50"/>
        <v>-191.33669305242458</v>
      </c>
      <c r="M107" s="82">
        <f t="shared" si="50"/>
        <v>312.19868610424408</v>
      </c>
      <c r="N107" s="80">
        <f t="shared" si="58"/>
        <v>373.63315116416646</v>
      </c>
      <c r="O107" s="83">
        <f t="shared" si="59"/>
        <v>-76.609156594554591</v>
      </c>
      <c r="P107" s="80">
        <f t="shared" si="51"/>
        <v>0</v>
      </c>
      <c r="Q107" s="81">
        <f t="shared" si="60"/>
        <v>1</v>
      </c>
      <c r="R107" s="81">
        <f>IF(Q107=0,B107,R106)</f>
        <v>110</v>
      </c>
      <c r="S107" s="82">
        <f>IF((Q107)&lt;&gt;0,B107,S106)</f>
        <v>55</v>
      </c>
      <c r="T107" s="84">
        <f t="shared" si="52"/>
        <v>55</v>
      </c>
      <c r="U107" s="86" t="str">
        <f t="shared" si="61"/>
        <v>-</v>
      </c>
      <c r="V107" s="77"/>
      <c r="W107" s="78"/>
      <c r="X107" s="79"/>
    </row>
    <row r="108" spans="1:24" x14ac:dyDescent="0.25">
      <c r="A108" s="68">
        <v>4</v>
      </c>
      <c r="B108" s="121">
        <f t="shared" ref="B108:B119" si="62">(R107+S107)/2</f>
        <v>82.5</v>
      </c>
      <c r="C108" s="113">
        <f>B108+W100</f>
        <v>62.5</v>
      </c>
      <c r="D108" s="115">
        <f t="shared" si="53"/>
        <v>1.0908307824964558</v>
      </c>
      <c r="E108" s="80">
        <f t="shared" si="54"/>
        <v>-100.17670529212901</v>
      </c>
      <c r="F108" s="81">
        <f t="shared" si="55"/>
        <v>-110.95114330082131</v>
      </c>
      <c r="G108" s="82">
        <f t="shared" si="56"/>
        <v>-88.701083317822167</v>
      </c>
      <c r="H108" s="80">
        <f>H105</f>
        <v>-43.723381667253278</v>
      </c>
      <c r="I108" s="81">
        <f>I105</f>
        <v>49.433504682358524</v>
      </c>
      <c r="J108" s="82">
        <f>J105</f>
        <v>-369.55632973934871</v>
      </c>
      <c r="K108" s="80">
        <f t="shared" si="57"/>
        <v>-56.453323624875736</v>
      </c>
      <c r="L108" s="81">
        <f t="shared" si="50"/>
        <v>-160.38464798317983</v>
      </c>
      <c r="M108" s="82">
        <f t="shared" si="50"/>
        <v>280.85524642152654</v>
      </c>
      <c r="N108" s="80">
        <f t="shared" si="58"/>
        <v>328.31369526640196</v>
      </c>
      <c r="O108" s="83">
        <f t="shared" si="59"/>
        <v>-78.634707780285652</v>
      </c>
      <c r="P108" s="80">
        <f t="shared" si="51"/>
        <v>0</v>
      </c>
      <c r="Q108" s="81">
        <f t="shared" si="60"/>
        <v>0</v>
      </c>
      <c r="R108" s="81">
        <f t="shared" ref="R108:R119" si="63">IF(Q108=0,B108,R107)</f>
        <v>82.5</v>
      </c>
      <c r="S108" s="82">
        <f t="shared" ref="S108:S119" si="64">IF((Q108)&lt;&gt;0,B108,S107)</f>
        <v>55</v>
      </c>
      <c r="T108" s="84">
        <f t="shared" si="52"/>
        <v>27.5</v>
      </c>
      <c r="U108" s="86" t="str">
        <f t="shared" si="61"/>
        <v>-</v>
      </c>
      <c r="V108" s="77"/>
      <c r="W108" s="78"/>
      <c r="X108" s="79"/>
    </row>
    <row r="109" spans="1:24" x14ac:dyDescent="0.25">
      <c r="A109" s="68">
        <v>5</v>
      </c>
      <c r="B109" s="121">
        <f t="shared" si="62"/>
        <v>68.75</v>
      </c>
      <c r="C109" s="113">
        <f>B109+W100</f>
        <v>48.75</v>
      </c>
      <c r="D109" s="115">
        <f t="shared" si="53"/>
        <v>0.85084801034723556</v>
      </c>
      <c r="E109" s="80">
        <f t="shared" si="54"/>
        <v>-110.05656538538075</v>
      </c>
      <c r="F109" s="81">
        <f t="shared" si="55"/>
        <v>-128.0635629540055</v>
      </c>
      <c r="G109" s="82">
        <f t="shared" si="56"/>
        <v>-75.183980747897721</v>
      </c>
      <c r="H109" s="80">
        <f>H105</f>
        <v>-43.723381667253278</v>
      </c>
      <c r="I109" s="81">
        <f>I105</f>
        <v>49.433504682358524</v>
      </c>
      <c r="J109" s="82">
        <f>J105</f>
        <v>-369.55632973934871</v>
      </c>
      <c r="K109" s="80">
        <f t="shared" si="57"/>
        <v>-66.333183718127472</v>
      </c>
      <c r="L109" s="81">
        <f t="shared" si="50"/>
        <v>-177.49706763636402</v>
      </c>
      <c r="M109" s="82">
        <f t="shared" si="50"/>
        <v>294.37234899145096</v>
      </c>
      <c r="N109" s="80">
        <f t="shared" si="58"/>
        <v>350.08624670563029</v>
      </c>
      <c r="O109" s="83">
        <f t="shared" si="59"/>
        <v>-77.301202193992054</v>
      </c>
      <c r="P109" s="80">
        <f t="shared" si="51"/>
        <v>0</v>
      </c>
      <c r="Q109" s="81">
        <f t="shared" si="60"/>
        <v>1</v>
      </c>
      <c r="R109" s="81">
        <f t="shared" si="63"/>
        <v>82.5</v>
      </c>
      <c r="S109" s="82">
        <f t="shared" si="64"/>
        <v>68.75</v>
      </c>
      <c r="T109" s="84">
        <f t="shared" si="52"/>
        <v>13.75</v>
      </c>
      <c r="U109" s="86" t="str">
        <f t="shared" si="61"/>
        <v>STOP!</v>
      </c>
      <c r="V109" s="77"/>
      <c r="W109" s="78"/>
      <c r="X109" s="79"/>
    </row>
    <row r="110" spans="1:24" x14ac:dyDescent="0.25">
      <c r="A110" s="68">
        <v>6</v>
      </c>
      <c r="B110" s="121">
        <f t="shared" si="62"/>
        <v>75.625</v>
      </c>
      <c r="C110" s="113">
        <f>B110+W100</f>
        <v>55.625</v>
      </c>
      <c r="D110" s="115">
        <f t="shared" si="53"/>
        <v>0.97083939642184569</v>
      </c>
      <c r="E110" s="80">
        <f t="shared" si="54"/>
        <v>-105.31962092909234</v>
      </c>
      <c r="F110" s="81">
        <f t="shared" si="55"/>
        <v>-119.85893448308224</v>
      </c>
      <c r="G110" s="82">
        <f t="shared" si="56"/>
        <v>-82.535993308486368</v>
      </c>
      <c r="H110" s="80">
        <f>H105</f>
        <v>-43.723381667253278</v>
      </c>
      <c r="I110" s="81">
        <f>I105</f>
        <v>49.433504682358524</v>
      </c>
      <c r="J110" s="82">
        <f>J105</f>
        <v>-369.55632973934871</v>
      </c>
      <c r="K110" s="80">
        <f t="shared" si="57"/>
        <v>-61.59623926183906</v>
      </c>
      <c r="L110" s="81">
        <f t="shared" si="50"/>
        <v>-169.29243916544075</v>
      </c>
      <c r="M110" s="82">
        <f t="shared" si="50"/>
        <v>287.02033643086236</v>
      </c>
      <c r="N110" s="80">
        <f t="shared" si="58"/>
        <v>338.87269021665287</v>
      </c>
      <c r="O110" s="83">
        <f t="shared" si="59"/>
        <v>-77.887707689934288</v>
      </c>
      <c r="P110" s="80">
        <f t="shared" si="51"/>
        <v>0</v>
      </c>
      <c r="Q110" s="81">
        <f t="shared" si="60"/>
        <v>0</v>
      </c>
      <c r="R110" s="81">
        <f t="shared" si="63"/>
        <v>75.625</v>
      </c>
      <c r="S110" s="82">
        <f t="shared" si="64"/>
        <v>68.75</v>
      </c>
      <c r="T110" s="84">
        <f>R110-S110</f>
        <v>6.875</v>
      </c>
      <c r="U110" s="86" t="str">
        <f t="shared" si="61"/>
        <v>-</v>
      </c>
      <c r="V110" s="77"/>
      <c r="W110" s="78"/>
      <c r="X110" s="79"/>
    </row>
    <row r="111" spans="1:24" x14ac:dyDescent="0.25">
      <c r="A111" s="68">
        <v>7</v>
      </c>
      <c r="B111" s="121">
        <f t="shared" si="62"/>
        <v>72.1875</v>
      </c>
      <c r="C111" s="113">
        <f>B111+W100</f>
        <v>52.1875</v>
      </c>
      <c r="D111" s="115">
        <f>C111*2*PI()/360</f>
        <v>0.91084370338454068</v>
      </c>
      <c r="E111" s="80">
        <f t="shared" si="54"/>
        <v>-107.74324583775686</v>
      </c>
      <c r="F111" s="81">
        <f t="shared" si="55"/>
        <v>-124.05677596337867</v>
      </c>
      <c r="G111" s="82">
        <f t="shared" si="56"/>
        <v>-79.002127799626891</v>
      </c>
      <c r="H111" s="80">
        <f>H105</f>
        <v>-43.723381667253278</v>
      </c>
      <c r="I111" s="81">
        <f>I105</f>
        <v>49.433504682358524</v>
      </c>
      <c r="J111" s="82">
        <f>J105</f>
        <v>-369.55632973934871</v>
      </c>
      <c r="K111" s="80">
        <f t="shared" si="57"/>
        <v>-64.019864170503581</v>
      </c>
      <c r="L111" s="81">
        <f t="shared" si="50"/>
        <v>-173.49028064573719</v>
      </c>
      <c r="M111" s="82">
        <f t="shared" si="50"/>
        <v>290.55420193972179</v>
      </c>
      <c r="N111" s="80">
        <f t="shared" si="58"/>
        <v>344.41133075404912</v>
      </c>
      <c r="O111" s="83">
        <f t="shared" si="59"/>
        <v>-77.574161172986223</v>
      </c>
      <c r="P111" s="80">
        <f t="shared" si="51"/>
        <v>0</v>
      </c>
      <c r="Q111" s="81">
        <f t="shared" si="60"/>
        <v>0</v>
      </c>
      <c r="R111" s="81">
        <f t="shared" si="63"/>
        <v>72.1875</v>
      </c>
      <c r="S111" s="82">
        <f t="shared" si="64"/>
        <v>68.75</v>
      </c>
      <c r="T111" s="84">
        <f t="shared" ref="T111:T118" si="65">R111-S111</f>
        <v>3.4375</v>
      </c>
      <c r="U111" s="86" t="str">
        <f t="shared" si="61"/>
        <v>-</v>
      </c>
      <c r="V111" s="77"/>
      <c r="W111" s="78"/>
      <c r="X111" s="79"/>
    </row>
    <row r="112" spans="1:24" x14ac:dyDescent="0.25">
      <c r="A112" s="68">
        <v>8</v>
      </c>
      <c r="B112" s="121">
        <f t="shared" si="62"/>
        <v>70.46875</v>
      </c>
      <c r="C112" s="113">
        <f>B112+W100</f>
        <v>50.46875</v>
      </c>
      <c r="D112" s="115">
        <f t="shared" si="53"/>
        <v>0.88084585686588812</v>
      </c>
      <c r="E112" s="80">
        <f t="shared" si="54"/>
        <v>-108.91422370894348</v>
      </c>
      <c r="F112" s="81">
        <f t="shared" si="55"/>
        <v>-126.08496913081274</v>
      </c>
      <c r="G112" s="82">
        <f t="shared" si="56"/>
        <v>-77.127754178289678</v>
      </c>
      <c r="H112" s="80">
        <f>H105</f>
        <v>-43.723381667253278</v>
      </c>
      <c r="I112" s="81">
        <f>I105</f>
        <v>49.433504682358524</v>
      </c>
      <c r="J112" s="82">
        <f>J105</f>
        <v>-369.55632973934871</v>
      </c>
      <c r="K112" s="80">
        <f t="shared" si="57"/>
        <v>-65.190842041690203</v>
      </c>
      <c r="L112" s="81">
        <f t="shared" si="50"/>
        <v>-175.51847381317125</v>
      </c>
      <c r="M112" s="82">
        <f t="shared" si="50"/>
        <v>292.42857556105901</v>
      </c>
      <c r="N112" s="80">
        <f t="shared" si="58"/>
        <v>347.23342630063638</v>
      </c>
      <c r="O112" s="83">
        <f t="shared" si="59"/>
        <v>-77.432602357530527</v>
      </c>
      <c r="P112" s="80">
        <f t="shared" si="51"/>
        <v>0</v>
      </c>
      <c r="Q112" s="81">
        <f t="shared" si="60"/>
        <v>0</v>
      </c>
      <c r="R112" s="81">
        <f t="shared" si="63"/>
        <v>70.46875</v>
      </c>
      <c r="S112" s="82">
        <f t="shared" si="64"/>
        <v>68.75</v>
      </c>
      <c r="T112" s="84">
        <f t="shared" si="65"/>
        <v>1.71875</v>
      </c>
      <c r="U112" s="86" t="str">
        <f t="shared" si="61"/>
        <v>-</v>
      </c>
      <c r="V112" s="77"/>
      <c r="W112" s="78"/>
      <c r="X112" s="79"/>
    </row>
    <row r="113" spans="1:24" x14ac:dyDescent="0.25">
      <c r="A113" s="68">
        <v>9</v>
      </c>
      <c r="B113" s="121">
        <f t="shared" si="62"/>
        <v>69.609375</v>
      </c>
      <c r="C113" s="113">
        <f>B113+W100</f>
        <v>49.609375</v>
      </c>
      <c r="D113" s="115">
        <f t="shared" si="53"/>
        <v>0.86584693360656184</v>
      </c>
      <c r="E113" s="80">
        <f t="shared" si="54"/>
        <v>-109.48903892904922</v>
      </c>
      <c r="F113" s="81">
        <f t="shared" si="55"/>
        <v>-127.08057829699976</v>
      </c>
      <c r="G113" s="82">
        <f t="shared" si="56"/>
        <v>-76.164434571274924</v>
      </c>
      <c r="H113" s="80">
        <f>H105</f>
        <v>-43.723381667253278</v>
      </c>
      <c r="I113" s="81">
        <f>I105</f>
        <v>49.433504682358524</v>
      </c>
      <c r="J113" s="82">
        <f>J105</f>
        <v>-369.55632973934871</v>
      </c>
      <c r="K113" s="80">
        <f t="shared" si="57"/>
        <v>-65.765657261795937</v>
      </c>
      <c r="L113" s="81">
        <f t="shared" si="50"/>
        <v>-176.51408297935828</v>
      </c>
      <c r="M113" s="82">
        <f t="shared" si="50"/>
        <v>293.3918951680738</v>
      </c>
      <c r="N113" s="80">
        <f t="shared" si="58"/>
        <v>348.65620217548661</v>
      </c>
      <c r="O113" s="83">
        <f t="shared" si="59"/>
        <v>-77.365633049717118</v>
      </c>
      <c r="P113" s="80">
        <f t="shared" si="51"/>
        <v>0</v>
      </c>
      <c r="Q113" s="81">
        <f t="shared" si="60"/>
        <v>0</v>
      </c>
      <c r="R113" s="81">
        <f t="shared" si="63"/>
        <v>69.609375</v>
      </c>
      <c r="S113" s="82">
        <f t="shared" si="64"/>
        <v>68.75</v>
      </c>
      <c r="T113" s="84">
        <f t="shared" si="65"/>
        <v>0.859375</v>
      </c>
      <c r="U113" s="86" t="str">
        <f t="shared" si="61"/>
        <v>-</v>
      </c>
      <c r="V113" s="77"/>
      <c r="W113" s="78"/>
      <c r="X113" s="79"/>
    </row>
    <row r="114" spans="1:24" ht="15.75" thickBot="1" x14ac:dyDescent="0.3">
      <c r="A114" s="68">
        <v>10</v>
      </c>
      <c r="B114" s="121">
        <f t="shared" si="62"/>
        <v>69.1796875</v>
      </c>
      <c r="C114" s="113">
        <f>B114+W100</f>
        <v>49.1796875</v>
      </c>
      <c r="D114" s="115">
        <f t="shared" si="53"/>
        <v>0.85834747197689876</v>
      </c>
      <c r="E114" s="80">
        <f t="shared" si="54"/>
        <v>-109.77372127100122</v>
      </c>
      <c r="F114" s="81">
        <f t="shared" si="55"/>
        <v>-127.57366257727833</v>
      </c>
      <c r="G114" s="82">
        <f t="shared" si="56"/>
        <v>-75.676335741001836</v>
      </c>
      <c r="H114" s="80">
        <f>H105</f>
        <v>-43.723381667253278</v>
      </c>
      <c r="I114" s="81">
        <f>I105</f>
        <v>49.433504682358524</v>
      </c>
      <c r="J114" s="82">
        <f>J105</f>
        <v>-369.55632973934871</v>
      </c>
      <c r="K114" s="80">
        <f t="shared" si="57"/>
        <v>-66.050339603747943</v>
      </c>
      <c r="L114" s="81">
        <f t="shared" si="50"/>
        <v>-177.00716725963684</v>
      </c>
      <c r="M114" s="82">
        <f t="shared" si="50"/>
        <v>293.87999399834689</v>
      </c>
      <c r="N114" s="80">
        <f t="shared" si="58"/>
        <v>349.37034146521347</v>
      </c>
      <c r="O114" s="87">
        <f t="shared" si="59"/>
        <v>-77.333100471356872</v>
      </c>
      <c r="P114" s="80">
        <f t="shared" si="51"/>
        <v>0</v>
      </c>
      <c r="Q114" s="81">
        <f t="shared" si="60"/>
        <v>0</v>
      </c>
      <c r="R114" s="81">
        <f t="shared" si="63"/>
        <v>69.1796875</v>
      </c>
      <c r="S114" s="82">
        <f t="shared" si="64"/>
        <v>68.75</v>
      </c>
      <c r="T114" s="90">
        <f t="shared" si="65"/>
        <v>0.4296875</v>
      </c>
      <c r="U114" s="91" t="str">
        <f t="shared" si="61"/>
        <v>-</v>
      </c>
      <c r="V114" s="77"/>
      <c r="W114" s="78"/>
      <c r="X114" s="79"/>
    </row>
    <row r="115" spans="1:24" ht="15.75" thickTop="1" x14ac:dyDescent="0.25">
      <c r="A115" s="124">
        <v>11</v>
      </c>
      <c r="B115" s="120">
        <f t="shared" si="62"/>
        <v>68.96484375</v>
      </c>
      <c r="C115" s="112">
        <f>B115+W100</f>
        <v>48.96484375</v>
      </c>
      <c r="D115" s="114">
        <f t="shared" si="53"/>
        <v>0.85459774116206721</v>
      </c>
      <c r="E115" s="71">
        <f t="shared" si="54"/>
        <v>-109.91537410329758</v>
      </c>
      <c r="F115" s="72">
        <f t="shared" si="55"/>
        <v>-127.81901247985166</v>
      </c>
      <c r="G115" s="73">
        <f t="shared" si="56"/>
        <v>-75.430688539716883</v>
      </c>
      <c r="H115" s="71">
        <f>H105</f>
        <v>-43.723381667253278</v>
      </c>
      <c r="I115" s="72">
        <f>I105</f>
        <v>49.433504682358524</v>
      </c>
      <c r="J115" s="73">
        <f>J105</f>
        <v>-369.55632973934871</v>
      </c>
      <c r="K115" s="71">
        <f t="shared" si="57"/>
        <v>-66.191992436044302</v>
      </c>
      <c r="L115" s="72">
        <f t="shared" si="50"/>
        <v>-177.25251716221018</v>
      </c>
      <c r="M115" s="73">
        <f t="shared" si="50"/>
        <v>294.12564119963184</v>
      </c>
      <c r="N115" s="71">
        <f t="shared" si="58"/>
        <v>349.7280765310208</v>
      </c>
      <c r="O115" s="83">
        <f t="shared" si="59"/>
        <v>-77.317072069461162</v>
      </c>
      <c r="P115" s="71">
        <f t="shared" si="51"/>
        <v>0</v>
      </c>
      <c r="Q115" s="72">
        <f t="shared" si="60"/>
        <v>0</v>
      </c>
      <c r="R115" s="72">
        <f t="shared" si="63"/>
        <v>68.96484375</v>
      </c>
      <c r="S115" s="73">
        <f t="shared" si="64"/>
        <v>68.75</v>
      </c>
      <c r="T115" s="84">
        <f t="shared" si="65"/>
        <v>0.21484375</v>
      </c>
      <c r="U115" s="86" t="str">
        <f t="shared" si="61"/>
        <v>-</v>
      </c>
      <c r="V115" s="77"/>
      <c r="W115" s="78"/>
      <c r="X115" s="79"/>
    </row>
    <row r="116" spans="1:24" x14ac:dyDescent="0.25">
      <c r="A116" s="51">
        <v>12</v>
      </c>
      <c r="B116" s="125">
        <f t="shared" si="62"/>
        <v>68.857421875</v>
      </c>
      <c r="C116" s="126">
        <f>B116+W100</f>
        <v>48.857421875</v>
      </c>
      <c r="D116" s="115">
        <f t="shared" si="53"/>
        <v>0.85272287575465144</v>
      </c>
      <c r="E116" s="80">
        <f t="shared" si="54"/>
        <v>-109.98602756234418</v>
      </c>
      <c r="F116" s="81">
        <f t="shared" si="55"/>
        <v>-127.94138786065085</v>
      </c>
      <c r="G116" s="82">
        <f t="shared" si="56"/>
        <v>-75.307467001171375</v>
      </c>
      <c r="H116" s="80">
        <f>H105</f>
        <v>-43.723381667253278</v>
      </c>
      <c r="I116" s="81">
        <f>I105</f>
        <v>49.433504682358524</v>
      </c>
      <c r="J116" s="82">
        <f>J105</f>
        <v>-369.55632973934871</v>
      </c>
      <c r="K116" s="80">
        <f t="shared" si="57"/>
        <v>-66.262645895090898</v>
      </c>
      <c r="L116" s="81">
        <f t="shared" si="50"/>
        <v>-177.37489254300937</v>
      </c>
      <c r="M116" s="82">
        <f t="shared" si="50"/>
        <v>294.24886273817731</v>
      </c>
      <c r="N116" s="80">
        <f t="shared" si="58"/>
        <v>349.907107627686</v>
      </c>
      <c r="O116" s="83">
        <f t="shared" si="59"/>
        <v>-77.309117319277988</v>
      </c>
      <c r="P116" s="80">
        <f t="shared" si="51"/>
        <v>0</v>
      </c>
      <c r="Q116" s="81">
        <f t="shared" si="60"/>
        <v>0</v>
      </c>
      <c r="R116" s="81">
        <f t="shared" si="63"/>
        <v>68.857421875</v>
      </c>
      <c r="S116" s="82">
        <f t="shared" si="64"/>
        <v>68.75</v>
      </c>
      <c r="T116" s="84">
        <f t="shared" si="65"/>
        <v>0.107421875</v>
      </c>
      <c r="U116" s="86" t="str">
        <f t="shared" si="61"/>
        <v>STOP!</v>
      </c>
      <c r="V116" s="77"/>
      <c r="W116" s="78"/>
      <c r="X116" s="79"/>
    </row>
    <row r="117" spans="1:24" x14ac:dyDescent="0.25">
      <c r="A117" s="51">
        <v>13</v>
      </c>
      <c r="B117" s="125">
        <f t="shared" si="62"/>
        <v>68.8037109375</v>
      </c>
      <c r="C117" s="126">
        <f>B117+W100</f>
        <v>48.8037109375</v>
      </c>
      <c r="D117" s="115">
        <f t="shared" si="53"/>
        <v>0.8517854430509435</v>
      </c>
      <c r="E117" s="80">
        <f t="shared" si="54"/>
        <v>-110.02131094387005</v>
      </c>
      <c r="F117" s="81">
        <f t="shared" si="55"/>
        <v>-128.0025004701165</v>
      </c>
      <c r="G117" s="82">
        <f t="shared" si="56"/>
        <v>-75.245756936768061</v>
      </c>
      <c r="H117" s="80">
        <f>H106</f>
        <v>-43.723381667253278</v>
      </c>
      <c r="I117" s="81">
        <f>I105</f>
        <v>49.433504682358524</v>
      </c>
      <c r="J117" s="82">
        <f>J105</f>
        <v>-369.55632973934871</v>
      </c>
      <c r="K117" s="80">
        <f t="shared" si="57"/>
        <v>-66.29792927661677</v>
      </c>
      <c r="L117" s="81">
        <f t="shared" si="50"/>
        <v>-177.43600515247502</v>
      </c>
      <c r="M117" s="82">
        <f t="shared" si="50"/>
        <v>294.31057280258062</v>
      </c>
      <c r="N117" s="80">
        <f t="shared" si="58"/>
        <v>349.99666371869824</v>
      </c>
      <c r="O117" s="83">
        <f t="shared" si="59"/>
        <v>-77.305154803961059</v>
      </c>
      <c r="P117" s="80">
        <f t="shared" si="51"/>
        <v>0</v>
      </c>
      <c r="Q117" s="81">
        <f t="shared" si="60"/>
        <v>0</v>
      </c>
      <c r="R117" s="81">
        <f t="shared" si="63"/>
        <v>68.8037109375</v>
      </c>
      <c r="S117" s="82">
        <f t="shared" si="64"/>
        <v>68.75</v>
      </c>
      <c r="T117" s="84">
        <f t="shared" si="65"/>
        <v>5.37109375E-2</v>
      </c>
      <c r="U117" s="86" t="str">
        <f t="shared" si="61"/>
        <v>STOP!</v>
      </c>
      <c r="V117" s="77"/>
      <c r="W117" s="78"/>
      <c r="X117" s="79"/>
    </row>
    <row r="118" spans="1:24" x14ac:dyDescent="0.25">
      <c r="A118" s="51">
        <v>14</v>
      </c>
      <c r="B118" s="125">
        <f t="shared" si="62"/>
        <v>68.77685546875</v>
      </c>
      <c r="C118" s="126">
        <f>B118+W100</f>
        <v>48.77685546875</v>
      </c>
      <c r="D118" s="115">
        <f t="shared" si="53"/>
        <v>0.85131672669908953</v>
      </c>
      <c r="E118" s="80">
        <f t="shared" si="54"/>
        <v>-110.03894178406421</v>
      </c>
      <c r="F118" s="81">
        <f t="shared" si="55"/>
        <v>-128.03303798111293</v>
      </c>
      <c r="G118" s="82">
        <f t="shared" si="56"/>
        <v>-75.214877104499649</v>
      </c>
      <c r="H118" s="80">
        <f>H107</f>
        <v>-43.723381667253278</v>
      </c>
      <c r="I118" s="81">
        <f>I105</f>
        <v>49.433504682358524</v>
      </c>
      <c r="J118" s="82">
        <f>J105</f>
        <v>-369.55632973934871</v>
      </c>
      <c r="K118" s="80">
        <f t="shared" si="57"/>
        <v>-66.315560116810929</v>
      </c>
      <c r="L118" s="81">
        <f t="shared" si="50"/>
        <v>-177.46654266347144</v>
      </c>
      <c r="M118" s="82">
        <f t="shared" si="50"/>
        <v>294.34145263484908</v>
      </c>
      <c r="N118" s="80">
        <f t="shared" si="58"/>
        <v>350.04145185638401</v>
      </c>
      <c r="O118" s="83">
        <f t="shared" si="59"/>
        <v>-77.303177260864018</v>
      </c>
      <c r="P118" s="80">
        <f t="shared" si="51"/>
        <v>0</v>
      </c>
      <c r="Q118" s="81">
        <f t="shared" si="60"/>
        <v>1</v>
      </c>
      <c r="R118" s="81">
        <f t="shared" si="63"/>
        <v>68.8037109375</v>
      </c>
      <c r="S118" s="82">
        <f t="shared" si="64"/>
        <v>68.77685546875</v>
      </c>
      <c r="T118" s="84">
        <f t="shared" si="65"/>
        <v>2.685546875E-2</v>
      </c>
      <c r="U118" s="86" t="str">
        <f t="shared" si="61"/>
        <v>STOP!</v>
      </c>
      <c r="V118" s="77"/>
      <c r="W118" s="78"/>
      <c r="X118" s="79"/>
    </row>
    <row r="119" spans="1:24" ht="15.75" thickBot="1" x14ac:dyDescent="0.3">
      <c r="A119" s="127">
        <v>15</v>
      </c>
      <c r="B119" s="122">
        <f t="shared" si="62"/>
        <v>68.790283203125</v>
      </c>
      <c r="C119" s="123">
        <f>B119+W100</f>
        <v>48.790283203125</v>
      </c>
      <c r="D119" s="119">
        <f t="shared" si="53"/>
        <v>0.85155108487501663</v>
      </c>
      <c r="E119" s="92">
        <f t="shared" si="54"/>
        <v>-110.03012726858478</v>
      </c>
      <c r="F119" s="90">
        <f t="shared" si="55"/>
        <v>-128.01777079245844</v>
      </c>
      <c r="G119" s="89">
        <f t="shared" si="56"/>
        <v>-75.23031908659965</v>
      </c>
      <c r="H119" s="92">
        <f>H108</f>
        <v>-43.723381667253278</v>
      </c>
      <c r="I119" s="90">
        <f>I105</f>
        <v>49.433504682358524</v>
      </c>
      <c r="J119" s="89">
        <f>J105</f>
        <v>-369.55632973934871</v>
      </c>
      <c r="K119" s="92">
        <f t="shared" si="57"/>
        <v>-66.3067456013315</v>
      </c>
      <c r="L119" s="90">
        <f t="shared" si="50"/>
        <v>-177.45127547481695</v>
      </c>
      <c r="M119" s="89">
        <f t="shared" si="50"/>
        <v>294.32601065274906</v>
      </c>
      <c r="N119" s="92">
        <f t="shared" si="58"/>
        <v>350.01905694781993</v>
      </c>
      <c r="O119" s="87">
        <f t="shared" si="59"/>
        <v>-77.304165722877357</v>
      </c>
      <c r="P119" s="92">
        <f t="shared" si="51"/>
        <v>0</v>
      </c>
      <c r="Q119" s="90">
        <f t="shared" si="60"/>
        <v>1</v>
      </c>
      <c r="R119" s="90">
        <f t="shared" si="63"/>
        <v>68.8037109375</v>
      </c>
      <c r="S119" s="89">
        <f t="shared" si="64"/>
        <v>68.790283203125</v>
      </c>
      <c r="T119" s="90">
        <f>R119-S119</f>
        <v>1.3427734375E-2</v>
      </c>
      <c r="U119" s="91" t="str">
        <f t="shared" si="61"/>
        <v>STOP!</v>
      </c>
      <c r="V119" s="77"/>
      <c r="W119" s="78"/>
      <c r="X119" s="79"/>
    </row>
    <row r="120" spans="1:24" ht="15.75" thickTop="1" x14ac:dyDescent="0.25">
      <c r="D120" s="5"/>
      <c r="G120" s="16"/>
      <c r="J120" s="16"/>
      <c r="M120" s="16"/>
      <c r="Q120" s="75"/>
      <c r="R120" s="75"/>
      <c r="U120" s="15"/>
      <c r="V120" s="15"/>
      <c r="W120" s="15"/>
    </row>
    <row r="121" spans="1:24" x14ac:dyDescent="0.25">
      <c r="D121" s="84"/>
      <c r="E121" s="48" t="s">
        <v>83</v>
      </c>
      <c r="F121" s="15"/>
      <c r="H121" s="48" t="s">
        <v>84</v>
      </c>
      <c r="I121" s="15"/>
      <c r="K121" s="48" t="s">
        <v>85</v>
      </c>
      <c r="L121" s="15"/>
      <c r="V121" s="15"/>
      <c r="W121" s="15"/>
    </row>
    <row r="122" spans="1:24" ht="15.75" thickBot="1" x14ac:dyDescent="0.3"/>
    <row r="123" spans="1:24" ht="15.75" thickBot="1" x14ac:dyDescent="0.3">
      <c r="A123" s="58">
        <f>IF(ABS($N$144-$M$5)&lt;0.1,1,-1)</f>
        <v>1</v>
      </c>
      <c r="D123" s="59" t="s">
        <v>59</v>
      </c>
      <c r="E123" s="60">
        <v>5</v>
      </c>
      <c r="V123" s="15"/>
      <c r="W123" s="61" t="s">
        <v>13</v>
      </c>
      <c r="X123" s="15"/>
    </row>
    <row r="124" spans="1:24" x14ac:dyDescent="0.25">
      <c r="D124" s="26" t="s">
        <v>7</v>
      </c>
      <c r="E124" s="26" t="s">
        <v>8</v>
      </c>
      <c r="F124" s="26" t="s">
        <v>9</v>
      </c>
      <c r="G124" s="26" t="s">
        <v>10</v>
      </c>
      <c r="H124" s="26" t="s">
        <v>11</v>
      </c>
      <c r="I124" s="26" t="s">
        <v>12</v>
      </c>
      <c r="J124" s="26"/>
      <c r="K124" s="26" t="s">
        <v>28</v>
      </c>
      <c r="L124" s="26" t="s">
        <v>55</v>
      </c>
      <c r="M124" s="26" t="s">
        <v>60</v>
      </c>
      <c r="N124" s="26"/>
      <c r="O124" s="26" t="s">
        <v>32</v>
      </c>
      <c r="P124" s="26" t="s">
        <v>57</v>
      </c>
      <c r="Q124" s="26" t="s">
        <v>61</v>
      </c>
      <c r="R124" s="26"/>
      <c r="S124" s="26" t="s">
        <v>16</v>
      </c>
      <c r="T124" s="26" t="s">
        <v>56</v>
      </c>
      <c r="U124" s="26" t="s">
        <v>17</v>
      </c>
      <c r="V124" s="15"/>
      <c r="W124" s="26" t="s">
        <v>14</v>
      </c>
      <c r="X124" s="26" t="s">
        <v>15</v>
      </c>
    </row>
    <row r="125" spans="1:24" x14ac:dyDescent="0.25">
      <c r="D125" s="47">
        <f>$B$4</f>
        <v>0</v>
      </c>
      <c r="E125" s="47">
        <f>$C$4</f>
        <v>75</v>
      </c>
      <c r="F125" s="47">
        <f>$D$4</f>
        <v>-373.17</v>
      </c>
      <c r="G125" s="47">
        <f>$E$4*2*PI()/360</f>
        <v>0.1308996938995747</v>
      </c>
      <c r="H125" s="47">
        <f>$F$4*2*PI()/360</f>
        <v>0.1308996938995747</v>
      </c>
      <c r="I125" s="47">
        <f>$G$4*2*PI()/360</f>
        <v>0.1308996938995747</v>
      </c>
      <c r="J125" s="23"/>
      <c r="K125" s="23">
        <f>F9*2*PI()/360</f>
        <v>4.1887902047863905</v>
      </c>
      <c r="L125" s="47">
        <f>$B$15</f>
        <v>100</v>
      </c>
      <c r="M125" s="23">
        <f>$F$12</f>
        <v>31.28</v>
      </c>
      <c r="N125" s="23"/>
      <c r="O125" s="23">
        <f>M9*2*PI()/360</f>
        <v>4.1887902047863905</v>
      </c>
      <c r="P125" s="47">
        <f>$I$15</f>
        <v>40</v>
      </c>
      <c r="Q125" s="23">
        <f>M12</f>
        <v>31.28</v>
      </c>
      <c r="R125" s="23"/>
      <c r="S125" s="47">
        <f>$L$5</f>
        <v>100</v>
      </c>
      <c r="T125" s="47">
        <f>$C$15</f>
        <v>0</v>
      </c>
      <c r="U125" s="47">
        <f>$M$5</f>
        <v>350</v>
      </c>
      <c r="V125" s="15"/>
      <c r="W125" s="47">
        <f>$I$5</f>
        <v>-20</v>
      </c>
      <c r="X125" s="47">
        <f>$J$5</f>
        <v>90</v>
      </c>
    </row>
    <row r="126" spans="1:24" x14ac:dyDescent="0.25">
      <c r="D126" s="28" t="s">
        <v>18</v>
      </c>
      <c r="E126" s="28" t="s">
        <v>18</v>
      </c>
      <c r="F126" s="28" t="s">
        <v>18</v>
      </c>
      <c r="G126" s="28" t="s">
        <v>20</v>
      </c>
      <c r="H126" s="28" t="s">
        <v>20</v>
      </c>
      <c r="I126" s="28" t="s">
        <v>20</v>
      </c>
      <c r="J126" s="28"/>
      <c r="K126" s="28" t="s">
        <v>20</v>
      </c>
      <c r="L126" s="28">
        <f>D121</f>
        <v>0</v>
      </c>
      <c r="M126" s="28" t="s">
        <v>18</v>
      </c>
      <c r="N126" s="28"/>
      <c r="O126" s="28" t="s">
        <v>20</v>
      </c>
      <c r="P126" s="28" t="s">
        <v>18</v>
      </c>
      <c r="Q126" s="28" t="s">
        <v>18</v>
      </c>
      <c r="R126" s="28"/>
      <c r="S126" s="28" t="s">
        <v>18</v>
      </c>
      <c r="T126" s="28" t="s">
        <v>18</v>
      </c>
      <c r="U126" s="28" t="s">
        <v>18</v>
      </c>
      <c r="V126" s="15"/>
      <c r="W126" s="28" t="s">
        <v>19</v>
      </c>
      <c r="X126" s="28" t="s">
        <v>19</v>
      </c>
    </row>
    <row r="128" spans="1:24" x14ac:dyDescent="0.25">
      <c r="B128" s="66" t="s">
        <v>62</v>
      </c>
      <c r="C128" s="66"/>
      <c r="E128" s="48" t="s">
        <v>63</v>
      </c>
      <c r="F128" s="15"/>
      <c r="G128" s="67" t="s">
        <v>64</v>
      </c>
      <c r="H128" s="108" t="s">
        <v>65</v>
      </c>
      <c r="I128" s="109"/>
      <c r="J128" s="110" t="s">
        <v>66</v>
      </c>
      <c r="K128" s="48" t="s">
        <v>67</v>
      </c>
      <c r="L128" s="15"/>
      <c r="M128" s="67" t="s">
        <v>68</v>
      </c>
      <c r="N128" s="48" t="s">
        <v>69</v>
      </c>
      <c r="O128" s="16"/>
      <c r="P128" s="37" t="s">
        <v>70</v>
      </c>
      <c r="R128" s="37" t="s">
        <v>71</v>
      </c>
      <c r="S128" s="16"/>
      <c r="T128" s="68" t="s">
        <v>72</v>
      </c>
      <c r="U128" s="16" t="s">
        <v>73</v>
      </c>
    </row>
    <row r="129" spans="1:24" ht="15.75" thickBot="1" x14ac:dyDescent="0.3">
      <c r="A129" s="46" t="s">
        <v>74</v>
      </c>
      <c r="B129" t="s">
        <v>75</v>
      </c>
      <c r="D129" s="43" t="s">
        <v>20</v>
      </c>
      <c r="E129" s="51" t="s">
        <v>39</v>
      </c>
      <c r="F129" s="42" t="s">
        <v>54</v>
      </c>
      <c r="G129" s="43" t="s">
        <v>40</v>
      </c>
      <c r="H129" s="51" t="s">
        <v>39</v>
      </c>
      <c r="I129" s="42" t="s">
        <v>54</v>
      </c>
      <c r="J129" s="43" t="s">
        <v>40</v>
      </c>
      <c r="K129" s="51" t="s">
        <v>39</v>
      </c>
      <c r="L129" s="42" t="s">
        <v>54</v>
      </c>
      <c r="M129" s="43" t="s">
        <v>40</v>
      </c>
      <c r="N129" s="51" t="s">
        <v>76</v>
      </c>
      <c r="O129" s="69" t="s">
        <v>77</v>
      </c>
      <c r="Q129" t="s">
        <v>78</v>
      </c>
      <c r="R129" t="s">
        <v>79</v>
      </c>
      <c r="S129" s="43" t="s">
        <v>80</v>
      </c>
      <c r="T129" t="s">
        <v>81</v>
      </c>
      <c r="U129" s="43" t="s">
        <v>82</v>
      </c>
      <c r="V129" s="46"/>
      <c r="X129" s="46"/>
    </row>
    <row r="130" spans="1:24" ht="15.75" thickTop="1" x14ac:dyDescent="0.25">
      <c r="A130" s="128">
        <v>1</v>
      </c>
      <c r="B130" s="120">
        <f>W125-W125</f>
        <v>0</v>
      </c>
      <c r="C130" s="112">
        <f>B130+W125</f>
        <v>-20</v>
      </c>
      <c r="D130" s="114">
        <f>C130*2*PI()/360</f>
        <v>-0.3490658503988659</v>
      </c>
      <c r="E130" s="71">
        <f>COS($K$125)*(COS(D130)*$S$125+$L$125)-SIN($K$125)*$M$125</f>
        <v>-69.895356408918275</v>
      </c>
      <c r="F130" s="72">
        <f>SIN($K$125)*(COS(D130)*$S$125+$L$125)+COS($K$125)*$M$125</f>
        <v>-183.6223085133812</v>
      </c>
      <c r="G130" s="73">
        <f>-SIN(D130)*$S$125</f>
        <v>34.202014332566868</v>
      </c>
      <c r="H130" s="71">
        <f>((COS(I125)*COS(H125)-SIN(I125)*SIN(G125)*SIN(H125))*(COS(O125)*P125-SIN(O125)*Q125)-SIN(I125)*COS(G125)*(SIN(O125)*P125 +COS(O125)*Q125)+(COS(I125)*SIN(H125)+SIN(I125)*SIN(G125)*COS(H125))*-T125)+D125</f>
        <v>13.459571306103069</v>
      </c>
      <c r="I130" s="72">
        <f>E125+COS(G125)*COS(I125)*(Q125*COS(O125)+P125*SIN(O125))+(P125*COS(O125)-Q125*SIN(O125))*(COS(I125)*SIN(G125)*SIN(H125)+COS(H125)*SIN(I125))+T125*(COS(I125)*COS(H125)*SIN(G125)-SIN(H125)*SIN(I125))</f>
        <v>26.612792826075978</v>
      </c>
      <c r="J130" s="73">
        <f>F125+Q125*COS(O125)*SIN(G125)+P125*SIN(O125)*SIN(G125)-COS(G125)*(T125*COS(H125)+(P125*COS(O125)-Q125*SIN(O125))*SIN(H125))</f>
        <v>-380.65040922434611</v>
      </c>
      <c r="K130" s="71">
        <f>E130-H130</f>
        <v>-83.354927715021347</v>
      </c>
      <c r="L130" s="72">
        <f t="shared" ref="L130:M144" si="66">F130-I130</f>
        <v>-210.23510133945717</v>
      </c>
      <c r="M130" s="73">
        <f>G130-J130</f>
        <v>414.85242355691298</v>
      </c>
      <c r="N130" s="71">
        <f>SQRT((K130)^2+(L130)^2+(M130)^2)</f>
        <v>472.4927249605359</v>
      </c>
      <c r="O130" s="74">
        <f>ATAN(M130/K130)*180/PI()</f>
        <v>-78.639022889049897</v>
      </c>
      <c r="P130" s="71">
        <f t="shared" ref="P130:P144" si="67">IF(K130/N130&lt;E130/$L$5,1,0)</f>
        <v>0</v>
      </c>
      <c r="Q130" s="72">
        <f>IF(N130&gt;$U$22,1,0)</f>
        <v>1</v>
      </c>
      <c r="R130" s="72">
        <f>X125-W125</f>
        <v>110</v>
      </c>
      <c r="S130" s="73">
        <v>0</v>
      </c>
      <c r="T130" s="72">
        <f t="shared" ref="T130:T134" si="68">R130-S130</f>
        <v>110</v>
      </c>
      <c r="U130" s="76" t="str">
        <f>IF(ABS(N130-U125)&lt;0.1,"STOP!","-")</f>
        <v>-</v>
      </c>
      <c r="V130" s="77"/>
      <c r="W130" s="78"/>
      <c r="X130" s="79"/>
    </row>
    <row r="131" spans="1:24" x14ac:dyDescent="0.25">
      <c r="A131" s="129">
        <v>2</v>
      </c>
      <c r="B131" s="125">
        <f>X125-W125</f>
        <v>110</v>
      </c>
      <c r="C131" s="126">
        <f>B131+W125</f>
        <v>90</v>
      </c>
      <c r="D131" s="115">
        <f t="shared" ref="D131:D144" si="69">C131*2*PI()/360</f>
        <v>1.5707963267948966</v>
      </c>
      <c r="E131" s="80">
        <f t="shared" ref="E131:E144" si="70">COS($K$125)*(COS(D131)*$S$125+$L$125)-SIN($K$125)*$M$125</f>
        <v>-22.91072536962281</v>
      </c>
      <c r="F131" s="81">
        <f t="shared" ref="F131:F144" si="71">SIN($K$125)*(COS(D131)*$S$125+$L$125)+COS($K$125)*$M$125</f>
        <v>-102.24254037844385</v>
      </c>
      <c r="G131" s="82">
        <f t="shared" ref="G131:G144" si="72">-SIN(D131)*$S$125</f>
        <v>-100</v>
      </c>
      <c r="H131" s="80">
        <f>H130</f>
        <v>13.459571306103069</v>
      </c>
      <c r="I131" s="81">
        <f>((SIN(I125)*COS(H125)+COS(I125)*SIN(G125)*SIN(H125))*(COS(O125)*P125-SIN(O125)*Q125)+COS(I125)*COS(G125)*(SIN(O125)*P125+COS(O125)*Q125)+(SIN(I125)*SIN(H125)-COS(I125)*SIN(G125)*COS(H125))*-T125)+E125</f>
        <v>26.612792826075975</v>
      </c>
      <c r="J131" s="82">
        <f>J130</f>
        <v>-380.65040922434611</v>
      </c>
      <c r="K131" s="80">
        <f t="shared" ref="K131:K144" si="73">E131-H131</f>
        <v>-36.370296675725882</v>
      </c>
      <c r="L131" s="81">
        <f t="shared" si="66"/>
        <v>-128.85533320451981</v>
      </c>
      <c r="M131" s="82">
        <f t="shared" si="66"/>
        <v>280.65040922434611</v>
      </c>
      <c r="N131" s="80">
        <f t="shared" ref="N131:N144" si="74">SQRT((K131)^2+(L131)^2+(M131)^2)</f>
        <v>310.95200204102412</v>
      </c>
      <c r="O131" s="83">
        <f t="shared" ref="O131:O144" si="75">ATAN(M131/K131)*180/PI()</f>
        <v>-82.616027284000069</v>
      </c>
      <c r="P131" s="80">
        <f t="shared" si="67"/>
        <v>0</v>
      </c>
      <c r="Q131" s="81">
        <f t="shared" ref="Q131:Q144" si="76">IF(N131&gt;$U$22,1,0)</f>
        <v>0</v>
      </c>
      <c r="R131" s="81">
        <f>X125-W125</f>
        <v>110</v>
      </c>
      <c r="S131" s="82">
        <f>W125-W125</f>
        <v>0</v>
      </c>
      <c r="T131" s="84">
        <f t="shared" si="68"/>
        <v>110</v>
      </c>
      <c r="U131" s="85" t="str">
        <f t="shared" ref="U131:U144" si="77">IF(ABS(N131-$M$5)&lt;0.1,"STOP!","-")</f>
        <v>-</v>
      </c>
      <c r="V131" s="77"/>
      <c r="W131" s="78"/>
      <c r="X131" s="79"/>
    </row>
    <row r="132" spans="1:24" x14ac:dyDescent="0.25">
      <c r="A132" s="129">
        <v>3</v>
      </c>
      <c r="B132" s="125">
        <f>(R131+S131)/2</f>
        <v>55</v>
      </c>
      <c r="C132" s="126">
        <f>B132+W125</f>
        <v>35</v>
      </c>
      <c r="D132" s="115">
        <f t="shared" si="69"/>
        <v>0.6108652381980153</v>
      </c>
      <c r="E132" s="80">
        <f t="shared" si="70"/>
        <v>-63.868327584072446</v>
      </c>
      <c r="F132" s="81">
        <f t="shared" si="71"/>
        <v>-173.18318837006609</v>
      </c>
      <c r="G132" s="82">
        <f t="shared" si="72"/>
        <v>-57.357643635104608</v>
      </c>
      <c r="H132" s="80">
        <f>H130</f>
        <v>13.459571306103069</v>
      </c>
      <c r="I132" s="81">
        <f>I130</f>
        <v>26.612792826075978</v>
      </c>
      <c r="J132" s="82">
        <f>J130</f>
        <v>-380.65040922434611</v>
      </c>
      <c r="K132" s="80">
        <f t="shared" si="73"/>
        <v>-77.327898890175518</v>
      </c>
      <c r="L132" s="81">
        <f t="shared" si="66"/>
        <v>-199.79598119614207</v>
      </c>
      <c r="M132" s="82">
        <f t="shared" si="66"/>
        <v>323.29276558924153</v>
      </c>
      <c r="N132" s="80">
        <f t="shared" si="74"/>
        <v>387.83533919852977</v>
      </c>
      <c r="O132" s="83">
        <f t="shared" si="75"/>
        <v>-76.548240191363988</v>
      </c>
      <c r="P132" s="80">
        <f t="shared" si="67"/>
        <v>0</v>
      </c>
      <c r="Q132" s="81">
        <f t="shared" si="76"/>
        <v>1</v>
      </c>
      <c r="R132" s="81">
        <f>IF(Q132=0,B132,R131)</f>
        <v>110</v>
      </c>
      <c r="S132" s="82">
        <f>IF((Q132)&lt;&gt;0,B132,S131)</f>
        <v>55</v>
      </c>
      <c r="T132" s="84">
        <f t="shared" si="68"/>
        <v>55</v>
      </c>
      <c r="U132" s="86" t="str">
        <f t="shared" si="77"/>
        <v>-</v>
      </c>
      <c r="V132" s="77"/>
      <c r="W132" s="78"/>
      <c r="X132" s="79"/>
    </row>
    <row r="133" spans="1:24" x14ac:dyDescent="0.25">
      <c r="A133" s="129">
        <v>4</v>
      </c>
      <c r="B133" s="125">
        <f t="shared" ref="B133:B144" si="78">(R132+S132)/2</f>
        <v>82.5</v>
      </c>
      <c r="C133" s="126">
        <f>B133+W125</f>
        <v>62.5</v>
      </c>
      <c r="D133" s="115">
        <f t="shared" si="69"/>
        <v>1.0908307824964558</v>
      </c>
      <c r="E133" s="80">
        <f t="shared" si="70"/>
        <v>-45.998156031374549</v>
      </c>
      <c r="F133" s="81">
        <f t="shared" si="71"/>
        <v>-142.23114330082134</v>
      </c>
      <c r="G133" s="82">
        <f t="shared" si="72"/>
        <v>-88.701083317822167</v>
      </c>
      <c r="H133" s="80">
        <f>H130</f>
        <v>13.459571306103069</v>
      </c>
      <c r="I133" s="81">
        <f>I130</f>
        <v>26.612792826075978</v>
      </c>
      <c r="J133" s="82">
        <f>J130</f>
        <v>-380.65040922434611</v>
      </c>
      <c r="K133" s="80">
        <f t="shared" si="73"/>
        <v>-59.457727337477621</v>
      </c>
      <c r="L133" s="81">
        <f t="shared" si="66"/>
        <v>-168.84393612689732</v>
      </c>
      <c r="M133" s="82">
        <f t="shared" si="66"/>
        <v>291.94932590652394</v>
      </c>
      <c r="N133" s="80">
        <f t="shared" si="74"/>
        <v>342.45861794417635</v>
      </c>
      <c r="O133" s="83">
        <f t="shared" si="75"/>
        <v>-78.488699808528523</v>
      </c>
      <c r="P133" s="80">
        <f t="shared" si="67"/>
        <v>0</v>
      </c>
      <c r="Q133" s="81">
        <f t="shared" si="76"/>
        <v>0</v>
      </c>
      <c r="R133" s="81">
        <f t="shared" ref="R133:R144" si="79">IF(Q133=0,B133,R132)</f>
        <v>82.5</v>
      </c>
      <c r="S133" s="82">
        <f t="shared" ref="S133:S144" si="80">IF((Q133)&lt;&gt;0,B133,S132)</f>
        <v>55</v>
      </c>
      <c r="T133" s="84">
        <f t="shared" si="68"/>
        <v>27.5</v>
      </c>
      <c r="U133" s="86" t="str">
        <f t="shared" si="77"/>
        <v>-</v>
      </c>
      <c r="V133" s="77"/>
      <c r="W133" s="78"/>
      <c r="X133" s="79"/>
    </row>
    <row r="134" spans="1:24" x14ac:dyDescent="0.25">
      <c r="A134" s="129">
        <v>5</v>
      </c>
      <c r="B134" s="125">
        <f t="shared" si="78"/>
        <v>68.75</v>
      </c>
      <c r="C134" s="126">
        <f>B134+W125</f>
        <v>48.75</v>
      </c>
      <c r="D134" s="115">
        <f t="shared" si="69"/>
        <v>0.85084801034723556</v>
      </c>
      <c r="E134" s="80">
        <f t="shared" si="70"/>
        <v>-55.878016124626285</v>
      </c>
      <c r="F134" s="81">
        <f t="shared" si="71"/>
        <v>-159.34356295400553</v>
      </c>
      <c r="G134" s="82">
        <f t="shared" si="72"/>
        <v>-75.183980747897721</v>
      </c>
      <c r="H134" s="80">
        <f>H130</f>
        <v>13.459571306103069</v>
      </c>
      <c r="I134" s="81">
        <f>I130</f>
        <v>26.612792826075978</v>
      </c>
      <c r="J134" s="82">
        <f>J130</f>
        <v>-380.65040922434611</v>
      </c>
      <c r="K134" s="80">
        <f t="shared" si="73"/>
        <v>-69.337587430729357</v>
      </c>
      <c r="L134" s="81">
        <f t="shared" si="66"/>
        <v>-185.95635578008151</v>
      </c>
      <c r="M134" s="82">
        <f t="shared" si="66"/>
        <v>305.46642847644841</v>
      </c>
      <c r="N134" s="80">
        <f t="shared" si="74"/>
        <v>364.2762773114377</v>
      </c>
      <c r="O134" s="83">
        <f t="shared" si="75"/>
        <v>-77.211180628061683</v>
      </c>
      <c r="P134" s="80">
        <f t="shared" si="67"/>
        <v>0</v>
      </c>
      <c r="Q134" s="81">
        <f t="shared" si="76"/>
        <v>1</v>
      </c>
      <c r="R134" s="81">
        <f t="shared" si="79"/>
        <v>82.5</v>
      </c>
      <c r="S134" s="82">
        <f t="shared" si="80"/>
        <v>68.75</v>
      </c>
      <c r="T134" s="84">
        <f t="shared" si="68"/>
        <v>13.75</v>
      </c>
      <c r="U134" s="86" t="str">
        <f t="shared" si="77"/>
        <v>-</v>
      </c>
      <c r="V134" s="77"/>
      <c r="W134" s="78"/>
      <c r="X134" s="79"/>
    </row>
    <row r="135" spans="1:24" x14ac:dyDescent="0.25">
      <c r="A135" s="129">
        <v>6</v>
      </c>
      <c r="B135" s="125">
        <f t="shared" si="78"/>
        <v>75.625</v>
      </c>
      <c r="C135" s="126">
        <f>B135+W125</f>
        <v>55.625</v>
      </c>
      <c r="D135" s="115">
        <f t="shared" si="69"/>
        <v>0.97083939642184569</v>
      </c>
      <c r="E135" s="80">
        <f t="shared" si="70"/>
        <v>-51.141071668337872</v>
      </c>
      <c r="F135" s="81">
        <f t="shared" si="71"/>
        <v>-151.13893448308227</v>
      </c>
      <c r="G135" s="82">
        <f t="shared" si="72"/>
        <v>-82.535993308486368</v>
      </c>
      <c r="H135" s="80">
        <f>H130</f>
        <v>13.459571306103069</v>
      </c>
      <c r="I135" s="81">
        <f>I130</f>
        <v>26.612792826075978</v>
      </c>
      <c r="J135" s="82">
        <f>J130</f>
        <v>-380.65040922434611</v>
      </c>
      <c r="K135" s="80">
        <f t="shared" si="73"/>
        <v>-64.600642974440944</v>
      </c>
      <c r="L135" s="81">
        <f t="shared" si="66"/>
        <v>-177.75172730915824</v>
      </c>
      <c r="M135" s="82">
        <f t="shared" si="66"/>
        <v>298.11441591585975</v>
      </c>
      <c r="N135" s="80">
        <f t="shared" si="74"/>
        <v>353.04549934952399</v>
      </c>
      <c r="O135" s="83">
        <f t="shared" si="75"/>
        <v>-77.773190970064874</v>
      </c>
      <c r="P135" s="80">
        <f t="shared" si="67"/>
        <v>0</v>
      </c>
      <c r="Q135" s="81">
        <f t="shared" si="76"/>
        <v>1</v>
      </c>
      <c r="R135" s="81">
        <f t="shared" si="79"/>
        <v>82.5</v>
      </c>
      <c r="S135" s="82">
        <f t="shared" si="80"/>
        <v>75.625</v>
      </c>
      <c r="T135" s="84">
        <f>R135-S135</f>
        <v>6.875</v>
      </c>
      <c r="U135" s="86" t="str">
        <f t="shared" si="77"/>
        <v>-</v>
      </c>
      <c r="V135" s="77"/>
      <c r="W135" s="78"/>
      <c r="X135" s="79"/>
    </row>
    <row r="136" spans="1:24" x14ac:dyDescent="0.25">
      <c r="A136" s="129">
        <v>7</v>
      </c>
      <c r="B136" s="125">
        <f t="shared" si="78"/>
        <v>79.0625</v>
      </c>
      <c r="C136" s="126">
        <f>B136+W125</f>
        <v>59.0625</v>
      </c>
      <c r="D136" s="115">
        <f>C136*2*PI()/360</f>
        <v>1.0308350894591507</v>
      </c>
      <c r="E136" s="80">
        <f t="shared" si="70"/>
        <v>-48.615862579283927</v>
      </c>
      <c r="F136" s="81">
        <f t="shared" si="71"/>
        <v>-146.76514404110611</v>
      </c>
      <c r="G136" s="82">
        <f t="shared" si="72"/>
        <v>-85.772861000027206</v>
      </c>
      <c r="H136" s="80">
        <f>H130</f>
        <v>13.459571306103069</v>
      </c>
      <c r="I136" s="81">
        <f>I130</f>
        <v>26.612792826075978</v>
      </c>
      <c r="J136" s="82">
        <f>J130</f>
        <v>-380.65040922434611</v>
      </c>
      <c r="K136" s="80">
        <f t="shared" si="73"/>
        <v>-62.075433885387</v>
      </c>
      <c r="L136" s="81">
        <f t="shared" si="66"/>
        <v>-173.37793686718209</v>
      </c>
      <c r="M136" s="82">
        <f t="shared" si="66"/>
        <v>294.8775482243189</v>
      </c>
      <c r="N136" s="80">
        <f t="shared" si="74"/>
        <v>347.65793091940986</v>
      </c>
      <c r="O136" s="83">
        <f t="shared" si="75"/>
        <v>-78.112095485573533</v>
      </c>
      <c r="P136" s="80">
        <f t="shared" si="67"/>
        <v>0</v>
      </c>
      <c r="Q136" s="81">
        <f t="shared" si="76"/>
        <v>0</v>
      </c>
      <c r="R136" s="81">
        <f t="shared" si="79"/>
        <v>79.0625</v>
      </c>
      <c r="S136" s="82">
        <f t="shared" si="80"/>
        <v>75.625</v>
      </c>
      <c r="T136" s="84">
        <f t="shared" ref="T136:T143" si="81">R136-S136</f>
        <v>3.4375</v>
      </c>
      <c r="U136" s="86" t="str">
        <f t="shared" si="77"/>
        <v>-</v>
      </c>
      <c r="V136" s="77"/>
      <c r="W136" s="78"/>
      <c r="X136" s="79"/>
    </row>
    <row r="137" spans="1:24" x14ac:dyDescent="0.25">
      <c r="A137" s="129">
        <v>8</v>
      </c>
      <c r="B137" s="125">
        <f t="shared" si="78"/>
        <v>77.34375</v>
      </c>
      <c r="C137" s="126">
        <f>B137+W125</f>
        <v>57.34375</v>
      </c>
      <c r="D137" s="115">
        <f t="shared" si="69"/>
        <v>1.0008372429404984</v>
      </c>
      <c r="E137" s="80">
        <f t="shared" si="70"/>
        <v>-49.890605416592308</v>
      </c>
      <c r="F137" s="81">
        <f t="shared" si="71"/>
        <v>-148.97306340190875</v>
      </c>
      <c r="G137" s="82">
        <f t="shared" si="72"/>
        <v>-84.192305412101362</v>
      </c>
      <c r="H137" s="80">
        <f>H130</f>
        <v>13.459571306103069</v>
      </c>
      <c r="I137" s="81">
        <f>I130</f>
        <v>26.612792826075978</v>
      </c>
      <c r="J137" s="82">
        <f>J130</f>
        <v>-380.65040922434611</v>
      </c>
      <c r="K137" s="80">
        <f t="shared" si="73"/>
        <v>-63.35017672269538</v>
      </c>
      <c r="L137" s="81">
        <f t="shared" si="66"/>
        <v>-175.58585622798472</v>
      </c>
      <c r="M137" s="82">
        <f t="shared" si="66"/>
        <v>296.45810381224476</v>
      </c>
      <c r="N137" s="80">
        <f t="shared" si="74"/>
        <v>350.32990896305574</v>
      </c>
      <c r="O137" s="83">
        <f t="shared" si="75"/>
        <v>-77.937872114532439</v>
      </c>
      <c r="P137" s="80">
        <f t="shared" si="67"/>
        <v>0</v>
      </c>
      <c r="Q137" s="81">
        <f t="shared" si="76"/>
        <v>1</v>
      </c>
      <c r="R137" s="81">
        <f t="shared" si="79"/>
        <v>79.0625</v>
      </c>
      <c r="S137" s="82">
        <f t="shared" si="80"/>
        <v>77.34375</v>
      </c>
      <c r="T137" s="84">
        <f t="shared" si="81"/>
        <v>1.71875</v>
      </c>
      <c r="U137" s="86" t="str">
        <f t="shared" si="77"/>
        <v>-</v>
      </c>
      <c r="V137" s="77"/>
      <c r="W137" s="78"/>
      <c r="X137" s="79"/>
    </row>
    <row r="138" spans="1:24" x14ac:dyDescent="0.25">
      <c r="A138" s="129">
        <v>9</v>
      </c>
      <c r="B138" s="125">
        <f t="shared" si="78"/>
        <v>78.203125</v>
      </c>
      <c r="C138" s="126">
        <f>B138+W125</f>
        <v>58.203125</v>
      </c>
      <c r="D138" s="115">
        <f t="shared" si="69"/>
        <v>1.0158361661998245</v>
      </c>
      <c r="E138" s="80">
        <f t="shared" si="70"/>
        <v>-49.256197382490114</v>
      </c>
      <c r="F138" s="81">
        <f t="shared" si="71"/>
        <v>-147.87423645411386</v>
      </c>
      <c r="G138" s="82">
        <f t="shared" si="72"/>
        <v>-84.992143270286519</v>
      </c>
      <c r="H138" s="80">
        <f>H130</f>
        <v>13.459571306103069</v>
      </c>
      <c r="I138" s="81">
        <f>I130</f>
        <v>26.612792826075978</v>
      </c>
      <c r="J138" s="82">
        <f>J130</f>
        <v>-380.65040922434611</v>
      </c>
      <c r="K138" s="80">
        <f t="shared" si="73"/>
        <v>-62.715768688593187</v>
      </c>
      <c r="L138" s="81">
        <f t="shared" si="66"/>
        <v>-174.48702928018983</v>
      </c>
      <c r="M138" s="82">
        <f t="shared" si="66"/>
        <v>295.65826595405957</v>
      </c>
      <c r="N138" s="80">
        <f t="shared" si="74"/>
        <v>348.98825375102291</v>
      </c>
      <c r="O138" s="83">
        <f t="shared" si="75"/>
        <v>-78.023797282644225</v>
      </c>
      <c r="P138" s="80">
        <f t="shared" si="67"/>
        <v>0</v>
      </c>
      <c r="Q138" s="81">
        <f t="shared" si="76"/>
        <v>0</v>
      </c>
      <c r="R138" s="81">
        <f t="shared" si="79"/>
        <v>78.203125</v>
      </c>
      <c r="S138" s="82">
        <f t="shared" si="80"/>
        <v>77.34375</v>
      </c>
      <c r="T138" s="84">
        <f t="shared" si="81"/>
        <v>0.859375</v>
      </c>
      <c r="U138" s="86" t="str">
        <f t="shared" si="77"/>
        <v>-</v>
      </c>
      <c r="V138" s="77"/>
      <c r="W138" s="78"/>
      <c r="X138" s="79"/>
    </row>
    <row r="139" spans="1:24" ht="15.75" thickBot="1" x14ac:dyDescent="0.3">
      <c r="A139" s="130">
        <v>10</v>
      </c>
      <c r="B139" s="122">
        <f t="shared" si="78"/>
        <v>77.7734375</v>
      </c>
      <c r="C139" s="123">
        <f>B139+W125</f>
        <v>57.7734375</v>
      </c>
      <c r="D139" s="119">
        <f t="shared" si="69"/>
        <v>1.0083367045701614</v>
      </c>
      <c r="E139" s="80">
        <f t="shared" si="70"/>
        <v>-49.574151197221312</v>
      </c>
      <c r="F139" s="81">
        <f t="shared" si="71"/>
        <v>-148.42494861568863</v>
      </c>
      <c r="G139" s="82">
        <f t="shared" si="72"/>
        <v>-84.594603211697944</v>
      </c>
      <c r="H139" s="80">
        <f>H130</f>
        <v>13.459571306103069</v>
      </c>
      <c r="I139" s="81">
        <f>I130</f>
        <v>26.612792826075978</v>
      </c>
      <c r="J139" s="82">
        <f>J130</f>
        <v>-380.65040922434611</v>
      </c>
      <c r="K139" s="80">
        <f t="shared" si="73"/>
        <v>-63.033722503324384</v>
      </c>
      <c r="L139" s="81">
        <f t="shared" si="66"/>
        <v>-175.03774144176461</v>
      </c>
      <c r="M139" s="82">
        <f t="shared" si="66"/>
        <v>296.05580601264819</v>
      </c>
      <c r="N139" s="80">
        <f t="shared" si="74"/>
        <v>349.65769171499562</v>
      </c>
      <c r="O139" s="87">
        <f t="shared" si="75"/>
        <v>-77.980537220941159</v>
      </c>
      <c r="P139" s="80">
        <f t="shared" si="67"/>
        <v>0</v>
      </c>
      <c r="Q139" s="81">
        <f t="shared" si="76"/>
        <v>0</v>
      </c>
      <c r="R139" s="81">
        <f t="shared" si="79"/>
        <v>77.7734375</v>
      </c>
      <c r="S139" s="82">
        <f t="shared" si="80"/>
        <v>77.34375</v>
      </c>
      <c r="T139" s="90">
        <f t="shared" si="81"/>
        <v>0.4296875</v>
      </c>
      <c r="U139" s="91" t="str">
        <f t="shared" si="77"/>
        <v>-</v>
      </c>
      <c r="V139" s="77"/>
      <c r="W139" s="78"/>
      <c r="X139" s="79"/>
    </row>
    <row r="140" spans="1:24" ht="15.75" thickTop="1" x14ac:dyDescent="0.25">
      <c r="A140" s="124">
        <v>11</v>
      </c>
      <c r="B140" s="120">
        <f t="shared" si="78"/>
        <v>77.55859375</v>
      </c>
      <c r="C140" s="112">
        <f>B140+W125</f>
        <v>57.55859375</v>
      </c>
      <c r="D140" s="114">
        <f t="shared" si="69"/>
        <v>1.0045869737553299</v>
      </c>
      <c r="E140" s="71">
        <f t="shared" si="70"/>
        <v>-49.732566870684735</v>
      </c>
      <c r="F140" s="72">
        <f t="shared" si="71"/>
        <v>-148.69933261084253</v>
      </c>
      <c r="G140" s="73">
        <f t="shared" si="72"/>
        <v>-84.394047621663788</v>
      </c>
      <c r="H140" s="71">
        <f>H130</f>
        <v>13.459571306103069</v>
      </c>
      <c r="I140" s="72">
        <f>I130</f>
        <v>26.612792826075978</v>
      </c>
      <c r="J140" s="73">
        <f>J130</f>
        <v>-380.65040922434611</v>
      </c>
      <c r="K140" s="71">
        <f t="shared" si="73"/>
        <v>-63.192138176787807</v>
      </c>
      <c r="L140" s="72">
        <f t="shared" si="66"/>
        <v>-175.31212543691851</v>
      </c>
      <c r="M140" s="73">
        <f t="shared" si="66"/>
        <v>296.25636160268232</v>
      </c>
      <c r="N140" s="71">
        <f t="shared" si="74"/>
        <v>349.99345628543307</v>
      </c>
      <c r="O140" s="83">
        <f t="shared" si="75"/>
        <v>-77.959130198078029</v>
      </c>
      <c r="P140" s="71">
        <f t="shared" si="67"/>
        <v>0</v>
      </c>
      <c r="Q140" s="72">
        <f t="shared" si="76"/>
        <v>0</v>
      </c>
      <c r="R140" s="72">
        <f t="shared" si="79"/>
        <v>77.55859375</v>
      </c>
      <c r="S140" s="73">
        <f t="shared" si="80"/>
        <v>77.34375</v>
      </c>
      <c r="T140" s="84">
        <f t="shared" si="81"/>
        <v>0.21484375</v>
      </c>
      <c r="U140" s="86" t="str">
        <f t="shared" si="77"/>
        <v>STOP!</v>
      </c>
      <c r="V140" s="77"/>
      <c r="W140" s="78"/>
      <c r="X140" s="79"/>
    </row>
    <row r="141" spans="1:24" x14ac:dyDescent="0.25">
      <c r="A141" s="51">
        <v>12</v>
      </c>
      <c r="B141" s="125">
        <f t="shared" si="78"/>
        <v>77.451171875</v>
      </c>
      <c r="C141" s="126">
        <f>B141+W125</f>
        <v>57.451171875</v>
      </c>
      <c r="D141" s="115">
        <f t="shared" si="69"/>
        <v>1.0027121083479142</v>
      </c>
      <c r="E141" s="80">
        <f t="shared" si="70"/>
        <v>-49.811633423588617</v>
      </c>
      <c r="F141" s="81">
        <f t="shared" si="71"/>
        <v>-148.83627989765137</v>
      </c>
      <c r="G141" s="82">
        <f t="shared" si="72"/>
        <v>-84.293324667427356</v>
      </c>
      <c r="H141" s="80">
        <f>H130</f>
        <v>13.459571306103069</v>
      </c>
      <c r="I141" s="81">
        <f>I130</f>
        <v>26.612792826075978</v>
      </c>
      <c r="J141" s="82">
        <f>J130</f>
        <v>-380.65040922434611</v>
      </c>
      <c r="K141" s="80">
        <f t="shared" si="73"/>
        <v>-63.271204729691689</v>
      </c>
      <c r="L141" s="81">
        <f t="shared" si="66"/>
        <v>-175.44907272372734</v>
      </c>
      <c r="M141" s="82">
        <f t="shared" si="66"/>
        <v>296.35708455691872</v>
      </c>
      <c r="N141" s="80">
        <f t="shared" si="74"/>
        <v>350.16159703005553</v>
      </c>
      <c r="O141" s="83">
        <f t="shared" si="75"/>
        <v>-77.94848252671936</v>
      </c>
      <c r="P141" s="80">
        <f t="shared" si="67"/>
        <v>0</v>
      </c>
      <c r="Q141" s="81">
        <f t="shared" si="76"/>
        <v>1</v>
      </c>
      <c r="R141" s="81">
        <f t="shared" si="79"/>
        <v>77.55859375</v>
      </c>
      <c r="S141" s="82">
        <f t="shared" si="80"/>
        <v>77.451171875</v>
      </c>
      <c r="T141" s="84">
        <f t="shared" si="81"/>
        <v>0.107421875</v>
      </c>
      <c r="U141" s="86" t="str">
        <f t="shared" si="77"/>
        <v>-</v>
      </c>
      <c r="V141" s="77"/>
      <c r="W141" s="78"/>
      <c r="X141" s="79"/>
    </row>
    <row r="142" spans="1:24" x14ac:dyDescent="0.25">
      <c r="A142" s="51">
        <v>13</v>
      </c>
      <c r="B142" s="125">
        <f t="shared" si="78"/>
        <v>77.5048828125</v>
      </c>
      <c r="C142" s="126">
        <f>B142+W125</f>
        <v>57.5048828125</v>
      </c>
      <c r="D142" s="115">
        <f t="shared" si="69"/>
        <v>1.003649541051622</v>
      </c>
      <c r="E142" s="80">
        <f t="shared" si="70"/>
        <v>-49.772111949761467</v>
      </c>
      <c r="F142" s="81">
        <f t="shared" si="71"/>
        <v>-148.76782669699276</v>
      </c>
      <c r="G142" s="82">
        <f t="shared" si="72"/>
        <v>-84.343723204334509</v>
      </c>
      <c r="H142" s="80">
        <f>H131</f>
        <v>13.459571306103069</v>
      </c>
      <c r="I142" s="81">
        <f>I130</f>
        <v>26.612792826075978</v>
      </c>
      <c r="J142" s="82">
        <f>J130</f>
        <v>-380.65040922434611</v>
      </c>
      <c r="K142" s="80">
        <f t="shared" si="73"/>
        <v>-63.231683255864539</v>
      </c>
      <c r="L142" s="81">
        <f t="shared" si="66"/>
        <v>-175.38061952306873</v>
      </c>
      <c r="M142" s="82">
        <f t="shared" si="66"/>
        <v>296.30668602001163</v>
      </c>
      <c r="N142" s="80">
        <f t="shared" si="74"/>
        <v>350.07750520681435</v>
      </c>
      <c r="O142" s="83">
        <f t="shared" si="75"/>
        <v>-77.953801706507605</v>
      </c>
      <c r="P142" s="80">
        <f t="shared" si="67"/>
        <v>0</v>
      </c>
      <c r="Q142" s="81">
        <f t="shared" si="76"/>
        <v>1</v>
      </c>
      <c r="R142" s="81">
        <f t="shared" si="79"/>
        <v>77.55859375</v>
      </c>
      <c r="S142" s="82">
        <f t="shared" si="80"/>
        <v>77.5048828125</v>
      </c>
      <c r="T142" s="84">
        <f t="shared" si="81"/>
        <v>5.37109375E-2</v>
      </c>
      <c r="U142" s="86" t="str">
        <f t="shared" si="77"/>
        <v>STOP!</v>
      </c>
      <c r="V142" s="77"/>
      <c r="W142" s="78"/>
      <c r="X142" s="79"/>
    </row>
    <row r="143" spans="1:24" x14ac:dyDescent="0.25">
      <c r="A143" s="51">
        <v>14</v>
      </c>
      <c r="B143" s="125">
        <f t="shared" si="78"/>
        <v>77.53173828125</v>
      </c>
      <c r="C143" s="126">
        <f>B143+W125</f>
        <v>57.53173828125</v>
      </c>
      <c r="D143" s="115">
        <f t="shared" si="69"/>
        <v>1.0041182574034759</v>
      </c>
      <c r="E143" s="80">
        <f t="shared" si="70"/>
        <v>-49.752342358707821</v>
      </c>
      <c r="F143" s="81">
        <f t="shared" si="71"/>
        <v>-148.73358476084297</v>
      </c>
      <c r="G143" s="82">
        <f t="shared" si="72"/>
        <v>-84.368894680711918</v>
      </c>
      <c r="H143" s="80">
        <f>H132</f>
        <v>13.459571306103069</v>
      </c>
      <c r="I143" s="81">
        <f>I130</f>
        <v>26.612792826075978</v>
      </c>
      <c r="J143" s="82">
        <f>J130</f>
        <v>-380.65040922434611</v>
      </c>
      <c r="K143" s="80">
        <f t="shared" si="73"/>
        <v>-63.211913664810893</v>
      </c>
      <c r="L143" s="81">
        <f t="shared" si="66"/>
        <v>-175.34637758691895</v>
      </c>
      <c r="M143" s="82">
        <f t="shared" si="66"/>
        <v>296.28151454363422</v>
      </c>
      <c r="N143" s="80">
        <f t="shared" si="74"/>
        <v>350.03547537684176</v>
      </c>
      <c r="O143" s="83">
        <f t="shared" si="75"/>
        <v>-77.956464788509621</v>
      </c>
      <c r="P143" s="80">
        <f t="shared" si="67"/>
        <v>0</v>
      </c>
      <c r="Q143" s="81">
        <f t="shared" si="76"/>
        <v>1</v>
      </c>
      <c r="R143" s="81">
        <f t="shared" si="79"/>
        <v>77.55859375</v>
      </c>
      <c r="S143" s="82">
        <f t="shared" si="80"/>
        <v>77.53173828125</v>
      </c>
      <c r="T143" s="84">
        <f t="shared" si="81"/>
        <v>2.685546875E-2</v>
      </c>
      <c r="U143" s="86" t="str">
        <f t="shared" si="77"/>
        <v>STOP!</v>
      </c>
      <c r="V143" s="77"/>
      <c r="W143" s="78"/>
      <c r="X143" s="79"/>
    </row>
    <row r="144" spans="1:24" ht="15.75" thickBot="1" x14ac:dyDescent="0.3">
      <c r="A144" s="127">
        <v>15</v>
      </c>
      <c r="B144" s="122">
        <f t="shared" si="78"/>
        <v>77.545166015625</v>
      </c>
      <c r="C144" s="123">
        <f>B144+W125</f>
        <v>57.545166015625</v>
      </c>
      <c r="D144" s="119">
        <f t="shared" si="69"/>
        <v>1.0043526155794029</v>
      </c>
      <c r="E144" s="92">
        <f t="shared" si="70"/>
        <v>-49.742455351545956</v>
      </c>
      <c r="F144" s="90">
        <f t="shared" si="71"/>
        <v>-148.71645996210384</v>
      </c>
      <c r="G144" s="89">
        <f t="shared" si="72"/>
        <v>-84.381473468461493</v>
      </c>
      <c r="H144" s="92">
        <f>H133</f>
        <v>13.459571306103069</v>
      </c>
      <c r="I144" s="90">
        <f>I130</f>
        <v>26.612792826075978</v>
      </c>
      <c r="J144" s="89">
        <f>J130</f>
        <v>-380.65040922434611</v>
      </c>
      <c r="K144" s="92">
        <f t="shared" si="73"/>
        <v>-63.202026657649029</v>
      </c>
      <c r="L144" s="90">
        <f t="shared" si="66"/>
        <v>-175.32925278817982</v>
      </c>
      <c r="M144" s="89">
        <f t="shared" si="66"/>
        <v>296.26893575588463</v>
      </c>
      <c r="N144" s="92">
        <f t="shared" si="74"/>
        <v>350.01446448799817</v>
      </c>
      <c r="O144" s="87">
        <f t="shared" si="75"/>
        <v>-77.957797202371808</v>
      </c>
      <c r="P144" s="92">
        <f t="shared" si="67"/>
        <v>0</v>
      </c>
      <c r="Q144" s="90">
        <f t="shared" si="76"/>
        <v>1</v>
      </c>
      <c r="R144" s="90">
        <f t="shared" si="79"/>
        <v>77.55859375</v>
      </c>
      <c r="S144" s="89">
        <f t="shared" si="80"/>
        <v>77.545166015625</v>
      </c>
      <c r="T144" s="90">
        <f>R144-S144</f>
        <v>1.3427734375E-2</v>
      </c>
      <c r="U144" s="91" t="str">
        <f t="shared" si="77"/>
        <v>STOP!</v>
      </c>
      <c r="V144" s="77"/>
      <c r="W144" s="78"/>
      <c r="X144" s="79"/>
    </row>
    <row r="145" spans="1:24" ht="15.75" thickTop="1" x14ac:dyDescent="0.25">
      <c r="G145" s="16"/>
      <c r="J145" s="16"/>
      <c r="M145" s="16"/>
      <c r="Q145" s="75"/>
      <c r="R145" s="75"/>
      <c r="U145" s="15"/>
      <c r="V145" s="15"/>
      <c r="W145" s="15"/>
    </row>
    <row r="146" spans="1:24" x14ac:dyDescent="0.25">
      <c r="D146" s="84"/>
      <c r="E146" s="48" t="s">
        <v>83</v>
      </c>
      <c r="F146" s="15"/>
      <c r="H146" s="48" t="s">
        <v>84</v>
      </c>
      <c r="I146" s="15"/>
      <c r="K146" s="48" t="s">
        <v>85</v>
      </c>
      <c r="L146" s="15"/>
      <c r="V146" s="15"/>
      <c r="W146" s="15"/>
    </row>
    <row r="147" spans="1:24" ht="15.75" thickBot="1" x14ac:dyDescent="0.3"/>
    <row r="148" spans="1:24" ht="15.75" thickBot="1" x14ac:dyDescent="0.3">
      <c r="A148" s="58">
        <f>IF(ABS($N$169-$M$5)&lt;0.1,1,-1)</f>
        <v>1</v>
      </c>
      <c r="D148" s="59" t="s">
        <v>59</v>
      </c>
      <c r="E148" s="60">
        <v>6</v>
      </c>
      <c r="V148" s="15"/>
      <c r="W148" s="61" t="s">
        <v>13</v>
      </c>
      <c r="X148" s="15"/>
    </row>
    <row r="149" spans="1:24" x14ac:dyDescent="0.25">
      <c r="D149" s="26" t="s">
        <v>7</v>
      </c>
      <c r="E149" s="26" t="s">
        <v>8</v>
      </c>
      <c r="F149" s="26" t="s">
        <v>9</v>
      </c>
      <c r="G149" s="26" t="s">
        <v>10</v>
      </c>
      <c r="H149" s="26" t="s">
        <v>11</v>
      </c>
      <c r="I149" s="26" t="s">
        <v>12</v>
      </c>
      <c r="J149" s="26"/>
      <c r="K149" s="26" t="s">
        <v>28</v>
      </c>
      <c r="L149" s="26" t="s">
        <v>55</v>
      </c>
      <c r="M149" s="26" t="s">
        <v>60</v>
      </c>
      <c r="N149" s="26"/>
      <c r="O149" s="26" t="s">
        <v>32</v>
      </c>
      <c r="P149" s="26" t="s">
        <v>57</v>
      </c>
      <c r="Q149" s="26" t="s">
        <v>61</v>
      </c>
      <c r="R149" s="26"/>
      <c r="S149" s="26" t="s">
        <v>16</v>
      </c>
      <c r="T149" s="26" t="s">
        <v>56</v>
      </c>
      <c r="U149" s="26" t="s">
        <v>17</v>
      </c>
      <c r="V149" s="15"/>
      <c r="W149" s="26" t="s">
        <v>14</v>
      </c>
      <c r="X149" s="26" t="s">
        <v>15</v>
      </c>
    </row>
    <row r="150" spans="1:24" x14ac:dyDescent="0.25">
      <c r="D150" s="47">
        <f>$B$4</f>
        <v>0</v>
      </c>
      <c r="E150" s="47">
        <f>$C$4</f>
        <v>75</v>
      </c>
      <c r="F150" s="47">
        <f>$D$4</f>
        <v>-373.17</v>
      </c>
      <c r="G150" s="47">
        <f>$E$4*2*PI()/360</f>
        <v>0.1308996938995747</v>
      </c>
      <c r="H150" s="47">
        <f>$F$4*2*PI()/360</f>
        <v>0.1308996938995747</v>
      </c>
      <c r="I150" s="47">
        <f>$G$4*2*PI()/360</f>
        <v>0.1308996938995747</v>
      </c>
      <c r="J150" s="23"/>
      <c r="K150" s="23">
        <f>G9*2*PI()/360</f>
        <v>0</v>
      </c>
      <c r="L150" s="47">
        <f>$B$15</f>
        <v>100</v>
      </c>
      <c r="M150" s="23">
        <f>$G$12</f>
        <v>-31.28</v>
      </c>
      <c r="N150" s="23"/>
      <c r="O150" s="23">
        <f>N9*2*PI()/360</f>
        <v>0</v>
      </c>
      <c r="P150" s="47">
        <f>$I$15</f>
        <v>40</v>
      </c>
      <c r="Q150" s="23">
        <f>$G$12</f>
        <v>-31.28</v>
      </c>
      <c r="R150" s="23"/>
      <c r="S150" s="47">
        <f>$L$5</f>
        <v>100</v>
      </c>
      <c r="T150" s="47">
        <f>$C$15</f>
        <v>0</v>
      </c>
      <c r="U150" s="47">
        <f>$M$5</f>
        <v>350</v>
      </c>
      <c r="V150" s="15"/>
      <c r="W150" s="47">
        <f>$I$5</f>
        <v>-20</v>
      </c>
      <c r="X150" s="47">
        <f>$J$5</f>
        <v>90</v>
      </c>
    </row>
    <row r="151" spans="1:24" x14ac:dyDescent="0.25">
      <c r="D151" s="28" t="s">
        <v>18</v>
      </c>
      <c r="E151" s="28" t="s">
        <v>18</v>
      </c>
      <c r="F151" s="28" t="s">
        <v>18</v>
      </c>
      <c r="G151" s="28" t="s">
        <v>20</v>
      </c>
      <c r="H151" s="28" t="s">
        <v>20</v>
      </c>
      <c r="I151" s="28" t="s">
        <v>20</v>
      </c>
      <c r="J151" s="28"/>
      <c r="K151" s="28" t="s">
        <v>20</v>
      </c>
      <c r="L151" s="28">
        <f>D146</f>
        <v>0</v>
      </c>
      <c r="M151" s="28" t="s">
        <v>18</v>
      </c>
      <c r="N151" s="28"/>
      <c r="O151" s="28" t="s">
        <v>20</v>
      </c>
      <c r="P151" s="28" t="s">
        <v>18</v>
      </c>
      <c r="Q151" s="28" t="s">
        <v>18</v>
      </c>
      <c r="R151" s="28"/>
      <c r="S151" s="28" t="s">
        <v>18</v>
      </c>
      <c r="T151" s="28" t="s">
        <v>18</v>
      </c>
      <c r="U151" s="28" t="s">
        <v>18</v>
      </c>
      <c r="V151" s="15"/>
      <c r="W151" s="28" t="s">
        <v>19</v>
      </c>
      <c r="X151" s="28" t="s">
        <v>19</v>
      </c>
    </row>
    <row r="152" spans="1:24" x14ac:dyDescent="0.25">
      <c r="D152" s="26"/>
      <c r="E152" s="26"/>
      <c r="F152" s="26"/>
      <c r="G152" s="26"/>
      <c r="H152" s="26"/>
      <c r="I152" s="26"/>
    </row>
    <row r="153" spans="1:24" x14ac:dyDescent="0.25">
      <c r="B153" s="66" t="s">
        <v>62</v>
      </c>
      <c r="C153" s="66"/>
      <c r="E153" s="48" t="s">
        <v>63</v>
      </c>
      <c r="F153" s="15"/>
      <c r="G153" s="67" t="s">
        <v>64</v>
      </c>
      <c r="H153" s="108" t="s">
        <v>65</v>
      </c>
      <c r="I153" s="109"/>
      <c r="J153" s="110" t="s">
        <v>66</v>
      </c>
      <c r="K153" s="48" t="s">
        <v>67</v>
      </c>
      <c r="L153" s="15"/>
      <c r="M153" s="67" t="s">
        <v>68</v>
      </c>
      <c r="N153" s="48" t="s">
        <v>69</v>
      </c>
      <c r="O153" s="16"/>
      <c r="P153" s="37" t="s">
        <v>70</v>
      </c>
      <c r="R153" s="37" t="s">
        <v>71</v>
      </c>
      <c r="S153" s="16"/>
      <c r="T153" s="68" t="s">
        <v>72</v>
      </c>
      <c r="U153" s="16" t="s">
        <v>73</v>
      </c>
    </row>
    <row r="154" spans="1:24" ht="15.75" thickBot="1" x14ac:dyDescent="0.3">
      <c r="A154" s="46" t="s">
        <v>74</v>
      </c>
      <c r="B154" t="s">
        <v>75</v>
      </c>
      <c r="D154" s="43" t="s">
        <v>20</v>
      </c>
      <c r="E154" s="51" t="s">
        <v>39</v>
      </c>
      <c r="F154" s="42" t="s">
        <v>54</v>
      </c>
      <c r="G154" s="43" t="s">
        <v>40</v>
      </c>
      <c r="H154" s="51" t="s">
        <v>39</v>
      </c>
      <c r="I154" s="42" t="s">
        <v>54</v>
      </c>
      <c r="J154" s="43" t="s">
        <v>40</v>
      </c>
      <c r="K154" s="51" t="s">
        <v>39</v>
      </c>
      <c r="L154" s="42" t="s">
        <v>54</v>
      </c>
      <c r="M154" s="43" t="s">
        <v>40</v>
      </c>
      <c r="N154" s="51" t="s">
        <v>76</v>
      </c>
      <c r="O154" s="69" t="s">
        <v>77</v>
      </c>
      <c r="Q154" t="s">
        <v>78</v>
      </c>
      <c r="R154" t="s">
        <v>79</v>
      </c>
      <c r="S154" s="43" t="s">
        <v>80</v>
      </c>
      <c r="T154" t="s">
        <v>81</v>
      </c>
      <c r="U154" s="43" t="s">
        <v>82</v>
      </c>
      <c r="V154" s="46"/>
      <c r="X154" s="46"/>
    </row>
    <row r="155" spans="1:24" ht="15.75" thickTop="1" x14ac:dyDescent="0.25">
      <c r="A155" s="70">
        <v>1</v>
      </c>
      <c r="B155" s="120">
        <f>W150-W150</f>
        <v>0</v>
      </c>
      <c r="C155" s="112">
        <f>B155+W150</f>
        <v>-20</v>
      </c>
      <c r="D155" s="114">
        <f>C155*2*PI()/360</f>
        <v>-0.3490658503988659</v>
      </c>
      <c r="E155" s="71">
        <f>COS($K$150)*(COS(D155)*$S$150+$L$150)-SIN($K$150)*$M$150</f>
        <v>193.96926207859084</v>
      </c>
      <c r="F155" s="72">
        <f>SIN($K$150)*(COS(D155)*$S$150+$L$150)+COS($K$150)*$M$150</f>
        <v>-31.28</v>
      </c>
      <c r="G155" s="73">
        <f>-SIN(D155)*$S$150</f>
        <v>34.202014332566868</v>
      </c>
      <c r="H155" s="71">
        <f>((COS(I150)*COS(H150)-SIN(I150)*SIN(G150)*SIN(H150))*(COS(O150)*P150-SIN(O150)*Q150)-SIN(I150)*COS(G150)*(SIN(O150)*P150 +COS(O150)*Q150)+(COS(I150)*SIN(H150)+SIN(I150)*SIN(G150)*COS(H150))*-T150)+D150</f>
        <v>43.277494948234136</v>
      </c>
      <c r="I155" s="72">
        <f>E150+COS(G150)*COS(I150)*(Q150*COS(O150)+P150*SIN(O150))+(P150*COS(O150)-Q150*SIN(O150))*(COS(I150)*SIN(G150)*SIN(H150)+COS(H150)*SIN(I150))+T150*(COS(I150)*COS(H150)*SIN(G150)-SIN(H150)*SIN(I150))</f>
        <v>50.104954267514628</v>
      </c>
      <c r="J155" s="73">
        <f>F150+Q150*COS(O150)*SIN(G150)+P150*SIN(O150)*SIN(G150)-COS(G150)*(T150*COS(H150)+(P150*COS(O150)-Q150*SIN(O150))*SIN(H150))</f>
        <v>-382.42924019469365</v>
      </c>
      <c r="K155" s="71">
        <f>E155-H155</f>
        <v>150.69176713035671</v>
      </c>
      <c r="L155" s="72">
        <f t="shared" ref="L155:M169" si="82">F155-I155</f>
        <v>-81.38495426751463</v>
      </c>
      <c r="M155" s="73">
        <f>G155-J155</f>
        <v>416.63125452726052</v>
      </c>
      <c r="N155" s="71">
        <f>SQRT((K155)^2+(L155)^2+(M155)^2)</f>
        <v>450.4587902471813</v>
      </c>
      <c r="O155" s="74">
        <f>ATAN(M155/K155)*180/PI()</f>
        <v>70.115399661140557</v>
      </c>
      <c r="P155" s="71">
        <f t="shared" ref="P155:P169" si="83">IF(K155/N155&lt;E155/$L$5,1,0)</f>
        <v>1</v>
      </c>
      <c r="Q155" s="72">
        <f>IF(N155&gt;$U$22,1,0)</f>
        <v>1</v>
      </c>
      <c r="R155" s="72">
        <f>X150-W150</f>
        <v>110</v>
      </c>
      <c r="S155" s="73">
        <v>0</v>
      </c>
      <c r="T155" s="72">
        <f t="shared" ref="T155:T159" si="84">R155-S155</f>
        <v>110</v>
      </c>
      <c r="U155" s="76" t="str">
        <f>IF(ABS(N155-U150)&lt;0.1,"STOP!","-")</f>
        <v>-</v>
      </c>
      <c r="V155" s="77"/>
      <c r="W155" s="78"/>
      <c r="X155" s="79"/>
    </row>
    <row r="156" spans="1:24" x14ac:dyDescent="0.25">
      <c r="A156" s="68">
        <v>2</v>
      </c>
      <c r="B156" s="121">
        <f>X150-W150</f>
        <v>110</v>
      </c>
      <c r="C156" s="113">
        <f>B156+W150</f>
        <v>90</v>
      </c>
      <c r="D156" s="115">
        <f t="shared" ref="D156:D169" si="85">C156*2*PI()/360</f>
        <v>1.5707963267948966</v>
      </c>
      <c r="E156" s="80">
        <f t="shared" ref="E156:E169" si="86">COS($K$150)*(COS(D156)*$S$150+$L$150)-SIN($K$150)*$M$150</f>
        <v>100</v>
      </c>
      <c r="F156" s="81">
        <f t="shared" ref="F156:F169" si="87">SIN($K$150)*(COS(D156)*$S$150+$L$150)+COS($K$150)*$M$150</f>
        <v>-31.28</v>
      </c>
      <c r="G156" s="82">
        <f t="shared" ref="G156:G169" si="88">-SIN(D156)*$S$150</f>
        <v>-100</v>
      </c>
      <c r="H156" s="80">
        <f>H155</f>
        <v>43.277494948234136</v>
      </c>
      <c r="I156" s="81">
        <f>I155</f>
        <v>50.104954267514628</v>
      </c>
      <c r="J156" s="82">
        <f>J155</f>
        <v>-382.42924019469365</v>
      </c>
      <c r="K156" s="80">
        <f t="shared" ref="K156:K169" si="89">E156-H156</f>
        <v>56.722505051765864</v>
      </c>
      <c r="L156" s="81">
        <f t="shared" si="82"/>
        <v>-81.38495426751463</v>
      </c>
      <c r="M156" s="82">
        <f t="shared" si="82"/>
        <v>282.42924019469365</v>
      </c>
      <c r="N156" s="80">
        <f t="shared" ref="N156:N169" si="90">SQRT((K156)^2+(L156)^2+(M156)^2)</f>
        <v>299.34466602467631</v>
      </c>
      <c r="O156" s="83">
        <f t="shared" ref="O156:O169" si="91">ATAN(M156/K156)*180/PI()</f>
        <v>78.643911443280217</v>
      </c>
      <c r="P156" s="80">
        <f t="shared" si="83"/>
        <v>1</v>
      </c>
      <c r="Q156" s="81">
        <f t="shared" ref="Q156:Q169" si="92">IF(N156&gt;$U$22,1,0)</f>
        <v>0</v>
      </c>
      <c r="R156" s="81">
        <f>X150-W150</f>
        <v>110</v>
      </c>
      <c r="S156" s="82">
        <f>W150-W150</f>
        <v>0</v>
      </c>
      <c r="T156" s="84">
        <f t="shared" si="84"/>
        <v>110</v>
      </c>
      <c r="U156" s="85" t="str">
        <f t="shared" ref="U156:U169" si="93">IF(ABS(N156-$M$5)&lt;0.1,"STOP!","-")</f>
        <v>-</v>
      </c>
      <c r="V156" s="77"/>
      <c r="W156" s="78"/>
      <c r="X156" s="79"/>
    </row>
    <row r="157" spans="1:24" x14ac:dyDescent="0.25">
      <c r="A157" s="68">
        <v>3</v>
      </c>
      <c r="B157" s="121">
        <f>(R156+S156)/2</f>
        <v>55</v>
      </c>
      <c r="C157" s="113">
        <f>B157+W150</f>
        <v>35</v>
      </c>
      <c r="D157" s="115">
        <f t="shared" si="85"/>
        <v>0.6108652381980153</v>
      </c>
      <c r="E157" s="80">
        <f t="shared" si="86"/>
        <v>181.91520442889919</v>
      </c>
      <c r="F157" s="81">
        <f t="shared" si="87"/>
        <v>-31.28</v>
      </c>
      <c r="G157" s="82">
        <f t="shared" si="88"/>
        <v>-57.357643635104608</v>
      </c>
      <c r="H157" s="80">
        <f>H155</f>
        <v>43.277494948234136</v>
      </c>
      <c r="I157" s="81">
        <f>I155</f>
        <v>50.104954267514628</v>
      </c>
      <c r="J157" s="82">
        <f>J155</f>
        <v>-382.42924019469365</v>
      </c>
      <c r="K157" s="80">
        <f t="shared" si="89"/>
        <v>138.63770948066505</v>
      </c>
      <c r="L157" s="81">
        <f t="shared" si="82"/>
        <v>-81.38495426751463</v>
      </c>
      <c r="M157" s="82">
        <f t="shared" si="82"/>
        <v>325.07159655958901</v>
      </c>
      <c r="N157" s="80">
        <f t="shared" si="90"/>
        <v>362.65061445001152</v>
      </c>
      <c r="O157" s="83">
        <f t="shared" si="91"/>
        <v>66.902546588119037</v>
      </c>
      <c r="P157" s="80">
        <f t="shared" si="83"/>
        <v>1</v>
      </c>
      <c r="Q157" s="81">
        <f t="shared" si="92"/>
        <v>1</v>
      </c>
      <c r="R157" s="81">
        <f>IF(Q157=0,B157,R156)</f>
        <v>110</v>
      </c>
      <c r="S157" s="82">
        <f>IF((Q157)&lt;&gt;0,B157,S156)</f>
        <v>55</v>
      </c>
      <c r="T157" s="84">
        <f t="shared" si="84"/>
        <v>55</v>
      </c>
      <c r="U157" s="86" t="str">
        <f t="shared" si="93"/>
        <v>-</v>
      </c>
      <c r="V157" s="77"/>
      <c r="W157" s="78"/>
      <c r="X157" s="79"/>
    </row>
    <row r="158" spans="1:24" x14ac:dyDescent="0.25">
      <c r="A158" s="68">
        <v>4</v>
      </c>
      <c r="B158" s="121">
        <f t="shared" ref="B158:B169" si="94">(R157+S157)/2</f>
        <v>82.5</v>
      </c>
      <c r="C158" s="113">
        <f>B158+W150</f>
        <v>62.5</v>
      </c>
      <c r="D158" s="115">
        <f t="shared" si="85"/>
        <v>1.0908307824964558</v>
      </c>
      <c r="E158" s="80">
        <f t="shared" si="86"/>
        <v>146.17486132350342</v>
      </c>
      <c r="F158" s="81">
        <f t="shared" si="87"/>
        <v>-31.28</v>
      </c>
      <c r="G158" s="82">
        <f t="shared" si="88"/>
        <v>-88.701083317822167</v>
      </c>
      <c r="H158" s="80">
        <f>H155</f>
        <v>43.277494948234136</v>
      </c>
      <c r="I158" s="81">
        <f>I155</f>
        <v>50.104954267514628</v>
      </c>
      <c r="J158" s="82">
        <f>J155</f>
        <v>-382.42924019469365</v>
      </c>
      <c r="K158" s="80">
        <f t="shared" si="89"/>
        <v>102.89736637526929</v>
      </c>
      <c r="L158" s="81">
        <f t="shared" si="82"/>
        <v>-81.38495426751463</v>
      </c>
      <c r="M158" s="82">
        <f t="shared" si="82"/>
        <v>293.72815687687148</v>
      </c>
      <c r="N158" s="80">
        <f t="shared" si="90"/>
        <v>321.69490037980995</v>
      </c>
      <c r="O158" s="83">
        <f t="shared" si="91"/>
        <v>70.693879053371461</v>
      </c>
      <c r="P158" s="80">
        <f t="shared" si="83"/>
        <v>1</v>
      </c>
      <c r="Q158" s="81">
        <f t="shared" si="92"/>
        <v>0</v>
      </c>
      <c r="R158" s="81">
        <f t="shared" ref="R158:R169" si="95">IF(Q158=0,B158,R157)</f>
        <v>82.5</v>
      </c>
      <c r="S158" s="82">
        <f t="shared" ref="S158:S169" si="96">IF((Q158)&lt;&gt;0,B158,S157)</f>
        <v>55</v>
      </c>
      <c r="T158" s="84">
        <f t="shared" si="84"/>
        <v>27.5</v>
      </c>
      <c r="U158" s="86" t="str">
        <f t="shared" si="93"/>
        <v>-</v>
      </c>
      <c r="V158" s="77"/>
      <c r="W158" s="78"/>
      <c r="X158" s="79"/>
    </row>
    <row r="159" spans="1:24" x14ac:dyDescent="0.25">
      <c r="A159" s="68">
        <v>5</v>
      </c>
      <c r="B159" s="121">
        <f t="shared" si="94"/>
        <v>68.75</v>
      </c>
      <c r="C159" s="113">
        <f>B159+W150</f>
        <v>48.75</v>
      </c>
      <c r="D159" s="115">
        <f t="shared" si="85"/>
        <v>0.85084801034723556</v>
      </c>
      <c r="E159" s="80">
        <f t="shared" si="86"/>
        <v>165.93458151000689</v>
      </c>
      <c r="F159" s="81">
        <f t="shared" si="87"/>
        <v>-31.28</v>
      </c>
      <c r="G159" s="82">
        <f t="shared" si="88"/>
        <v>-75.183980747897721</v>
      </c>
      <c r="H159" s="80">
        <f>H155</f>
        <v>43.277494948234136</v>
      </c>
      <c r="I159" s="81">
        <f>I155</f>
        <v>50.104954267514628</v>
      </c>
      <c r="J159" s="82">
        <f>J155</f>
        <v>-382.42924019469365</v>
      </c>
      <c r="K159" s="80">
        <f t="shared" si="89"/>
        <v>122.65708656177276</v>
      </c>
      <c r="L159" s="81">
        <f t="shared" si="82"/>
        <v>-81.38495426751463</v>
      </c>
      <c r="M159" s="82">
        <f t="shared" si="82"/>
        <v>307.2452594467959</v>
      </c>
      <c r="N159" s="80">
        <f t="shared" si="90"/>
        <v>340.68742436062502</v>
      </c>
      <c r="O159" s="83">
        <f t="shared" si="91"/>
        <v>68.237347048917997</v>
      </c>
      <c r="P159" s="80">
        <f t="shared" si="83"/>
        <v>1</v>
      </c>
      <c r="Q159" s="81">
        <f t="shared" si="92"/>
        <v>0</v>
      </c>
      <c r="R159" s="81">
        <f t="shared" si="95"/>
        <v>68.75</v>
      </c>
      <c r="S159" s="82">
        <f t="shared" si="96"/>
        <v>55</v>
      </c>
      <c r="T159" s="84">
        <f t="shared" si="84"/>
        <v>13.75</v>
      </c>
      <c r="U159" s="86" t="str">
        <f t="shared" si="93"/>
        <v>-</v>
      </c>
      <c r="V159" s="77"/>
      <c r="W159" s="78"/>
      <c r="X159" s="79"/>
    </row>
    <row r="160" spans="1:24" x14ac:dyDescent="0.25">
      <c r="A160" s="68">
        <v>6</v>
      </c>
      <c r="B160" s="121">
        <f t="shared" si="94"/>
        <v>61.875</v>
      </c>
      <c r="C160" s="113">
        <f>B160+W150</f>
        <v>41.875</v>
      </c>
      <c r="D160" s="115">
        <f t="shared" si="85"/>
        <v>0.73085662427262543</v>
      </c>
      <c r="E160" s="80">
        <f t="shared" si="86"/>
        <v>174.46028722923262</v>
      </c>
      <c r="F160" s="81">
        <f t="shared" si="87"/>
        <v>-31.28</v>
      </c>
      <c r="G160" s="82">
        <f t="shared" si="88"/>
        <v>-66.750772472984735</v>
      </c>
      <c r="H160" s="80">
        <f>H155</f>
        <v>43.277494948234136</v>
      </c>
      <c r="I160" s="81">
        <f>I155</f>
        <v>50.104954267514628</v>
      </c>
      <c r="J160" s="82">
        <f>J155</f>
        <v>-382.42924019469365</v>
      </c>
      <c r="K160" s="80">
        <f t="shared" si="89"/>
        <v>131.18279228099848</v>
      </c>
      <c r="L160" s="81">
        <f t="shared" si="82"/>
        <v>-81.38495426751463</v>
      </c>
      <c r="M160" s="82">
        <f t="shared" si="82"/>
        <v>315.6784677217089</v>
      </c>
      <c r="N160" s="80">
        <f t="shared" si="90"/>
        <v>351.40479614668186</v>
      </c>
      <c r="O160" s="83">
        <f t="shared" si="91"/>
        <v>67.43426921683384</v>
      </c>
      <c r="P160" s="80">
        <f t="shared" si="83"/>
        <v>1</v>
      </c>
      <c r="Q160" s="81">
        <f t="shared" si="92"/>
        <v>1</v>
      </c>
      <c r="R160" s="81">
        <f t="shared" si="95"/>
        <v>68.75</v>
      </c>
      <c r="S160" s="82">
        <f t="shared" si="96"/>
        <v>61.875</v>
      </c>
      <c r="T160" s="84">
        <f>R160-S160</f>
        <v>6.875</v>
      </c>
      <c r="U160" s="86" t="str">
        <f t="shared" si="93"/>
        <v>-</v>
      </c>
      <c r="V160" s="77"/>
      <c r="W160" s="78"/>
      <c r="X160" s="79"/>
    </row>
    <row r="161" spans="1:24" x14ac:dyDescent="0.25">
      <c r="A161" s="68">
        <v>7</v>
      </c>
      <c r="B161" s="121">
        <f t="shared" si="94"/>
        <v>65.3125</v>
      </c>
      <c r="C161" s="113">
        <f>B161+W150</f>
        <v>45.3125</v>
      </c>
      <c r="D161" s="115">
        <f>C161*2*PI()/360</f>
        <v>0.79085231730993055</v>
      </c>
      <c r="E161" s="80">
        <f t="shared" si="86"/>
        <v>170.32396136829243</v>
      </c>
      <c r="F161" s="81">
        <f t="shared" si="87"/>
        <v>-31.28</v>
      </c>
      <c r="G161" s="82">
        <f t="shared" si="88"/>
        <v>-71.095291387481581</v>
      </c>
      <c r="H161" s="80">
        <f>H155</f>
        <v>43.277494948234136</v>
      </c>
      <c r="I161" s="81">
        <f>I155</f>
        <v>50.104954267514628</v>
      </c>
      <c r="J161" s="82">
        <f>J155</f>
        <v>-382.42924019469365</v>
      </c>
      <c r="K161" s="80">
        <f t="shared" si="89"/>
        <v>127.04646642005829</v>
      </c>
      <c r="L161" s="81">
        <f t="shared" si="82"/>
        <v>-81.38495426751463</v>
      </c>
      <c r="M161" s="82">
        <f t="shared" si="82"/>
        <v>311.3339488072121</v>
      </c>
      <c r="N161" s="80">
        <f t="shared" si="90"/>
        <v>345.96696820771808</v>
      </c>
      <c r="O161" s="83">
        <f t="shared" si="91"/>
        <v>67.801035646736935</v>
      </c>
      <c r="P161" s="80">
        <f t="shared" si="83"/>
        <v>1</v>
      </c>
      <c r="Q161" s="81">
        <f t="shared" si="92"/>
        <v>0</v>
      </c>
      <c r="R161" s="81">
        <f t="shared" si="95"/>
        <v>65.3125</v>
      </c>
      <c r="S161" s="82">
        <f t="shared" si="96"/>
        <v>61.875</v>
      </c>
      <c r="T161" s="84">
        <f t="shared" ref="T161:T168" si="97">R161-S161</f>
        <v>3.4375</v>
      </c>
      <c r="U161" s="86" t="str">
        <f t="shared" si="93"/>
        <v>-</v>
      </c>
      <c r="V161" s="77"/>
      <c r="W161" s="78"/>
      <c r="X161" s="79"/>
    </row>
    <row r="162" spans="1:24" x14ac:dyDescent="0.25">
      <c r="A162" s="68">
        <v>8</v>
      </c>
      <c r="B162" s="121">
        <f t="shared" si="94"/>
        <v>63.59375</v>
      </c>
      <c r="C162" s="113">
        <f>B162+W150</f>
        <v>43.59375</v>
      </c>
      <c r="D162" s="115">
        <f t="shared" si="85"/>
        <v>0.76085447079127799</v>
      </c>
      <c r="E162" s="80">
        <f t="shared" si="86"/>
        <v>172.4247082951467</v>
      </c>
      <c r="F162" s="81">
        <f t="shared" si="87"/>
        <v>-31.28</v>
      </c>
      <c r="G162" s="82">
        <f t="shared" si="88"/>
        <v>-68.954054473706677</v>
      </c>
      <c r="H162" s="80">
        <f>H155</f>
        <v>43.277494948234136</v>
      </c>
      <c r="I162" s="81">
        <f>I155</f>
        <v>50.104954267514628</v>
      </c>
      <c r="J162" s="82">
        <f>J155</f>
        <v>-382.42924019469365</v>
      </c>
      <c r="K162" s="80">
        <f t="shared" si="89"/>
        <v>129.14721334691257</v>
      </c>
      <c r="L162" s="81">
        <f t="shared" si="82"/>
        <v>-81.38495426751463</v>
      </c>
      <c r="M162" s="82">
        <f t="shared" si="82"/>
        <v>313.47518572098699</v>
      </c>
      <c r="N162" s="80">
        <f t="shared" si="90"/>
        <v>348.66775812972111</v>
      </c>
      <c r="O162" s="83">
        <f t="shared" si="91"/>
        <v>67.609051954581702</v>
      </c>
      <c r="P162" s="80">
        <f t="shared" si="83"/>
        <v>1</v>
      </c>
      <c r="Q162" s="81">
        <f t="shared" si="92"/>
        <v>0</v>
      </c>
      <c r="R162" s="81">
        <f t="shared" si="95"/>
        <v>63.59375</v>
      </c>
      <c r="S162" s="82">
        <f t="shared" si="96"/>
        <v>61.875</v>
      </c>
      <c r="T162" s="84">
        <f t="shared" si="97"/>
        <v>1.71875</v>
      </c>
      <c r="U162" s="86" t="str">
        <f t="shared" si="93"/>
        <v>-</v>
      </c>
      <c r="V162" s="77"/>
      <c r="W162" s="78"/>
      <c r="X162" s="79"/>
    </row>
    <row r="163" spans="1:24" x14ac:dyDescent="0.25">
      <c r="A163" s="68">
        <v>9</v>
      </c>
      <c r="B163" s="121">
        <f t="shared" si="94"/>
        <v>62.734375</v>
      </c>
      <c r="C163" s="113">
        <f>B163+W150</f>
        <v>42.734375</v>
      </c>
      <c r="D163" s="115">
        <f t="shared" si="85"/>
        <v>0.74585554753195171</v>
      </c>
      <c r="E163" s="80">
        <f t="shared" si="86"/>
        <v>173.45075963148992</v>
      </c>
      <c r="F163" s="81">
        <f t="shared" si="87"/>
        <v>-31.28</v>
      </c>
      <c r="G163" s="82">
        <f t="shared" si="88"/>
        <v>-67.860046489499908</v>
      </c>
      <c r="H163" s="80">
        <f>H155</f>
        <v>43.277494948234136</v>
      </c>
      <c r="I163" s="81">
        <f>I155</f>
        <v>50.104954267514628</v>
      </c>
      <c r="J163" s="82">
        <f>J155</f>
        <v>-382.42924019469365</v>
      </c>
      <c r="K163" s="80">
        <f t="shared" si="89"/>
        <v>130.17326468325578</v>
      </c>
      <c r="L163" s="81">
        <f t="shared" si="82"/>
        <v>-81.38495426751463</v>
      </c>
      <c r="M163" s="82">
        <f t="shared" si="82"/>
        <v>314.56919370519375</v>
      </c>
      <c r="N163" s="80">
        <f t="shared" si="90"/>
        <v>350.03195175263374</v>
      </c>
      <c r="O163" s="83">
        <f t="shared" si="91"/>
        <v>67.519523399443116</v>
      </c>
      <c r="P163" s="80">
        <f t="shared" si="83"/>
        <v>1</v>
      </c>
      <c r="Q163" s="81">
        <f t="shared" si="92"/>
        <v>1</v>
      </c>
      <c r="R163" s="81">
        <f t="shared" si="95"/>
        <v>63.59375</v>
      </c>
      <c r="S163" s="82">
        <f t="shared" si="96"/>
        <v>62.734375</v>
      </c>
      <c r="T163" s="84">
        <f t="shared" si="97"/>
        <v>0.859375</v>
      </c>
      <c r="U163" s="86" t="str">
        <f t="shared" si="93"/>
        <v>STOP!</v>
      </c>
      <c r="V163" s="77"/>
      <c r="W163" s="78"/>
      <c r="X163" s="79"/>
    </row>
    <row r="164" spans="1:24" ht="15.75" thickBot="1" x14ac:dyDescent="0.3">
      <c r="A164" s="68">
        <v>10</v>
      </c>
      <c r="B164" s="121">
        <f t="shared" si="94"/>
        <v>63.1640625</v>
      </c>
      <c r="C164" s="113">
        <f>B164+W150</f>
        <v>43.1640625</v>
      </c>
      <c r="D164" s="115">
        <f t="shared" si="85"/>
        <v>0.75335500916161491</v>
      </c>
      <c r="E164" s="80">
        <f t="shared" si="86"/>
        <v>172.93978509065661</v>
      </c>
      <c r="F164" s="81">
        <f t="shared" si="87"/>
        <v>-31.28</v>
      </c>
      <c r="G164" s="82">
        <f t="shared" si="88"/>
        <v>-68.408974198776178</v>
      </c>
      <c r="H164" s="80">
        <f>H155</f>
        <v>43.277494948234136</v>
      </c>
      <c r="I164" s="81">
        <f>I155</f>
        <v>50.104954267514628</v>
      </c>
      <c r="J164" s="82">
        <f>J155</f>
        <v>-382.42924019469365</v>
      </c>
      <c r="K164" s="80">
        <f t="shared" si="89"/>
        <v>129.66229014242248</v>
      </c>
      <c r="L164" s="81">
        <f t="shared" si="82"/>
        <v>-81.38495426751463</v>
      </c>
      <c r="M164" s="82">
        <f t="shared" si="82"/>
        <v>314.0202659959175</v>
      </c>
      <c r="N164" s="80">
        <f t="shared" si="90"/>
        <v>349.34874799009941</v>
      </c>
      <c r="O164" s="87">
        <f t="shared" si="91"/>
        <v>67.563751707736415</v>
      </c>
      <c r="P164" s="80">
        <f t="shared" si="83"/>
        <v>1</v>
      </c>
      <c r="Q164" s="81">
        <f t="shared" si="92"/>
        <v>0</v>
      </c>
      <c r="R164" s="81">
        <f t="shared" si="95"/>
        <v>63.1640625</v>
      </c>
      <c r="S164" s="82">
        <f t="shared" si="96"/>
        <v>62.734375</v>
      </c>
      <c r="T164" s="90">
        <f t="shared" si="97"/>
        <v>0.4296875</v>
      </c>
      <c r="U164" s="91" t="str">
        <f t="shared" si="93"/>
        <v>-</v>
      </c>
      <c r="V164" s="77"/>
      <c r="W164" s="78"/>
      <c r="X164" s="79"/>
    </row>
    <row r="165" spans="1:24" ht="15.75" thickTop="1" x14ac:dyDescent="0.25">
      <c r="A165" s="124">
        <v>11</v>
      </c>
      <c r="B165" s="120">
        <f t="shared" si="94"/>
        <v>62.94921875</v>
      </c>
      <c r="C165" s="112">
        <f>B165+W150</f>
        <v>42.94921875</v>
      </c>
      <c r="D165" s="114">
        <f t="shared" si="85"/>
        <v>0.74960527834678337</v>
      </c>
      <c r="E165" s="71">
        <f t="shared" si="86"/>
        <v>173.19578694446284</v>
      </c>
      <c r="F165" s="72">
        <f t="shared" si="87"/>
        <v>-31.28</v>
      </c>
      <c r="G165" s="73">
        <f t="shared" si="88"/>
        <v>-68.134989348944657</v>
      </c>
      <c r="H165" s="71">
        <f>H155</f>
        <v>43.277494948234136</v>
      </c>
      <c r="I165" s="72">
        <f>I155</f>
        <v>50.104954267514628</v>
      </c>
      <c r="J165" s="73">
        <f>J155</f>
        <v>-382.42924019469365</v>
      </c>
      <c r="K165" s="71">
        <f t="shared" si="89"/>
        <v>129.9182919962287</v>
      </c>
      <c r="L165" s="72">
        <f t="shared" si="82"/>
        <v>-81.38495426751463</v>
      </c>
      <c r="M165" s="73">
        <f t="shared" si="82"/>
        <v>314.29425084574899</v>
      </c>
      <c r="N165" s="71">
        <f t="shared" si="90"/>
        <v>349.69007634051235</v>
      </c>
      <c r="O165" s="83">
        <f t="shared" si="91"/>
        <v>67.541503766965192</v>
      </c>
      <c r="P165" s="71">
        <f t="shared" si="83"/>
        <v>1</v>
      </c>
      <c r="Q165" s="72">
        <f t="shared" si="92"/>
        <v>0</v>
      </c>
      <c r="R165" s="72">
        <f t="shared" si="95"/>
        <v>62.94921875</v>
      </c>
      <c r="S165" s="73">
        <f t="shared" si="96"/>
        <v>62.734375</v>
      </c>
      <c r="T165" s="84">
        <f t="shared" si="97"/>
        <v>0.21484375</v>
      </c>
      <c r="U165" s="86" t="str">
        <f t="shared" si="93"/>
        <v>-</v>
      </c>
      <c r="V165" s="77"/>
      <c r="W165" s="78"/>
      <c r="X165" s="79"/>
    </row>
    <row r="166" spans="1:24" x14ac:dyDescent="0.25">
      <c r="A166" s="51">
        <v>12</v>
      </c>
      <c r="B166" s="125">
        <f t="shared" si="94"/>
        <v>62.841796875</v>
      </c>
      <c r="C166" s="126">
        <f>B166+W150</f>
        <v>42.841796875</v>
      </c>
      <c r="D166" s="115">
        <f t="shared" si="85"/>
        <v>0.74773041293936759</v>
      </c>
      <c r="E166" s="80">
        <f t="shared" si="86"/>
        <v>173.32340215822819</v>
      </c>
      <c r="F166" s="81">
        <f t="shared" si="87"/>
        <v>-31.28</v>
      </c>
      <c r="G166" s="82">
        <f t="shared" si="88"/>
        <v>-67.997637429124978</v>
      </c>
      <c r="H166" s="80">
        <f>H155</f>
        <v>43.277494948234136</v>
      </c>
      <c r="I166" s="81">
        <f>I155</f>
        <v>50.104954267514628</v>
      </c>
      <c r="J166" s="82">
        <f>J155</f>
        <v>-382.42924019469365</v>
      </c>
      <c r="K166" s="80">
        <f t="shared" si="89"/>
        <v>130.04590720999406</v>
      </c>
      <c r="L166" s="81">
        <f t="shared" si="82"/>
        <v>-81.38495426751463</v>
      </c>
      <c r="M166" s="82">
        <f t="shared" si="82"/>
        <v>314.43160276556864</v>
      </c>
      <c r="N166" s="80">
        <f t="shared" si="90"/>
        <v>349.86094606417589</v>
      </c>
      <c r="O166" s="83">
        <f t="shared" si="91"/>
        <v>67.530480162560735</v>
      </c>
      <c r="P166" s="80">
        <f t="shared" si="83"/>
        <v>1</v>
      </c>
      <c r="Q166" s="81">
        <f t="shared" si="92"/>
        <v>0</v>
      </c>
      <c r="R166" s="81">
        <f t="shared" si="95"/>
        <v>62.841796875</v>
      </c>
      <c r="S166" s="82">
        <f t="shared" si="96"/>
        <v>62.734375</v>
      </c>
      <c r="T166" s="84">
        <f t="shared" si="97"/>
        <v>0.107421875</v>
      </c>
      <c r="U166" s="86" t="str">
        <f t="shared" si="93"/>
        <v>-</v>
      </c>
      <c r="V166" s="77"/>
      <c r="W166" s="78"/>
      <c r="X166" s="79"/>
    </row>
    <row r="167" spans="1:24" x14ac:dyDescent="0.25">
      <c r="A167" s="51">
        <v>13</v>
      </c>
      <c r="B167" s="125">
        <f t="shared" si="94"/>
        <v>62.7880859375</v>
      </c>
      <c r="C167" s="126">
        <f>B167+W150</f>
        <v>42.7880859375</v>
      </c>
      <c r="D167" s="115">
        <f t="shared" si="85"/>
        <v>0.74679298023565965</v>
      </c>
      <c r="E167" s="80">
        <f t="shared" si="86"/>
        <v>173.38711314042305</v>
      </c>
      <c r="F167" s="81">
        <f t="shared" si="87"/>
        <v>-31.28</v>
      </c>
      <c r="G167" s="82">
        <f t="shared" si="88"/>
        <v>-67.928871806579764</v>
      </c>
      <c r="H167" s="80">
        <f>H156</f>
        <v>43.277494948234136</v>
      </c>
      <c r="I167" s="81">
        <f>I155</f>
        <v>50.104954267514628</v>
      </c>
      <c r="J167" s="82">
        <f>J155</f>
        <v>-382.42924019469365</v>
      </c>
      <c r="K167" s="80">
        <f t="shared" si="89"/>
        <v>130.10961819218892</v>
      </c>
      <c r="L167" s="81">
        <f t="shared" si="82"/>
        <v>-81.38495426751463</v>
      </c>
      <c r="M167" s="82">
        <f t="shared" si="82"/>
        <v>314.50036838811388</v>
      </c>
      <c r="N167" s="80">
        <f t="shared" si="90"/>
        <v>349.94643196281049</v>
      </c>
      <c r="O167" s="83">
        <f t="shared" si="91"/>
        <v>67.524993429111262</v>
      </c>
      <c r="P167" s="80">
        <f t="shared" si="83"/>
        <v>1</v>
      </c>
      <c r="Q167" s="81">
        <f t="shared" si="92"/>
        <v>0</v>
      </c>
      <c r="R167" s="81">
        <f t="shared" si="95"/>
        <v>62.7880859375</v>
      </c>
      <c r="S167" s="82">
        <f t="shared" si="96"/>
        <v>62.734375</v>
      </c>
      <c r="T167" s="84">
        <f t="shared" si="97"/>
        <v>5.37109375E-2</v>
      </c>
      <c r="U167" s="86" t="str">
        <f t="shared" si="93"/>
        <v>STOP!</v>
      </c>
      <c r="V167" s="77"/>
      <c r="W167" s="78"/>
      <c r="X167" s="79"/>
    </row>
    <row r="168" spans="1:24" x14ac:dyDescent="0.25">
      <c r="A168" s="51">
        <v>14</v>
      </c>
      <c r="B168" s="125">
        <f t="shared" si="94"/>
        <v>62.76123046875</v>
      </c>
      <c r="C168" s="126">
        <f>B168+W150</f>
        <v>42.76123046875</v>
      </c>
      <c r="D168" s="115">
        <f t="shared" si="85"/>
        <v>0.74632426388380568</v>
      </c>
      <c r="E168" s="80">
        <f t="shared" si="86"/>
        <v>173.41894445084452</v>
      </c>
      <c r="F168" s="81">
        <f t="shared" si="87"/>
        <v>-31.28</v>
      </c>
      <c r="G168" s="82">
        <f t="shared" si="88"/>
        <v>-67.894466606077756</v>
      </c>
      <c r="H168" s="80">
        <f>H157</f>
        <v>43.277494948234136</v>
      </c>
      <c r="I168" s="81">
        <f>I155</f>
        <v>50.104954267514628</v>
      </c>
      <c r="J168" s="82">
        <f>J155</f>
        <v>-382.42924019469365</v>
      </c>
      <c r="K168" s="80">
        <f t="shared" si="89"/>
        <v>130.14144950261039</v>
      </c>
      <c r="L168" s="81">
        <f t="shared" si="82"/>
        <v>-81.38495426751463</v>
      </c>
      <c r="M168" s="82">
        <f t="shared" si="82"/>
        <v>314.53477358861591</v>
      </c>
      <c r="N168" s="80">
        <f t="shared" si="90"/>
        <v>349.98918762757199</v>
      </c>
      <c r="O168" s="83">
        <f t="shared" si="91"/>
        <v>67.522256326714455</v>
      </c>
      <c r="P168" s="80">
        <f t="shared" si="83"/>
        <v>1</v>
      </c>
      <c r="Q168" s="81">
        <f t="shared" si="92"/>
        <v>0</v>
      </c>
      <c r="R168" s="81">
        <f t="shared" si="95"/>
        <v>62.76123046875</v>
      </c>
      <c r="S168" s="82">
        <f t="shared" si="96"/>
        <v>62.734375</v>
      </c>
      <c r="T168" s="84">
        <f t="shared" si="97"/>
        <v>2.685546875E-2</v>
      </c>
      <c r="U168" s="86" t="str">
        <f t="shared" si="93"/>
        <v>STOP!</v>
      </c>
      <c r="V168" s="77"/>
      <c r="W168" s="78"/>
      <c r="X168" s="79"/>
    </row>
    <row r="169" spans="1:24" ht="15.75" thickBot="1" x14ac:dyDescent="0.3">
      <c r="A169" s="127">
        <v>15</v>
      </c>
      <c r="B169" s="122">
        <f t="shared" si="94"/>
        <v>62.747802734375</v>
      </c>
      <c r="C169" s="123">
        <f>B169+W150</f>
        <v>42.747802734375</v>
      </c>
      <c r="D169" s="119">
        <f t="shared" si="85"/>
        <v>0.74608990570787881</v>
      </c>
      <c r="E169" s="92">
        <f t="shared" si="86"/>
        <v>173.43485405782616</v>
      </c>
      <c r="F169" s="90">
        <f t="shared" si="87"/>
        <v>-31.28</v>
      </c>
      <c r="G169" s="89">
        <f t="shared" si="88"/>
        <v>-67.877258411825778</v>
      </c>
      <c r="H169" s="92">
        <f>H158</f>
        <v>43.277494948234136</v>
      </c>
      <c r="I169" s="90">
        <f>I155</f>
        <v>50.104954267514628</v>
      </c>
      <c r="J169" s="89">
        <f>J155</f>
        <v>-382.42924019469365</v>
      </c>
      <c r="K169" s="92">
        <f t="shared" si="89"/>
        <v>130.15735910959202</v>
      </c>
      <c r="L169" s="90">
        <f t="shared" si="82"/>
        <v>-81.38495426751463</v>
      </c>
      <c r="M169" s="89">
        <f t="shared" si="82"/>
        <v>314.55198178286787</v>
      </c>
      <c r="N169" s="92">
        <f t="shared" si="90"/>
        <v>350.01056863334628</v>
      </c>
      <c r="O169" s="87">
        <f t="shared" si="91"/>
        <v>67.52088934123941</v>
      </c>
      <c r="P169" s="92">
        <f t="shared" si="83"/>
        <v>1</v>
      </c>
      <c r="Q169" s="90">
        <f t="shared" si="92"/>
        <v>1</v>
      </c>
      <c r="R169" s="90">
        <f t="shared" si="95"/>
        <v>62.76123046875</v>
      </c>
      <c r="S169" s="89">
        <f t="shared" si="96"/>
        <v>62.747802734375</v>
      </c>
      <c r="T169" s="90">
        <f>R169-S169</f>
        <v>1.3427734375E-2</v>
      </c>
      <c r="U169" s="91" t="str">
        <f t="shared" si="93"/>
        <v>STOP!</v>
      </c>
      <c r="V169" s="77"/>
      <c r="W169" s="78"/>
      <c r="X169" s="79"/>
    </row>
    <row r="170" spans="1:24" ht="15.75" thickTop="1" x14ac:dyDescent="0.25">
      <c r="E170" s="17"/>
      <c r="F170" s="15"/>
      <c r="G170" s="16"/>
      <c r="J170" s="16"/>
      <c r="M170" s="16"/>
      <c r="Q170" s="75"/>
      <c r="R170" s="75"/>
      <c r="U170" s="15"/>
      <c r="V170" s="15"/>
      <c r="W170" s="15"/>
    </row>
    <row r="171" spans="1:24" x14ac:dyDescent="0.25">
      <c r="D171" s="84"/>
      <c r="E171" s="48" t="s">
        <v>83</v>
      </c>
      <c r="F171" s="15"/>
      <c r="H171" s="48" t="s">
        <v>84</v>
      </c>
      <c r="I171" s="15"/>
      <c r="K171" s="48" t="s">
        <v>85</v>
      </c>
      <c r="L171" s="15"/>
      <c r="V171" s="15"/>
      <c r="W171" s="15"/>
    </row>
  </sheetData>
  <conditionalFormatting sqref="A20">
    <cfRule type="colorScale" priority="23">
      <colorScale>
        <cfvo type="num" val="-1"/>
        <cfvo type="num" val="1"/>
        <color rgb="FFFF0000"/>
        <color rgb="FF92D050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7">
    <cfRule type="colorScale" priority="21">
      <colorScale>
        <cfvo type="num" val="-1"/>
        <cfvo type="num" val="1"/>
        <color rgb="FFFF0000"/>
        <color rgb="FF92D050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3">
    <cfRule type="colorScale" priority="19">
      <colorScale>
        <cfvo type="num" val="-1"/>
        <cfvo type="num" val="1"/>
        <color rgb="FFFF0000"/>
        <color rgb="FF92D050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8">
    <cfRule type="colorScale" priority="17">
      <colorScale>
        <cfvo type="num" val="-1"/>
        <cfvo type="num" val="1"/>
        <color rgb="FFFF0000"/>
        <color rgb="FF92D050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3">
    <cfRule type="colorScale" priority="15">
      <colorScale>
        <cfvo type="num" val="-1"/>
        <cfvo type="num" val="1"/>
        <color rgb="FFFF0000"/>
        <color rgb="FF92D050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8">
    <cfRule type="colorScale" priority="13">
      <colorScale>
        <cfvo type="num" val="-1"/>
        <cfvo type="num" val="1"/>
        <color rgb="FFFF0000"/>
        <color rgb="FF92D050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">
    <cfRule type="colorScale" priority="25">
      <colorScale>
        <cfvo type="num" val="-1"/>
        <cfvo type="num" val="1"/>
        <color rgb="FFFF0000"/>
        <color rgb="FF92D050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">
    <cfRule type="colorScale" priority="11">
      <colorScale>
        <cfvo type="num" val="-1"/>
        <cfvo type="num" val="1"/>
        <color rgb="FFFF0000"/>
        <color rgb="FF92D050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">
    <cfRule type="colorScale" priority="9">
      <colorScale>
        <cfvo type="num" val="-1"/>
        <cfvo type="num" val="1"/>
        <color rgb="FFFF0000"/>
        <color rgb="FF92D050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">
    <cfRule type="colorScale" priority="7">
      <colorScale>
        <cfvo type="num" val="-1"/>
        <cfvo type="num" val="1"/>
        <color rgb="FFFF0000"/>
        <color rgb="FF92D050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">
    <cfRule type="colorScale" priority="5">
      <colorScale>
        <cfvo type="num" val="-1"/>
        <cfvo type="num" val="1"/>
        <color rgb="FFFF0000"/>
        <color rgb="FF92D050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">
    <cfRule type="colorScale" priority="3">
      <colorScale>
        <cfvo type="num" val="-1"/>
        <cfvo type="num" val="1"/>
        <color rgb="FFFF0000"/>
        <color rgb="FF92D05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1">
      <colorScale>
        <cfvo type="num" val="-1"/>
        <cfvo type="num" val="1"/>
        <color rgb="FFFF0000"/>
        <color rgb="FF92D05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AC29"/>
  <sheetViews>
    <sheetView zoomScale="70" zoomScaleNormal="70" workbookViewId="0">
      <selection activeCell="K27" sqref="K27"/>
    </sheetView>
  </sheetViews>
  <sheetFormatPr defaultRowHeight="15" x14ac:dyDescent="0.25"/>
  <cols>
    <col min="14" max="14" width="12" bestFit="1" customWidth="1"/>
    <col min="16" max="16" width="12" bestFit="1" customWidth="1"/>
  </cols>
  <sheetData>
    <row r="1" spans="1:29" ht="15.75" thickBot="1" x14ac:dyDescent="0.3"/>
    <row r="2" spans="1:29" ht="19.5" thickTop="1" x14ac:dyDescent="0.3">
      <c r="B2" s="1" t="str">
        <f>'Angle Actuators'!B2</f>
        <v>Desired platform location  ( = Center Point Tool)</v>
      </c>
      <c r="C2" s="2"/>
      <c r="D2" s="2"/>
      <c r="E2" s="2"/>
      <c r="F2" s="2"/>
      <c r="G2" s="3"/>
      <c r="I2" s="1" t="s">
        <v>106</v>
      </c>
      <c r="J2" s="2"/>
      <c r="K2" s="2"/>
      <c r="L2" s="4"/>
      <c r="M2" s="3"/>
      <c r="N2" s="15"/>
      <c r="O2" s="6"/>
      <c r="P2" s="7" t="str">
        <f>'Angle Actuators'!Q2</f>
        <v>Situation (i)</v>
      </c>
      <c r="Q2" s="8" t="str">
        <f>'Angle Actuators'!R2</f>
        <v>Controle</v>
      </c>
      <c r="R2" s="8" t="str">
        <f>'Angle Actuators'!S2</f>
        <v>M Angle</v>
      </c>
      <c r="S2" s="8" t="s">
        <v>114</v>
      </c>
      <c r="T2" s="10"/>
      <c r="V2" s="18"/>
      <c r="W2" s="18"/>
      <c r="Y2" s="15"/>
      <c r="Z2" s="15"/>
    </row>
    <row r="3" spans="1:29" x14ac:dyDescent="0.25">
      <c r="A3" s="15"/>
      <c r="B3" s="11" t="str">
        <f>'Angle Actuators'!B3</f>
        <v>X</v>
      </c>
      <c r="C3" s="12" t="str">
        <f>'Angle Actuators'!C3</f>
        <v>Y</v>
      </c>
      <c r="D3" s="12" t="str">
        <f>'Angle Actuators'!D3</f>
        <v>Z</v>
      </c>
      <c r="E3" s="12" t="str">
        <f>'Angle Actuators'!E3</f>
        <v>Rx</v>
      </c>
      <c r="F3" s="12" t="str">
        <f>'Angle Actuators'!F3</f>
        <v>Ry</v>
      </c>
      <c r="G3" s="13" t="str">
        <f>'Angle Actuators'!G3</f>
        <v>Rz</v>
      </c>
      <c r="I3" s="25" t="s">
        <v>55</v>
      </c>
      <c r="J3" s="26" t="s">
        <v>56</v>
      </c>
      <c r="K3" s="26" t="s">
        <v>57</v>
      </c>
      <c r="L3" s="26" t="s">
        <v>16</v>
      </c>
      <c r="M3" s="13"/>
      <c r="N3" s="15"/>
      <c r="O3" s="17"/>
      <c r="P3" s="18">
        <f>'Angle Actuators'!Q3</f>
        <v>1</v>
      </c>
      <c r="Q3" s="195">
        <f>'Angle Actuators'!R3</f>
        <v>1</v>
      </c>
      <c r="R3">
        <f>'Angle Actuators'!S3</f>
        <v>40.035400390625</v>
      </c>
      <c r="S3">
        <f t="shared" ref="S3:S8" si="0">(R3*PI())/180</f>
        <v>0.69874955417063023</v>
      </c>
      <c r="T3" s="105"/>
      <c r="V3" s="104"/>
      <c r="W3" s="104"/>
      <c r="Y3" s="15"/>
      <c r="Z3" s="15"/>
    </row>
    <row r="4" spans="1:29" x14ac:dyDescent="0.25">
      <c r="A4" s="15"/>
      <c r="B4" s="22">
        <f>'Angle Actuators'!B4</f>
        <v>0</v>
      </c>
      <c r="C4" s="23">
        <f>'Angle Actuators'!C4</f>
        <v>75</v>
      </c>
      <c r="D4" s="140">
        <f>'Angle Actuators'!D4</f>
        <v>-373.17</v>
      </c>
      <c r="E4" s="23">
        <f>('Angle Actuators'!E4*PI())/180</f>
        <v>0.1308996938995747</v>
      </c>
      <c r="F4" s="23">
        <f>('Angle Actuators'!F4*PI())/180</f>
        <v>0.1308996938995747</v>
      </c>
      <c r="G4" s="24">
        <f>('Angle Actuators'!G4*PI())/180</f>
        <v>0.1308996938995747</v>
      </c>
      <c r="I4" s="22">
        <f>'Angle Actuators'!B15</f>
        <v>100</v>
      </c>
      <c r="J4" s="23">
        <f>'Angle Actuators'!C15</f>
        <v>0</v>
      </c>
      <c r="K4" s="23">
        <f>'Angle Actuators'!I15</f>
        <v>40</v>
      </c>
      <c r="L4" s="23">
        <f>'Angle Actuators'!L5</f>
        <v>100</v>
      </c>
      <c r="M4" s="24"/>
      <c r="N4" s="15"/>
      <c r="O4" s="17"/>
      <c r="P4" s="18">
        <f>'Angle Actuators'!Q4</f>
        <v>2</v>
      </c>
      <c r="Q4" s="195">
        <f>'Angle Actuators'!R4</f>
        <v>1</v>
      </c>
      <c r="R4">
        <f>'Angle Actuators'!S4</f>
        <v>17.449951171875</v>
      </c>
      <c r="S4">
        <f t="shared" si="0"/>
        <v>0.30455910226146166</v>
      </c>
      <c r="T4" s="105"/>
      <c r="V4" s="104"/>
      <c r="W4" s="104"/>
      <c r="Y4" s="15"/>
      <c r="Z4" s="15"/>
    </row>
    <row r="5" spans="1:29" x14ac:dyDescent="0.25">
      <c r="A5" s="15"/>
      <c r="B5" s="27" t="str">
        <f>'Angle Actuators'!B5</f>
        <v>mm</v>
      </c>
      <c r="C5" s="28" t="str">
        <f>'Angle Actuators'!C5</f>
        <v>mm</v>
      </c>
      <c r="D5" s="28" t="str">
        <f>'Angle Actuators'!D5</f>
        <v>mm</v>
      </c>
      <c r="E5" s="28" t="s">
        <v>20</v>
      </c>
      <c r="F5" s="28" t="s">
        <v>20</v>
      </c>
      <c r="G5" s="29" t="s">
        <v>20</v>
      </c>
      <c r="H5" s="15"/>
      <c r="I5" s="27" t="s">
        <v>18</v>
      </c>
      <c r="J5" s="28" t="s">
        <v>18</v>
      </c>
      <c r="K5" s="28" t="s">
        <v>18</v>
      </c>
      <c r="L5" s="28" t="s">
        <v>18</v>
      </c>
      <c r="M5" s="29"/>
      <c r="N5" s="15"/>
      <c r="O5" s="17"/>
      <c r="P5" s="18">
        <f>'Angle Actuators'!Q5</f>
        <v>3</v>
      </c>
      <c r="Q5" s="195">
        <f>'Angle Actuators'!R5</f>
        <v>1</v>
      </c>
      <c r="R5">
        <f>'Angle Actuators'!S5</f>
        <v>17.208251953125</v>
      </c>
      <c r="S5">
        <f t="shared" si="0"/>
        <v>0.30034065509477614</v>
      </c>
      <c r="T5" s="105"/>
      <c r="V5" s="104"/>
      <c r="W5" s="104"/>
      <c r="Y5" s="15"/>
      <c r="Z5" s="15"/>
    </row>
    <row r="6" spans="1:29" x14ac:dyDescent="0.25">
      <c r="A6" s="15"/>
      <c r="B6" s="17"/>
      <c r="C6" s="15"/>
      <c r="D6" s="111" t="str">
        <f>'Angle Actuators'!D6</f>
        <v>-311,1&lt;Z&lt;-162,758</v>
      </c>
      <c r="E6" s="15"/>
      <c r="F6" s="15"/>
      <c r="G6" s="16"/>
      <c r="H6" s="15"/>
      <c r="I6" s="27"/>
      <c r="J6" s="28"/>
      <c r="K6" s="15"/>
      <c r="L6" s="28"/>
      <c r="M6" s="16"/>
      <c r="N6" s="15"/>
      <c r="O6" s="17"/>
      <c r="P6" s="18">
        <f>'Angle Actuators'!Q6</f>
        <v>4</v>
      </c>
      <c r="Q6" s="195">
        <f>'Angle Actuators'!R6</f>
        <v>1</v>
      </c>
      <c r="R6">
        <f>'Angle Actuators'!S6</f>
        <v>48.790283203125</v>
      </c>
      <c r="S6">
        <f t="shared" si="0"/>
        <v>0.85155108487501663</v>
      </c>
      <c r="T6" s="105"/>
      <c r="V6" s="104"/>
      <c r="W6" s="104"/>
      <c r="Y6" s="15"/>
      <c r="Z6" s="15"/>
    </row>
    <row r="7" spans="1:29" x14ac:dyDescent="0.25">
      <c r="A7" s="15"/>
      <c r="B7" s="48"/>
      <c r="C7" s="15"/>
      <c r="D7" s="138"/>
      <c r="E7" s="15"/>
      <c r="F7" s="139"/>
      <c r="G7" s="207"/>
      <c r="H7" s="15"/>
      <c r="I7" s="48"/>
      <c r="J7" s="15"/>
      <c r="K7" s="138"/>
      <c r="L7" s="15"/>
      <c r="M7" s="207"/>
      <c r="N7" s="137"/>
      <c r="O7" s="17"/>
      <c r="P7" s="18">
        <f>'Angle Actuators'!Q7</f>
        <v>5</v>
      </c>
      <c r="Q7" s="195">
        <f>'Angle Actuators'!R7</f>
        <v>1</v>
      </c>
      <c r="R7">
        <f>'Angle Actuators'!S7</f>
        <v>57.545166015625</v>
      </c>
      <c r="S7">
        <f t="shared" si="0"/>
        <v>1.0043526155794029</v>
      </c>
      <c r="T7" s="105"/>
      <c r="V7" s="104"/>
      <c r="W7" s="104"/>
      <c r="Y7" s="137"/>
      <c r="Z7" s="15"/>
    </row>
    <row r="8" spans="1:29" ht="15.75" thickBot="1" x14ac:dyDescent="0.3">
      <c r="A8" s="19"/>
      <c r="B8" s="208"/>
      <c r="C8" s="209"/>
      <c r="D8" s="209"/>
      <c r="E8" s="209"/>
      <c r="F8" s="209"/>
      <c r="G8" s="210"/>
      <c r="H8" s="15"/>
      <c r="I8" s="208"/>
      <c r="J8" s="209"/>
      <c r="K8" s="209"/>
      <c r="L8" s="209"/>
      <c r="M8" s="210"/>
      <c r="N8" s="26"/>
      <c r="O8" s="30"/>
      <c r="P8" s="33">
        <f>'Angle Actuators'!Q8</f>
        <v>6</v>
      </c>
      <c r="Q8" s="196">
        <f>'Angle Actuators'!R8</f>
        <v>1</v>
      </c>
      <c r="R8" s="31">
        <f>'Angle Actuators'!S8</f>
        <v>42.747802734375</v>
      </c>
      <c r="S8" s="31">
        <f t="shared" si="0"/>
        <v>0.74608990570787881</v>
      </c>
      <c r="T8" s="107"/>
      <c r="V8" s="104"/>
      <c r="W8" s="104"/>
      <c r="Y8" s="26"/>
      <c r="Z8" s="15"/>
    </row>
    <row r="9" spans="1:29" ht="15.75" thickTop="1" x14ac:dyDescent="0.25">
      <c r="A9" s="15"/>
      <c r="B9" s="23"/>
      <c r="C9" s="23"/>
      <c r="D9" s="23"/>
      <c r="E9" s="23"/>
      <c r="F9" s="23"/>
      <c r="G9" s="23"/>
      <c r="H9" s="15"/>
      <c r="I9" s="23"/>
      <c r="J9" s="23"/>
      <c r="K9" s="23"/>
      <c r="L9" s="23"/>
      <c r="M9" s="23"/>
      <c r="N9" s="23"/>
      <c r="O9" s="15"/>
      <c r="Y9" s="23"/>
      <c r="Z9" s="15"/>
    </row>
    <row r="10" spans="1:29" x14ac:dyDescent="0.25">
      <c r="A10" s="15"/>
      <c r="B10" s="28"/>
      <c r="C10" s="28"/>
      <c r="D10" s="28"/>
      <c r="E10" s="28"/>
      <c r="F10" s="23"/>
      <c r="G10" s="23"/>
      <c r="H10" s="15"/>
      <c r="I10" s="28"/>
      <c r="J10" s="28"/>
      <c r="K10" s="28"/>
      <c r="L10" s="28"/>
      <c r="M10" s="28"/>
      <c r="N10" s="28"/>
      <c r="O10" s="15"/>
    </row>
    <row r="11" spans="1:29" ht="15.75" thickBot="1" x14ac:dyDescent="0.3">
      <c r="Q11" s="31"/>
      <c r="R11" s="31"/>
      <c r="S11" s="31"/>
      <c r="T11" s="31"/>
    </row>
    <row r="12" spans="1:29" ht="16.5" thickTop="1" thickBot="1" x14ac:dyDescent="0.3">
      <c r="B12" s="198"/>
      <c r="C12" s="199" t="s">
        <v>107</v>
      </c>
      <c r="D12" s="200" t="s">
        <v>108</v>
      </c>
      <c r="E12" s="203" t="s">
        <v>105</v>
      </c>
      <c r="F12" s="204" t="s">
        <v>94</v>
      </c>
      <c r="G12" s="205" t="s">
        <v>95</v>
      </c>
      <c r="H12" s="204" t="s">
        <v>96</v>
      </c>
      <c r="I12" s="204" t="s">
        <v>97</v>
      </c>
      <c r="J12" s="205" t="s">
        <v>98</v>
      </c>
      <c r="K12" s="201" t="s">
        <v>102</v>
      </c>
      <c r="L12" s="201" t="s">
        <v>103</v>
      </c>
      <c r="M12" s="202" t="s">
        <v>104</v>
      </c>
      <c r="N12" s="201" t="s">
        <v>99</v>
      </c>
      <c r="O12" s="201" t="s">
        <v>100</v>
      </c>
      <c r="P12" s="202" t="s">
        <v>101</v>
      </c>
      <c r="Q12" s="198"/>
      <c r="R12" s="201" t="s">
        <v>121</v>
      </c>
      <c r="S12" s="206" t="s">
        <v>122</v>
      </c>
      <c r="T12" s="202" t="s">
        <v>109</v>
      </c>
    </row>
    <row r="13" spans="1:29" ht="15.75" thickTop="1" x14ac:dyDescent="0.25">
      <c r="B13" s="135">
        <v>1</v>
      </c>
      <c r="C13" s="17">
        <f>('Angle Actuators'!B9*PI())/180</f>
        <v>0</v>
      </c>
      <c r="D13" s="16">
        <f>('Angle Actuators'!I9*PI())/180</f>
        <v>0</v>
      </c>
      <c r="E13" s="132">
        <f>'Angle Actuators'!E41</f>
        <v>176.56471484355768</v>
      </c>
      <c r="F13" s="21">
        <f>'Angle Actuators'!F41</f>
        <v>31.28</v>
      </c>
      <c r="G13" s="131">
        <f>'Angle Actuators'!G41</f>
        <v>-64.326079010963312</v>
      </c>
      <c r="H13" s="21">
        <f>'Angle Actuators'!H41</f>
        <v>35.181635217427285</v>
      </c>
      <c r="I13" s="21">
        <f>'Angle Actuators'!I41</f>
        <v>111.59911411383668</v>
      </c>
      <c r="J13" s="131">
        <f>'Angle Actuators'!J41</f>
        <v>-374.26352160940723</v>
      </c>
      <c r="K13" s="21">
        <f>$B$4-$K$4*COS($E$4)*SIN(D13)*SIN($G$4)-$J$4*(COS($G$4)*SIN($F$4)+COS($F$4)*SIN($E$4)*SIN($G$4))+$K$4*COS(D13)*(COS($F$4)*COS($G$4)-SIN($E$4)*SIN($F$4)*SIN($G$4))</f>
        <v>39.22956508283071</v>
      </c>
      <c r="L13" s="21">
        <f>$C$4+$K$4*COS($E$4)*COS($G$4)*SIN(D13)+$K$4*COS(D13)*COS($G$4)*SIN($E$4)*SIN($F$4)-$J$4*SIN($F$4)*SIN($G$4)+COS($F$4)*($J$4*COS($G$4)*SIN($E$4)+$K$4*COS(D13)*SIN($G$4))</f>
        <v>80.852034190675653</v>
      </c>
      <c r="M13" s="131">
        <f>$D$4+$K$4*SIN(D13)*SIN($E$4)-COS($E$4)*($J$4*COS($F$4)+$K$4*COS(D13)*SIN($F$4))</f>
        <v>-378.34638090205044</v>
      </c>
      <c r="N13" s="141">
        <f t="shared" ref="N13:N18" si="1">COS(C13)*((COS(S3)*$L$4)+$I$4)</f>
        <v>176.56471484355768</v>
      </c>
      <c r="O13" s="21">
        <f t="shared" ref="O13:O18" si="2">SIN(C13)*((COS(S3)*$L$4)+$I$4)</f>
        <v>0</v>
      </c>
      <c r="P13" s="131">
        <f t="shared" ref="P13:P18" si="3">-SIN(S3)*$L$4</f>
        <v>-64.326079010963312</v>
      </c>
      <c r="Q13" s="135">
        <f>ACOS(R13/S13)</f>
        <v>0.18485499673482697</v>
      </c>
      <c r="R13">
        <f t="shared" ref="R13:R18" si="4">B22*F22+C22*G22+D22*H22</f>
        <v>961.76865999647691</v>
      </c>
      <c r="S13">
        <f t="shared" ref="S13:S18" si="5">SQRT(B22^2+C22^2+D22^2)*SQRT(F22^2+G22^2+H22^2)</f>
        <v>978.4384</v>
      </c>
      <c r="T13" s="16">
        <f>DEGREES(Q13)</f>
        <v>10.591411134810199</v>
      </c>
    </row>
    <row r="14" spans="1:29" x14ac:dyDescent="0.25">
      <c r="B14" s="135">
        <v>2</v>
      </c>
      <c r="C14" s="17">
        <f>('Angle Actuators'!C9*PI())/180</f>
        <v>2.0943951023931953</v>
      </c>
      <c r="D14" s="16">
        <f>('Angle Actuators'!J9*PI())/180</f>
        <v>2.0943951023931953</v>
      </c>
      <c r="E14" s="132">
        <f>'Angle Actuators'!E68</f>
        <v>-70.609688291409896</v>
      </c>
      <c r="F14" s="21">
        <f>'Angle Actuators'!F68</f>
        <v>184.85956762732329</v>
      </c>
      <c r="G14" s="131">
        <f>'Angle Actuators'!G68</f>
        <v>-29.987259707147068</v>
      </c>
      <c r="H14" s="21">
        <f>'Angle Actuators'!H68</f>
        <v>0.44588671901914623</v>
      </c>
      <c r="I14" s="21">
        <f>'Angle Actuators'!I68</f>
        <v>125.46154105012688</v>
      </c>
      <c r="J14" s="131">
        <f>'Angle Actuators'!J68</f>
        <v>-367.52443006595769</v>
      </c>
      <c r="K14" s="21">
        <f t="shared" ref="K14:K18" si="6">$B$4-$K$4*COS($E$4)*SIN(D14)*SIN($G$4)-$J$4*(COS($G$4)*SIN($F$4)+COS($F$4)*SIN($E$4)*SIN($G$4))+$K$4*COS(D14)*(COS($F$4)*COS($G$4)-SIN($E$4)*SIN($F$4)*SIN($G$4))</f>
        <v>-24.097659902255614</v>
      </c>
      <c r="L14" s="21">
        <f>$C$4+$K$4*COS($E$4)*COS($G$4)*SIN(D14)+$K$4*COS(D14)*COS($G$4)*SIN($E$4)*SIN($F$4)-$J$4*SIN($F$4)*SIN($G$4)+COS($F$4)*($J$4*COS($G$4)*SIN($E$4)+$K$4*COS(D14)*SIN($G$4))</f>
        <v>106.1248170551071</v>
      </c>
      <c r="M14" s="131">
        <f t="shared" ref="M14:M18" si="7">$D$4+$K$4*SIN(D14)*SIN($E$4)-COS($E$4)*($J$4*COS($F$4)+$K$4*COS(D14)*SIN($F$4))</f>
        <v>-366.06024961610223</v>
      </c>
      <c r="N14" s="141">
        <f t="shared" si="1"/>
        <v>-97.698962921787142</v>
      </c>
      <c r="O14" s="21">
        <f t="shared" si="2"/>
        <v>169.2195676273233</v>
      </c>
      <c r="P14" s="131">
        <f t="shared" si="3"/>
        <v>-29.987259707147068</v>
      </c>
      <c r="Q14" s="135">
        <f>ACOS(R14/S14)</f>
        <v>0.15107915712483155</v>
      </c>
      <c r="R14">
        <f t="shared" si="4"/>
        <v>967.29323810928872</v>
      </c>
      <c r="S14">
        <f t="shared" si="5"/>
        <v>978.43840000000023</v>
      </c>
      <c r="T14" s="16">
        <f t="shared" ref="T14:T18" si="8">DEGREES(Q14)</f>
        <v>8.6561980756466692</v>
      </c>
      <c r="Z14" s="28"/>
      <c r="AA14" s="28"/>
      <c r="AB14" s="28"/>
      <c r="AC14" s="29"/>
    </row>
    <row r="15" spans="1:29" x14ac:dyDescent="0.25">
      <c r="B15" s="135">
        <v>3</v>
      </c>
      <c r="C15" s="17">
        <f>('Angle Actuators'!D9*PI())/180</f>
        <v>2.0943951023931953</v>
      </c>
      <c r="D15" s="16">
        <f>('Angle Actuators'!K9*PI())/180</f>
        <v>2.0943951023931953</v>
      </c>
      <c r="E15" s="132">
        <f>'Angle Actuators'!E94</f>
        <v>-124.85106279198256</v>
      </c>
      <c r="F15" s="21">
        <f>'Angle Actuators'!F94</f>
        <v>153.68838413468609</v>
      </c>
      <c r="G15" s="131">
        <f>'Angle Actuators'!G94</f>
        <v>-29.584562975033833</v>
      </c>
      <c r="H15" s="21">
        <f>'Angle Actuators'!H94</f>
        <v>-48.641206523530371</v>
      </c>
      <c r="I15" s="21">
        <f>'Angle Actuators'!I94</f>
        <v>86.788093060087348</v>
      </c>
      <c r="J15" s="131">
        <f>'Angle Actuators'!J94</f>
        <v>-364.59606916624671</v>
      </c>
      <c r="K15" s="21">
        <f t="shared" si="6"/>
        <v>-24.097659902255614</v>
      </c>
      <c r="L15" s="21">
        <f t="shared" ref="L15:L18" si="9">$C$4+$K$4*COS($E$4)*COS($G$4)*SIN(D15)+$K$4*COS(D15)*COS($G$4)*SIN($E$4)*SIN($F$4)-$J$4*SIN($F$4)*SIN($G$4)+COS($F$4)*($J$4*COS($G$4)*SIN($E$4)+$K$4*COS(D15)*SIN($G$4))</f>
        <v>106.1248170551071</v>
      </c>
      <c r="M15" s="131">
        <f>$D$4+$K$4*SIN(D15)*SIN($E$4)-COS($E$4)*($J$4*COS($F$4)+$K$4*COS(D15)*SIN($F$4))</f>
        <v>-366.06024961610223</v>
      </c>
      <c r="N15" s="141">
        <f t="shared" si="1"/>
        <v>-97.76178816160531</v>
      </c>
      <c r="O15" s="21">
        <f t="shared" si="2"/>
        <v>169.32838413468608</v>
      </c>
      <c r="P15" s="131">
        <f t="shared" si="3"/>
        <v>-29.584562975033833</v>
      </c>
      <c r="Q15" s="135">
        <f t="shared" ref="Q15:Q18" si="10">ACOS(R15/S15)</f>
        <v>0.15107915712483155</v>
      </c>
      <c r="R15">
        <f t="shared" si="4"/>
        <v>967.29323810928815</v>
      </c>
      <c r="S15">
        <f t="shared" si="5"/>
        <v>978.43839999999966</v>
      </c>
      <c r="T15" s="16">
        <f>DEGREES(Q15)</f>
        <v>8.6561980756466692</v>
      </c>
    </row>
    <row r="16" spans="1:29" x14ac:dyDescent="0.25">
      <c r="B16" s="135">
        <v>4</v>
      </c>
      <c r="C16" s="17">
        <f>('Angle Actuators'!E9*PI())/180</f>
        <v>4.1887902047863905</v>
      </c>
      <c r="D16" s="16">
        <f>('Angle Actuators'!L9*PI())/180</f>
        <v>4.1887902047863905</v>
      </c>
      <c r="E16" s="132">
        <f>'Angle Actuators'!E119</f>
        <v>-110.03012726858478</v>
      </c>
      <c r="F16" s="21">
        <f>'Angle Actuators'!F119</f>
        <v>-128.01777079245844</v>
      </c>
      <c r="G16" s="131">
        <f>'Angle Actuators'!G119</f>
        <v>-75.23031908659965</v>
      </c>
      <c r="H16" s="21">
        <f>'Angle Actuators'!H119</f>
        <v>-43.723381667253278</v>
      </c>
      <c r="I16" s="21">
        <f>'Angle Actuators'!I119</f>
        <v>49.433504682358524</v>
      </c>
      <c r="J16" s="131">
        <f>'Angle Actuators'!J119</f>
        <v>-369.55632973934871</v>
      </c>
      <c r="K16" s="21">
        <f t="shared" si="6"/>
        <v>-15.131905180575107</v>
      </c>
      <c r="L16" s="21">
        <f t="shared" si="9"/>
        <v>38.023148754217246</v>
      </c>
      <c r="M16" s="131">
        <f t="shared" si="7"/>
        <v>-375.10336948184744</v>
      </c>
      <c r="N16" s="141">
        <f t="shared" si="1"/>
        <v>-82.940852638207545</v>
      </c>
      <c r="O16" s="21">
        <f t="shared" si="2"/>
        <v>-143.65777079245845</v>
      </c>
      <c r="P16" s="131">
        <f t="shared" si="3"/>
        <v>-75.23031908659965</v>
      </c>
      <c r="Q16" s="135">
        <f t="shared" si="10"/>
        <v>0.22861631373547087</v>
      </c>
      <c r="R16">
        <f t="shared" si="4"/>
        <v>952.98032535172797</v>
      </c>
      <c r="S16">
        <f t="shared" si="5"/>
        <v>978.43840000000012</v>
      </c>
      <c r="T16" s="16">
        <f t="shared" si="8"/>
        <v>13.098749904881192</v>
      </c>
    </row>
    <row r="17" spans="2:20" x14ac:dyDescent="0.25">
      <c r="B17" s="135">
        <v>5</v>
      </c>
      <c r="C17" s="17">
        <f>('Angle Actuators'!F9*PI())/180</f>
        <v>4.1887902047863905</v>
      </c>
      <c r="D17" s="16">
        <f>('Angle Actuators'!M9*PI())/180</f>
        <v>4.1887902047863905</v>
      </c>
      <c r="E17" s="132">
        <f>'Angle Actuators'!E144</f>
        <v>-49.742455351545956</v>
      </c>
      <c r="F17" s="21">
        <f>'Angle Actuators'!F144</f>
        <v>-148.71645996210384</v>
      </c>
      <c r="G17" s="131">
        <f>'Angle Actuators'!G144</f>
        <v>-84.381473468461493</v>
      </c>
      <c r="H17" s="21">
        <f>'Angle Actuators'!H144</f>
        <v>13.459571306103069</v>
      </c>
      <c r="I17" s="21">
        <f>'Angle Actuators'!I144</f>
        <v>26.612792826075978</v>
      </c>
      <c r="J17" s="131">
        <f>'Angle Actuators'!J144</f>
        <v>-380.65040922434611</v>
      </c>
      <c r="K17" s="21">
        <f t="shared" si="6"/>
        <v>-15.131905180575107</v>
      </c>
      <c r="L17" s="21">
        <f t="shared" si="9"/>
        <v>38.023148754217246</v>
      </c>
      <c r="M17" s="131">
        <f t="shared" si="7"/>
        <v>-375.10336948184744</v>
      </c>
      <c r="N17" s="141">
        <f t="shared" si="1"/>
        <v>-76.831729981923189</v>
      </c>
      <c r="O17" s="21">
        <f t="shared" si="2"/>
        <v>-133.07645996210383</v>
      </c>
      <c r="P17" s="131">
        <f t="shared" si="3"/>
        <v>-84.381473468461493</v>
      </c>
      <c r="Q17" s="135">
        <f t="shared" si="10"/>
        <v>0.22861631373546953</v>
      </c>
      <c r="R17">
        <f t="shared" si="4"/>
        <v>952.98032535172786</v>
      </c>
      <c r="S17">
        <f t="shared" si="5"/>
        <v>978.43839999999966</v>
      </c>
      <c r="T17" s="16">
        <f t="shared" si="8"/>
        <v>13.098749904881116</v>
      </c>
    </row>
    <row r="18" spans="2:20" ht="15.75" thickBot="1" x14ac:dyDescent="0.3">
      <c r="B18" s="136">
        <v>6</v>
      </c>
      <c r="C18" s="30">
        <f>('Angle Actuators'!G9*PI())/180</f>
        <v>0</v>
      </c>
      <c r="D18" s="32">
        <f>('Angle Actuators'!N9*PI())/180</f>
        <v>0</v>
      </c>
      <c r="E18" s="133">
        <f>'Angle Actuators'!E169</f>
        <v>173.43485405782616</v>
      </c>
      <c r="F18" s="36">
        <f>'Angle Actuators'!F169</f>
        <v>-31.28</v>
      </c>
      <c r="G18" s="134">
        <f>'Angle Actuators'!G169</f>
        <v>-67.877258411825778</v>
      </c>
      <c r="H18" s="36">
        <f>'Angle Actuators'!H169</f>
        <v>43.277494948234136</v>
      </c>
      <c r="I18" s="36">
        <f>'Angle Actuators'!I169</f>
        <v>50.104954267514628</v>
      </c>
      <c r="J18" s="134">
        <f>'Angle Actuators'!J169</f>
        <v>-382.42924019469365</v>
      </c>
      <c r="K18" s="36">
        <f t="shared" si="6"/>
        <v>39.22956508283071</v>
      </c>
      <c r="L18" s="36">
        <f t="shared" si="9"/>
        <v>80.852034190675653</v>
      </c>
      <c r="M18" s="134">
        <f t="shared" si="7"/>
        <v>-378.34638090205044</v>
      </c>
      <c r="N18" s="197">
        <f t="shared" si="1"/>
        <v>173.43485405782616</v>
      </c>
      <c r="O18" s="36">
        <f t="shared" si="2"/>
        <v>0</v>
      </c>
      <c r="P18" s="134">
        <f t="shared" si="3"/>
        <v>-67.877258411825778</v>
      </c>
      <c r="Q18" s="136">
        <f t="shared" si="10"/>
        <v>0.18485499673482697</v>
      </c>
      <c r="R18" s="31">
        <f t="shared" si="4"/>
        <v>961.76865999647691</v>
      </c>
      <c r="S18" s="31">
        <f t="shared" si="5"/>
        <v>978.4384</v>
      </c>
      <c r="T18" s="32">
        <f t="shared" si="8"/>
        <v>10.591411134810199</v>
      </c>
    </row>
    <row r="19" spans="2:20" ht="15.75" thickTop="1" x14ac:dyDescent="0.25">
      <c r="E19" s="66" t="s">
        <v>151</v>
      </c>
      <c r="F19" s="66"/>
      <c r="G19" s="66"/>
      <c r="H19" s="66" t="s">
        <v>148</v>
      </c>
      <c r="I19" s="66"/>
      <c r="J19" s="66"/>
      <c r="K19" s="66" t="s">
        <v>149</v>
      </c>
      <c r="L19" s="66"/>
      <c r="M19" s="66"/>
      <c r="N19" s="66" t="s">
        <v>150</v>
      </c>
      <c r="O19" s="66"/>
    </row>
    <row r="20" spans="2:20" ht="15.75" thickBot="1" x14ac:dyDescent="0.3"/>
    <row r="21" spans="2:20" ht="16.5" thickTop="1" thickBot="1" x14ac:dyDescent="0.3">
      <c r="B21" s="203" t="s">
        <v>115</v>
      </c>
      <c r="C21" s="204" t="s">
        <v>116</v>
      </c>
      <c r="D21" s="205" t="s">
        <v>117</v>
      </c>
      <c r="F21" s="203" t="s">
        <v>118</v>
      </c>
      <c r="G21" s="204" t="s">
        <v>119</v>
      </c>
      <c r="H21" s="205" t="s">
        <v>120</v>
      </c>
      <c r="J21" s="193"/>
      <c r="K21" s="193"/>
      <c r="L21" s="193"/>
      <c r="M21" s="193"/>
      <c r="N21" s="193"/>
      <c r="O21" s="193"/>
      <c r="P21" s="193"/>
    </row>
    <row r="22" spans="2:20" ht="15.75" thickTop="1" x14ac:dyDescent="0.25">
      <c r="B22" s="132">
        <f t="shared" ref="B22:D27" si="11">E13-N13</f>
        <v>0</v>
      </c>
      <c r="C22" s="21">
        <f t="shared" si="11"/>
        <v>31.28</v>
      </c>
      <c r="D22" s="131">
        <f t="shared" si="11"/>
        <v>0</v>
      </c>
      <c r="E22" s="15"/>
      <c r="F22" s="132">
        <f t="shared" ref="F22:H27" si="12">H13-K13</f>
        <v>-4.0479298654034253</v>
      </c>
      <c r="G22" s="21">
        <f t="shared" si="12"/>
        <v>30.747079923161024</v>
      </c>
      <c r="H22" s="131">
        <f t="shared" si="12"/>
        <v>4.0828592926432066</v>
      </c>
      <c r="J22" s="193"/>
      <c r="K22" s="193"/>
      <c r="L22" s="194"/>
      <c r="M22" s="193"/>
      <c r="N22" s="194"/>
      <c r="O22" s="193"/>
      <c r="P22" s="194"/>
    </row>
    <row r="23" spans="2:20" x14ac:dyDescent="0.25">
      <c r="B23" s="132">
        <f t="shared" si="11"/>
        <v>27.089274630377247</v>
      </c>
      <c r="C23" s="21">
        <f t="shared" si="11"/>
        <v>15.639999999999986</v>
      </c>
      <c r="D23" s="131">
        <f t="shared" si="11"/>
        <v>0</v>
      </c>
      <c r="E23" s="15"/>
      <c r="F23" s="132">
        <f t="shared" si="12"/>
        <v>24.543546621274761</v>
      </c>
      <c r="G23" s="21">
        <f t="shared" si="12"/>
        <v>19.336723995019781</v>
      </c>
      <c r="H23" s="131">
        <f t="shared" si="12"/>
        <v>-1.464180449855462</v>
      </c>
      <c r="J23" s="193"/>
      <c r="K23" s="193"/>
      <c r="L23" s="194"/>
      <c r="M23" s="193"/>
      <c r="N23" s="194"/>
      <c r="O23" s="193"/>
      <c r="P23" s="194"/>
    </row>
    <row r="24" spans="2:20" x14ac:dyDescent="0.25">
      <c r="B24" s="132">
        <f t="shared" si="11"/>
        <v>-27.089274630377247</v>
      </c>
      <c r="C24" s="21">
        <f t="shared" si="11"/>
        <v>-15.639999999999986</v>
      </c>
      <c r="D24" s="131">
        <f t="shared" si="11"/>
        <v>0</v>
      </c>
      <c r="E24" s="15"/>
      <c r="F24" s="132">
        <f t="shared" si="12"/>
        <v>-24.543546621274757</v>
      </c>
      <c r="G24" s="21">
        <f t="shared" si="12"/>
        <v>-19.336723995019753</v>
      </c>
      <c r="H24" s="131">
        <f t="shared" si="12"/>
        <v>1.4641804498555189</v>
      </c>
      <c r="J24" s="193"/>
      <c r="K24" s="193"/>
      <c r="L24" s="194"/>
      <c r="M24" s="193"/>
      <c r="N24" s="194"/>
      <c r="O24" s="193"/>
      <c r="P24" s="194"/>
    </row>
    <row r="25" spans="2:20" x14ac:dyDescent="0.25">
      <c r="B25" s="132">
        <f t="shared" si="11"/>
        <v>-27.089274630377233</v>
      </c>
      <c r="C25" s="21">
        <f t="shared" si="11"/>
        <v>15.640000000000015</v>
      </c>
      <c r="D25" s="131">
        <f t="shared" si="11"/>
        <v>0</v>
      </c>
      <c r="E25" s="15"/>
      <c r="F25" s="132">
        <f t="shared" si="12"/>
        <v>-28.591476486678172</v>
      </c>
      <c r="G25" s="21">
        <f t="shared" si="12"/>
        <v>11.410355928141279</v>
      </c>
      <c r="H25" s="131">
        <f t="shared" si="12"/>
        <v>5.5470397424987254</v>
      </c>
      <c r="J25" s="193"/>
      <c r="K25" s="193"/>
      <c r="L25" s="193"/>
      <c r="M25" s="193"/>
      <c r="N25" s="193"/>
      <c r="O25" s="193"/>
      <c r="P25" s="193"/>
    </row>
    <row r="26" spans="2:20" x14ac:dyDescent="0.25">
      <c r="B26" s="132">
        <f t="shared" si="11"/>
        <v>27.089274630377233</v>
      </c>
      <c r="C26" s="21">
        <f t="shared" si="11"/>
        <v>-15.640000000000015</v>
      </c>
      <c r="D26" s="131">
        <f t="shared" si="11"/>
        <v>0</v>
      </c>
      <c r="E26" s="15"/>
      <c r="F26" s="132">
        <f t="shared" si="12"/>
        <v>28.591476486678175</v>
      </c>
      <c r="G26" s="21">
        <f t="shared" si="12"/>
        <v>-11.410355928141268</v>
      </c>
      <c r="H26" s="131">
        <f t="shared" si="12"/>
        <v>-5.5470397424986686</v>
      </c>
      <c r="J26" s="193"/>
      <c r="K26" s="193"/>
      <c r="L26" s="193"/>
      <c r="M26" s="193"/>
      <c r="N26" s="193"/>
      <c r="O26" s="193"/>
      <c r="P26" s="193"/>
    </row>
    <row r="27" spans="2:20" ht="15.75" thickBot="1" x14ac:dyDescent="0.3">
      <c r="B27" s="133">
        <f t="shared" si="11"/>
        <v>0</v>
      </c>
      <c r="C27" s="36">
        <f t="shared" si="11"/>
        <v>-31.28</v>
      </c>
      <c r="D27" s="134">
        <f t="shared" si="11"/>
        <v>0</v>
      </c>
      <c r="E27" s="15"/>
      <c r="F27" s="133">
        <f t="shared" si="12"/>
        <v>4.0479298654034253</v>
      </c>
      <c r="G27" s="36">
        <f t="shared" si="12"/>
        <v>-30.747079923161024</v>
      </c>
      <c r="H27" s="134">
        <f t="shared" si="12"/>
        <v>-4.0828592926432066</v>
      </c>
      <c r="J27" s="193"/>
      <c r="K27" s="193"/>
      <c r="L27" s="194"/>
      <c r="M27" s="193"/>
      <c r="N27" s="194"/>
      <c r="O27" s="193"/>
      <c r="P27" s="194"/>
    </row>
    <row r="28" spans="2:20" ht="15.75" thickTop="1" x14ac:dyDescent="0.25">
      <c r="J28" s="193"/>
      <c r="K28" s="193"/>
      <c r="L28" s="194"/>
      <c r="M28" s="193"/>
      <c r="N28" s="194"/>
      <c r="O28" s="193"/>
      <c r="P28" s="194"/>
    </row>
    <row r="29" spans="2:20" x14ac:dyDescent="0.25">
      <c r="J29" s="193"/>
      <c r="K29" s="193"/>
      <c r="L29" s="194"/>
      <c r="M29" s="193"/>
      <c r="N29" s="194"/>
      <c r="O29" s="193"/>
      <c r="P29" s="194"/>
    </row>
  </sheetData>
  <conditionalFormatting sqref="A8">
    <cfRule type="colorScale" priority="25">
      <colorScale>
        <cfvo type="num" val="-1"/>
        <cfvo type="num" val="1"/>
        <color rgb="FFFF0000"/>
        <color rgb="FF92D050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">
    <cfRule type="colorScale" priority="11">
      <colorScale>
        <cfvo type="num" val="-1"/>
        <cfvo type="num" val="1"/>
        <color rgb="FFFF0000"/>
        <color rgb="FF92D050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">
    <cfRule type="colorScale" priority="9">
      <colorScale>
        <cfvo type="num" val="-1"/>
        <cfvo type="num" val="1"/>
        <color rgb="FFFF0000"/>
        <color rgb="FF92D050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">
    <cfRule type="colorScale" priority="7">
      <colorScale>
        <cfvo type="num" val="-1"/>
        <cfvo type="num" val="1"/>
        <color rgb="FFFF0000"/>
        <color rgb="FF92D050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">
    <cfRule type="colorScale" priority="5">
      <colorScale>
        <cfvo type="num" val="-1"/>
        <cfvo type="num" val="1"/>
        <color rgb="FFFF0000"/>
        <color rgb="FF92D050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">
    <cfRule type="colorScale" priority="3">
      <colorScale>
        <cfvo type="num" val="-1"/>
        <cfvo type="num" val="1"/>
        <color rgb="FFFF0000"/>
        <color rgb="FF92D05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1">
      <colorScale>
        <cfvo type="num" val="-1"/>
        <cfvo type="num" val="1"/>
        <color rgb="FFFF0000"/>
        <color rgb="FF92D05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5"/>
  <dimension ref="A1:Y19"/>
  <sheetViews>
    <sheetView zoomScale="70" zoomScaleNormal="70" workbookViewId="0">
      <selection activeCell="U26" sqref="U26"/>
    </sheetView>
  </sheetViews>
  <sheetFormatPr defaultRowHeight="15" x14ac:dyDescent="0.25"/>
  <cols>
    <col min="15" max="15" width="9.42578125" customWidth="1"/>
  </cols>
  <sheetData>
    <row r="1" spans="1:25" ht="15.75" thickBot="1" x14ac:dyDescent="0.3"/>
    <row r="2" spans="1:25" ht="19.5" thickTop="1" x14ac:dyDescent="0.3">
      <c r="B2" s="219" t="str">
        <f>'Angle Actuators'!B2</f>
        <v>Desired platform location  ( = Center Point Tool)</v>
      </c>
      <c r="C2" s="220"/>
      <c r="D2" s="220"/>
      <c r="E2" s="220"/>
      <c r="F2" s="220"/>
      <c r="G2" s="221"/>
      <c r="I2" s="219" t="s">
        <v>106</v>
      </c>
      <c r="J2" s="220"/>
      <c r="K2" s="220"/>
      <c r="L2" s="222"/>
      <c r="M2" s="222"/>
      <c r="N2" s="221"/>
      <c r="Q2" s="223"/>
      <c r="R2" s="224" t="str">
        <f>'Angle Actuators'!Q2</f>
        <v>Situation (i)</v>
      </c>
      <c r="S2" s="225" t="str">
        <f>'Angle Actuators'!R2</f>
        <v>Controle</v>
      </c>
      <c r="T2" s="225" t="str">
        <f>'Angle Actuators'!S2</f>
        <v>M Angle</v>
      </c>
      <c r="U2" s="225" t="s">
        <v>114</v>
      </c>
      <c r="V2" s="226"/>
    </row>
    <row r="3" spans="1:25" x14ac:dyDescent="0.25">
      <c r="B3" s="11" t="str">
        <f>'Angle Actuators'!B3</f>
        <v>X</v>
      </c>
      <c r="C3" s="12" t="str">
        <f>'Angle Actuators'!C3</f>
        <v>Y</v>
      </c>
      <c r="D3" s="12" t="str">
        <f>'Angle Actuators'!D3</f>
        <v>Z</v>
      </c>
      <c r="E3" s="12" t="str">
        <f>'Angle Actuators'!E3</f>
        <v>Rx</v>
      </c>
      <c r="F3" s="12" t="str">
        <f>'Angle Actuators'!F3</f>
        <v>Ry</v>
      </c>
      <c r="G3" s="13" t="str">
        <f>'Angle Actuators'!G3</f>
        <v>Rz</v>
      </c>
      <c r="I3" s="25" t="s">
        <v>55</v>
      </c>
      <c r="J3" s="26" t="s">
        <v>56</v>
      </c>
      <c r="K3" s="26" t="s">
        <v>57</v>
      </c>
      <c r="L3" s="26" t="s">
        <v>16</v>
      </c>
      <c r="M3" s="26"/>
      <c r="N3" s="13"/>
      <c r="Q3" s="17"/>
      <c r="R3" s="18">
        <f>'Angle Actuators'!Q3</f>
        <v>1</v>
      </c>
      <c r="S3" s="218">
        <f>'Angle Actuators'!R3</f>
        <v>1</v>
      </c>
      <c r="T3">
        <f>'Angle Actuators'!S3</f>
        <v>40.035400390625</v>
      </c>
      <c r="U3">
        <f t="shared" ref="U3:U8" si="0">(T3*PI())/180</f>
        <v>0.69874955417063023</v>
      </c>
      <c r="V3" s="105"/>
    </row>
    <row r="4" spans="1:25" x14ac:dyDescent="0.25">
      <c r="B4" s="22">
        <f>'Angle Actuators'!B4</f>
        <v>0</v>
      </c>
      <c r="C4" s="23">
        <f>'Angle Actuators'!C4</f>
        <v>75</v>
      </c>
      <c r="D4" s="140">
        <f>'Angle Actuators'!D4</f>
        <v>-373.17</v>
      </c>
      <c r="E4" s="23">
        <f>('Angle Actuators'!E4*PI())/180</f>
        <v>0.1308996938995747</v>
      </c>
      <c r="F4" s="23">
        <f>('Angle Actuators'!F4*PI())/180</f>
        <v>0.1308996938995747</v>
      </c>
      <c r="G4" s="24">
        <f>('Angle Actuators'!G4*PI())/180</f>
        <v>0.1308996938995747</v>
      </c>
      <c r="I4" s="22">
        <f>'Angle Actuators'!B15</f>
        <v>100</v>
      </c>
      <c r="J4" s="23">
        <f>'Angle Actuators'!C15</f>
        <v>0</v>
      </c>
      <c r="K4" s="23">
        <f>'Angle Actuators'!I15</f>
        <v>40</v>
      </c>
      <c r="L4" s="23">
        <f>'Angle Actuators'!L5</f>
        <v>100</v>
      </c>
      <c r="M4" s="23"/>
      <c r="N4" s="24"/>
      <c r="Q4" s="17"/>
      <c r="R4" s="18">
        <f>'Angle Actuators'!Q4</f>
        <v>2</v>
      </c>
      <c r="S4" s="195">
        <f>'Angle Actuators'!R4</f>
        <v>1</v>
      </c>
      <c r="T4">
        <f>'Angle Actuators'!S4</f>
        <v>17.449951171875</v>
      </c>
      <c r="U4">
        <f t="shared" si="0"/>
        <v>0.30455910226146166</v>
      </c>
      <c r="V4" s="105"/>
    </row>
    <row r="5" spans="1:25" x14ac:dyDescent="0.25">
      <c r="A5" s="15"/>
      <c r="B5" s="27" t="str">
        <f>'Angle Actuators'!B5</f>
        <v>mm</v>
      </c>
      <c r="C5" s="28" t="str">
        <f>'Angle Actuators'!C5</f>
        <v>mm</v>
      </c>
      <c r="D5" s="28" t="str">
        <f>'Angle Actuators'!D5</f>
        <v>mm</v>
      </c>
      <c r="E5" s="28" t="s">
        <v>20</v>
      </c>
      <c r="F5" s="28" t="s">
        <v>20</v>
      </c>
      <c r="G5" s="29" t="s">
        <v>20</v>
      </c>
      <c r="H5" s="15"/>
      <c r="I5" s="27" t="s">
        <v>18</v>
      </c>
      <c r="J5" s="28" t="s">
        <v>18</v>
      </c>
      <c r="K5" s="28" t="s">
        <v>18</v>
      </c>
      <c r="L5" s="28" t="s">
        <v>18</v>
      </c>
      <c r="M5" s="28"/>
      <c r="N5" s="29"/>
      <c r="Q5" s="17"/>
      <c r="R5" s="18">
        <f>'Angle Actuators'!Q5</f>
        <v>3</v>
      </c>
      <c r="S5" s="195">
        <f>'Angle Actuators'!R5</f>
        <v>1</v>
      </c>
      <c r="T5">
        <f>'Angle Actuators'!S5</f>
        <v>17.208251953125</v>
      </c>
      <c r="U5">
        <f t="shared" si="0"/>
        <v>0.30034065509477614</v>
      </c>
      <c r="V5" s="105"/>
    </row>
    <row r="6" spans="1:25" x14ac:dyDescent="0.25">
      <c r="A6" s="15"/>
      <c r="B6" s="17"/>
      <c r="C6" s="15"/>
      <c r="D6" s="111"/>
      <c r="E6" s="15"/>
      <c r="F6" s="15"/>
      <c r="G6" s="16"/>
      <c r="H6" s="15"/>
      <c r="I6" s="25"/>
      <c r="J6" s="26"/>
      <c r="K6" s="26"/>
      <c r="L6" s="26"/>
      <c r="M6" s="26"/>
      <c r="N6" s="45"/>
      <c r="Q6" s="17"/>
      <c r="R6" s="18">
        <f>'Angle Actuators'!Q6</f>
        <v>4</v>
      </c>
      <c r="S6" s="195">
        <f>'Angle Actuators'!R6</f>
        <v>1</v>
      </c>
      <c r="T6">
        <f>'Angle Actuators'!S6</f>
        <v>48.790283203125</v>
      </c>
      <c r="U6">
        <f t="shared" si="0"/>
        <v>0.85155108487501663</v>
      </c>
      <c r="V6" s="105"/>
    </row>
    <row r="7" spans="1:25" x14ac:dyDescent="0.25">
      <c r="A7" s="15"/>
      <c r="B7" s="48"/>
      <c r="C7" s="15"/>
      <c r="D7" s="138"/>
      <c r="E7" s="15"/>
      <c r="F7" s="139"/>
      <c r="G7" s="207"/>
      <c r="H7" s="15"/>
      <c r="I7" s="22"/>
      <c r="J7" s="23"/>
      <c r="K7" s="23"/>
      <c r="L7" s="23"/>
      <c r="M7" s="23"/>
      <c r="N7" s="24"/>
      <c r="Q7" s="17"/>
      <c r="R7" s="18">
        <f>'Angle Actuators'!Q7</f>
        <v>5</v>
      </c>
      <c r="S7" s="195">
        <f>'Angle Actuators'!R7</f>
        <v>1</v>
      </c>
      <c r="T7">
        <f>'Angle Actuators'!S7</f>
        <v>57.545166015625</v>
      </c>
      <c r="U7">
        <f t="shared" si="0"/>
        <v>1.0043526155794029</v>
      </c>
      <c r="V7" s="105"/>
    </row>
    <row r="8" spans="1:25" ht="15.75" thickBot="1" x14ac:dyDescent="0.3">
      <c r="A8" s="19"/>
      <c r="B8" s="208"/>
      <c r="C8" s="209"/>
      <c r="D8" s="209"/>
      <c r="E8" s="209"/>
      <c r="F8" s="209"/>
      <c r="G8" s="210"/>
      <c r="H8" s="15"/>
      <c r="I8" s="102"/>
      <c r="J8" s="103"/>
      <c r="K8" s="103"/>
      <c r="L8" s="103"/>
      <c r="M8" s="103"/>
      <c r="N8" s="212"/>
      <c r="P8" s="15"/>
      <c r="Q8" s="102"/>
      <c r="R8" s="33">
        <f>'Angle Actuators'!Q8</f>
        <v>6</v>
      </c>
      <c r="S8" s="196">
        <f>'Angle Actuators'!R8</f>
        <v>1</v>
      </c>
      <c r="T8" s="31">
        <f>'Angle Actuators'!S8</f>
        <v>42.747802734375</v>
      </c>
      <c r="U8" s="31">
        <f t="shared" si="0"/>
        <v>0.74608990570787881</v>
      </c>
      <c r="V8" s="107"/>
    </row>
    <row r="9" spans="1:25" ht="15.75" thickTop="1" x14ac:dyDescent="0.25">
      <c r="A9" s="15"/>
      <c r="B9" s="23"/>
      <c r="C9" s="23"/>
      <c r="D9" s="23"/>
      <c r="E9" s="23"/>
      <c r="F9" s="23"/>
      <c r="G9" s="23"/>
      <c r="H9" s="15"/>
      <c r="I9" s="23"/>
      <c r="J9" s="23"/>
      <c r="K9" s="23"/>
      <c r="L9" s="23"/>
      <c r="M9" s="23"/>
      <c r="N9" s="23"/>
      <c r="O9" s="15"/>
    </row>
    <row r="10" spans="1:25" x14ac:dyDescent="0.25">
      <c r="A10" s="15"/>
      <c r="B10" s="28"/>
      <c r="C10" s="28"/>
      <c r="D10" s="28"/>
      <c r="E10" s="28"/>
      <c r="F10" s="23"/>
      <c r="G10" s="23"/>
      <c r="H10" s="15"/>
      <c r="I10" s="28"/>
      <c r="J10" s="28"/>
      <c r="K10" s="28"/>
      <c r="L10" s="28"/>
      <c r="M10" s="28"/>
      <c r="N10" s="28"/>
      <c r="O10" s="15"/>
    </row>
    <row r="11" spans="1:25" ht="15.75" thickBot="1" x14ac:dyDescent="0.3">
      <c r="Q11" s="31"/>
      <c r="R11" s="31"/>
      <c r="S11" s="31"/>
      <c r="T11" s="31"/>
    </row>
    <row r="12" spans="1:25" ht="16.5" thickTop="1" thickBot="1" x14ac:dyDescent="0.3">
      <c r="B12" s="198" t="s">
        <v>134</v>
      </c>
      <c r="C12" s="217" t="s">
        <v>133</v>
      </c>
      <c r="D12" s="200" t="s">
        <v>108</v>
      </c>
      <c r="E12" s="203" t="s">
        <v>105</v>
      </c>
      <c r="F12" s="204" t="s">
        <v>94</v>
      </c>
      <c r="G12" s="205" t="s">
        <v>95</v>
      </c>
      <c r="H12" s="204" t="s">
        <v>96</v>
      </c>
      <c r="I12" s="204" t="s">
        <v>97</v>
      </c>
      <c r="J12" s="205" t="s">
        <v>98</v>
      </c>
      <c r="K12" s="201" t="s">
        <v>124</v>
      </c>
      <c r="L12" s="201" t="s">
        <v>125</v>
      </c>
      <c r="M12" s="202" t="s">
        <v>126</v>
      </c>
      <c r="N12" s="201"/>
      <c r="O12" s="201"/>
      <c r="P12" s="202"/>
      <c r="Q12" s="201" t="s">
        <v>127</v>
      </c>
      <c r="R12" s="201" t="s">
        <v>128</v>
      </c>
      <c r="S12" s="202" t="s">
        <v>129</v>
      </c>
      <c r="T12" s="198"/>
      <c r="U12" s="201" t="s">
        <v>130</v>
      </c>
      <c r="V12" s="201" t="s">
        <v>131</v>
      </c>
      <c r="W12" s="202" t="s">
        <v>109</v>
      </c>
    </row>
    <row r="13" spans="1:25" ht="15.75" thickTop="1" x14ac:dyDescent="0.25">
      <c r="B13" s="244">
        <v>1</v>
      </c>
      <c r="C13" s="6">
        <f>RADIANS(360)-D13</f>
        <v>6.2831853071795862</v>
      </c>
      <c r="D13" s="5">
        <f>'Angle II'!D13</f>
        <v>0</v>
      </c>
      <c r="E13" s="245">
        <f>'Angle Actuators'!E41</f>
        <v>176.56471484355768</v>
      </c>
      <c r="F13" s="246">
        <f>'Angle Actuators'!F41</f>
        <v>31.28</v>
      </c>
      <c r="G13" s="247">
        <f>'Angle Actuators'!G41</f>
        <v>-64.326079010963312</v>
      </c>
      <c r="H13" s="246">
        <f>'Angle Actuators'!H41</f>
        <v>35.181635217427285</v>
      </c>
      <c r="I13" s="246">
        <f>'Angle Actuators'!I41</f>
        <v>111.59911411383668</v>
      </c>
      <c r="J13" s="247">
        <f>'Angle Actuators'!J41</f>
        <v>-374.26352160940723</v>
      </c>
      <c r="K13" s="246">
        <f>E13-H13</f>
        <v>141.38307962613038</v>
      </c>
      <c r="L13" s="246">
        <f t="shared" ref="L13" si="1">F13-I13</f>
        <v>-80.319114113836676</v>
      </c>
      <c r="M13" s="247">
        <f>G13-J13</f>
        <v>309.93744259844391</v>
      </c>
      <c r="N13" s="246">
        <f>COS(C13)*K13-SIN(C13)*L13</f>
        <v>141.38307962613035</v>
      </c>
      <c r="O13" s="246">
        <f>SIN(C13)*K13+COS(C13)*L13</f>
        <v>-80.319114113836704</v>
      </c>
      <c r="P13" s="247">
        <f>M13</f>
        <v>309.93744259844391</v>
      </c>
      <c r="Q13" s="246">
        <f>N13</f>
        <v>141.38307962613035</v>
      </c>
      <c r="R13" s="246">
        <v>0</v>
      </c>
      <c r="S13" s="247">
        <f>P13</f>
        <v>309.93744259844391</v>
      </c>
      <c r="T13" s="244">
        <f>IF(X13=1,0,ACOS(U13/V13))</f>
        <v>0.23154516700598315</v>
      </c>
      <c r="U13" s="248">
        <f>N13*Q13+O13*R13+P13*S13</f>
        <v>116050.39352903243</v>
      </c>
      <c r="V13" s="248">
        <f>SQRT(N13^2+O13^2+P13^2)*SQRT(Q13^2+R13^2+S13^2)</f>
        <v>119232.35091887748</v>
      </c>
      <c r="W13" s="249">
        <f>DEGREES(T13)</f>
        <v>13.266560836094635</v>
      </c>
      <c r="X13">
        <f>U13/V13</f>
        <v>0.97331296946405121</v>
      </c>
      <c r="Y13" s="97"/>
    </row>
    <row r="14" spans="1:25" x14ac:dyDescent="0.25">
      <c r="B14" s="135">
        <v>2</v>
      </c>
      <c r="C14" s="17">
        <f t="shared" ref="C14:C18" si="2">RADIANS(360)-D14</f>
        <v>4.1887902047863914</v>
      </c>
      <c r="D14" s="16">
        <f>'Angle II'!D14</f>
        <v>2.0943951023931953</v>
      </c>
      <c r="E14" s="132">
        <f>'Angle Actuators'!E68</f>
        <v>-70.609688291409896</v>
      </c>
      <c r="F14" s="21">
        <f>'Angle Actuators'!F68</f>
        <v>184.85956762732329</v>
      </c>
      <c r="G14" s="131">
        <f>'Angle Actuators'!G68</f>
        <v>-29.987259707147068</v>
      </c>
      <c r="H14" s="21">
        <f>'Angle Actuators'!H68</f>
        <v>0.44588671901914623</v>
      </c>
      <c r="I14" s="21">
        <f>'Angle Actuators'!I68</f>
        <v>125.46154105012688</v>
      </c>
      <c r="J14" s="131">
        <f>'Angle Actuators'!J68</f>
        <v>-367.52443006595769</v>
      </c>
      <c r="K14" s="21">
        <f t="shared" ref="K14:K18" si="3">E14-H14</f>
        <v>-71.055575010429038</v>
      </c>
      <c r="L14" s="21">
        <f t="shared" ref="L14:L18" si="4">F14-I14</f>
        <v>59.398026577196404</v>
      </c>
      <c r="M14" s="131">
        <f t="shared" ref="M14:M18" si="5">G14-J14</f>
        <v>337.53717035881061</v>
      </c>
      <c r="N14" s="21">
        <f t="shared" ref="N14:N18" si="6">COS(C14)*K14-SIN(C14)*L14</f>
        <v>86.967987455729826</v>
      </c>
      <c r="O14" s="21">
        <f t="shared" ref="O14:O18" si="7">SIN(C14)*K14+COS(C14)*L14</f>
        <v>31.836919750944105</v>
      </c>
      <c r="P14" s="131">
        <f t="shared" ref="P14:P18" si="8">M14</f>
        <v>337.53717035881061</v>
      </c>
      <c r="Q14" s="21">
        <f t="shared" ref="Q14:Q18" si="9">N14</f>
        <v>86.967987455729826</v>
      </c>
      <c r="R14" s="21">
        <v>0</v>
      </c>
      <c r="S14" s="131">
        <f>P14</f>
        <v>337.53717035881061</v>
      </c>
      <c r="T14" s="135">
        <f t="shared" ref="T14:T18" si="10">IF(X14=1,0,ACOS(U14/V14))</f>
        <v>9.1085420474540824E-2</v>
      </c>
      <c r="U14" s="211">
        <f t="shared" ref="U14:U18" si="11">N14*Q14+O14*R14+P14*S14</f>
        <v>121494.77221593272</v>
      </c>
      <c r="V14" s="211">
        <f t="shared" ref="V14:V18" si="12">SQRT(N14^2+O14^2+P14^2)*SQRT(Q14^2+R14^2+S14^2)</f>
        <v>122000.51432789437</v>
      </c>
      <c r="W14" s="131">
        <f>IF(U14-V14=0,0,DEGREES(T14))</f>
        <v>5.2188101683656853</v>
      </c>
      <c r="X14">
        <f t="shared" ref="X14:X18" si="13">U14/V14</f>
        <v>0.99585459032900148</v>
      </c>
      <c r="Y14" s="97"/>
    </row>
    <row r="15" spans="1:25" x14ac:dyDescent="0.25">
      <c r="B15" s="135">
        <v>3</v>
      </c>
      <c r="C15" s="17">
        <f t="shared" si="2"/>
        <v>4.1887902047863914</v>
      </c>
      <c r="D15" s="16">
        <f>'Angle II'!D15</f>
        <v>2.0943951023931953</v>
      </c>
      <c r="E15" s="132">
        <f>'Angle Actuators'!E94</f>
        <v>-124.85106279198256</v>
      </c>
      <c r="F15" s="21">
        <f>'Angle Actuators'!F94</f>
        <v>153.68838413468609</v>
      </c>
      <c r="G15" s="131">
        <f>'Angle Actuators'!G94</f>
        <v>-29.584562975033833</v>
      </c>
      <c r="H15" s="21">
        <f>'Angle Actuators'!H94</f>
        <v>-48.641206523530371</v>
      </c>
      <c r="I15" s="21">
        <f>'Angle Actuators'!I94</f>
        <v>86.788093060087348</v>
      </c>
      <c r="J15" s="131">
        <f>'Angle Actuators'!J94</f>
        <v>-364.59606916624671</v>
      </c>
      <c r="K15" s="21">
        <f t="shared" si="3"/>
        <v>-76.209856268452185</v>
      </c>
      <c r="L15" s="21">
        <f t="shared" si="4"/>
        <v>66.900291074598741</v>
      </c>
      <c r="M15" s="131">
        <f t="shared" si="5"/>
        <v>335.0115061912129</v>
      </c>
      <c r="N15" s="21">
        <f t="shared" si="6"/>
        <v>96.042279725401926</v>
      </c>
      <c r="O15" s="21">
        <f t="shared" si="7"/>
        <v>32.549526009941012</v>
      </c>
      <c r="P15" s="131">
        <f t="shared" si="8"/>
        <v>335.0115061912129</v>
      </c>
      <c r="Q15" s="21">
        <f t="shared" si="9"/>
        <v>96.042279725401926</v>
      </c>
      <c r="R15" s="21">
        <v>0</v>
      </c>
      <c r="S15" s="131">
        <f t="shared" ref="S15:S18" si="14">P15</f>
        <v>335.0115061912129</v>
      </c>
      <c r="T15" s="135">
        <f t="shared" si="10"/>
        <v>9.3127010090954476E-2</v>
      </c>
      <c r="U15" s="211">
        <f t="shared" si="11"/>
        <v>121456.82877535743</v>
      </c>
      <c r="V15" s="211">
        <f t="shared" si="12"/>
        <v>121985.41438286791</v>
      </c>
      <c r="W15" s="131">
        <f t="shared" ref="W15:W18" si="15">IF(U15-V15=0,0,DEGREES(T15))</f>
        <v>5.3357846368839201</v>
      </c>
      <c r="X15">
        <f>U15/V15</f>
        <v>0.99566681303511051</v>
      </c>
      <c r="Y15" s="97"/>
    </row>
    <row r="16" spans="1:25" x14ac:dyDescent="0.25">
      <c r="B16" s="135">
        <v>4</v>
      </c>
      <c r="C16" s="17">
        <f t="shared" si="2"/>
        <v>2.0943951023931957</v>
      </c>
      <c r="D16" s="16">
        <f>'Angle II'!D16</f>
        <v>4.1887902047863905</v>
      </c>
      <c r="E16" s="132">
        <f>'Angle Actuators'!E119</f>
        <v>-110.03012726858478</v>
      </c>
      <c r="F16" s="21">
        <f>'Angle Actuators'!F119</f>
        <v>-128.01777079245844</v>
      </c>
      <c r="G16" s="131">
        <f>'Angle Actuators'!G119</f>
        <v>-75.23031908659965</v>
      </c>
      <c r="H16" s="21">
        <f>'Angle Actuators'!H119</f>
        <v>-43.723381667253278</v>
      </c>
      <c r="I16" s="21">
        <f>'Angle Actuators'!I119</f>
        <v>49.433504682358524</v>
      </c>
      <c r="J16" s="131">
        <f>'Angle Actuators'!J119</f>
        <v>-369.55632973934871</v>
      </c>
      <c r="K16" s="21">
        <f t="shared" si="3"/>
        <v>-66.3067456013315</v>
      </c>
      <c r="L16" s="21">
        <f t="shared" si="4"/>
        <v>-177.45127547481695</v>
      </c>
      <c r="M16" s="131">
        <f t="shared" si="5"/>
        <v>294.32601065274906</v>
      </c>
      <c r="N16" s="21">
        <f t="shared" si="6"/>
        <v>186.83068529580777</v>
      </c>
      <c r="O16" s="21">
        <f t="shared" si="7"/>
        <v>31.30231160438337</v>
      </c>
      <c r="P16" s="131">
        <f t="shared" si="8"/>
        <v>294.32601065274906</v>
      </c>
      <c r="Q16" s="21">
        <f t="shared" si="9"/>
        <v>186.83068529580777</v>
      </c>
      <c r="R16" s="21">
        <v>0</v>
      </c>
      <c r="S16" s="131">
        <f t="shared" si="14"/>
        <v>294.32601065274906</v>
      </c>
      <c r="T16" s="135">
        <f t="shared" si="10"/>
        <v>8.9549945070236614E-2</v>
      </c>
      <c r="U16" s="211">
        <f t="shared" si="11"/>
        <v>121533.50551486333</v>
      </c>
      <c r="V16" s="211">
        <f t="shared" si="12"/>
        <v>122022.43937112069</v>
      </c>
      <c r="W16" s="131">
        <f t="shared" si="15"/>
        <v>5.1308339081529102</v>
      </c>
      <c r="X16">
        <f t="shared" si="13"/>
        <v>0.99599308242994289</v>
      </c>
      <c r="Y16" s="97"/>
    </row>
    <row r="17" spans="2:25" x14ac:dyDescent="0.25">
      <c r="B17" s="135">
        <v>5</v>
      </c>
      <c r="C17" s="17">
        <f t="shared" si="2"/>
        <v>2.0943951023931957</v>
      </c>
      <c r="D17" s="16">
        <f>'Angle II'!D17</f>
        <v>4.1887902047863905</v>
      </c>
      <c r="E17" s="132">
        <f>'Angle Actuators'!E144</f>
        <v>-49.742455351545956</v>
      </c>
      <c r="F17" s="21">
        <f>'Angle Actuators'!F144</f>
        <v>-148.71645996210384</v>
      </c>
      <c r="G17" s="131">
        <f>'Angle Actuators'!G144</f>
        <v>-84.381473468461493</v>
      </c>
      <c r="H17" s="21">
        <f>'Angle Actuators'!H144</f>
        <v>13.459571306103069</v>
      </c>
      <c r="I17" s="21">
        <f>'Angle Actuators'!I144</f>
        <v>26.612792826075978</v>
      </c>
      <c r="J17" s="131">
        <f>'Angle Actuators'!J144</f>
        <v>-380.65040922434611</v>
      </c>
      <c r="K17" s="21">
        <f t="shared" si="3"/>
        <v>-63.202026657649029</v>
      </c>
      <c r="L17" s="21">
        <f t="shared" si="4"/>
        <v>-175.32925278817982</v>
      </c>
      <c r="M17" s="131">
        <f t="shared" si="5"/>
        <v>296.26893575588463</v>
      </c>
      <c r="N17" s="21">
        <f t="shared" si="6"/>
        <v>183.44060026993185</v>
      </c>
      <c r="O17" s="21">
        <f t="shared" si="7"/>
        <v>32.930065737904606</v>
      </c>
      <c r="P17" s="131">
        <f t="shared" si="8"/>
        <v>296.26893575588463</v>
      </c>
      <c r="Q17" s="21">
        <f t="shared" si="9"/>
        <v>183.44060026993185</v>
      </c>
      <c r="R17" s="21">
        <v>0</v>
      </c>
      <c r="S17" s="131">
        <f t="shared" si="14"/>
        <v>296.26893575588463</v>
      </c>
      <c r="T17" s="135">
        <f t="shared" si="10"/>
        <v>9.4221363055109419E-2</v>
      </c>
      <c r="U17" s="211">
        <f t="shared" si="11"/>
        <v>121425.73612131742</v>
      </c>
      <c r="V17" s="211">
        <f t="shared" si="12"/>
        <v>121966.72559775556</v>
      </c>
      <c r="W17" s="131">
        <f t="shared" si="15"/>
        <v>5.3984864430276298</v>
      </c>
      <c r="X17">
        <f t="shared" si="13"/>
        <v>0.99556445027291851</v>
      </c>
      <c r="Y17" s="97"/>
    </row>
    <row r="18" spans="2:25" ht="15.75" thickBot="1" x14ac:dyDescent="0.3">
      <c r="B18" s="136">
        <v>6</v>
      </c>
      <c r="C18" s="30">
        <f t="shared" si="2"/>
        <v>6.2831853071795862</v>
      </c>
      <c r="D18" s="32">
        <f>'Angle II'!D18</f>
        <v>0</v>
      </c>
      <c r="E18" s="133">
        <f>'Angle Actuators'!E169</f>
        <v>173.43485405782616</v>
      </c>
      <c r="F18" s="36">
        <f>'Angle Actuators'!F169</f>
        <v>-31.28</v>
      </c>
      <c r="G18" s="134">
        <f>'Angle Actuators'!G169</f>
        <v>-67.877258411825778</v>
      </c>
      <c r="H18" s="36">
        <f>'Angle Actuators'!H169</f>
        <v>43.277494948234136</v>
      </c>
      <c r="I18" s="36">
        <f>'Angle Actuators'!I169</f>
        <v>50.104954267514628</v>
      </c>
      <c r="J18" s="134">
        <f>'Angle Actuators'!J169</f>
        <v>-382.42924019469365</v>
      </c>
      <c r="K18" s="36">
        <f t="shared" si="3"/>
        <v>130.15735910959202</v>
      </c>
      <c r="L18" s="36">
        <f t="shared" si="4"/>
        <v>-81.38495426751463</v>
      </c>
      <c r="M18" s="134">
        <f t="shared" si="5"/>
        <v>314.55198178286787</v>
      </c>
      <c r="N18" s="36">
        <f t="shared" si="6"/>
        <v>130.15735910959199</v>
      </c>
      <c r="O18" s="36">
        <f t="shared" si="7"/>
        <v>-81.384954267514658</v>
      </c>
      <c r="P18" s="134">
        <f t="shared" si="8"/>
        <v>314.55198178286787</v>
      </c>
      <c r="Q18" s="36">
        <f t="shared" si="9"/>
        <v>130.15735910959199</v>
      </c>
      <c r="R18" s="36">
        <v>0</v>
      </c>
      <c r="S18" s="134">
        <f t="shared" si="14"/>
        <v>314.55198178286787</v>
      </c>
      <c r="T18" s="136">
        <f t="shared" si="10"/>
        <v>0.23466935884479523</v>
      </c>
      <c r="U18" s="250">
        <f t="shared" si="11"/>
        <v>115883.88737391293</v>
      </c>
      <c r="V18" s="250">
        <f t="shared" si="12"/>
        <v>119149.62664762983</v>
      </c>
      <c r="W18" s="134">
        <f t="shared" si="15"/>
        <v>13.445563842847783</v>
      </c>
      <c r="X18">
        <f t="shared" si="13"/>
        <v>0.97259127564558034</v>
      </c>
      <c r="Y18" s="97"/>
    </row>
    <row r="19" spans="2:25" ht="15.75" thickTop="1" x14ac:dyDescent="0.25"/>
  </sheetData>
  <conditionalFormatting sqref="A8">
    <cfRule type="colorScale" priority="13">
      <colorScale>
        <cfvo type="num" val="-1"/>
        <cfvo type="num" val="1"/>
        <color rgb="FFFF0000"/>
        <color rgb="FF92D050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">
    <cfRule type="colorScale" priority="11">
      <colorScale>
        <cfvo type="num" val="-1"/>
        <cfvo type="num" val="1"/>
        <color rgb="FFFF0000"/>
        <color rgb="FF92D050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">
    <cfRule type="colorScale" priority="9">
      <colorScale>
        <cfvo type="num" val="-1"/>
        <cfvo type="num" val="1"/>
        <color rgb="FFFF0000"/>
        <color rgb="FF92D050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">
    <cfRule type="colorScale" priority="7">
      <colorScale>
        <cfvo type="num" val="-1"/>
        <cfvo type="num" val="1"/>
        <color rgb="FFFF0000"/>
        <color rgb="FF92D050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">
    <cfRule type="colorScale" priority="5">
      <colorScale>
        <cfvo type="num" val="-1"/>
        <cfvo type="num" val="1"/>
        <color rgb="FFFF0000"/>
        <color rgb="FF92D050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">
    <cfRule type="colorScale" priority="3">
      <colorScale>
        <cfvo type="num" val="-1"/>
        <cfvo type="num" val="1"/>
        <color rgb="FFFF0000"/>
        <color rgb="FF92D050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">
    <cfRule type="colorScale" priority="1">
      <colorScale>
        <cfvo type="num" val="-1"/>
        <cfvo type="num" val="1"/>
        <color rgb="FFFF0000"/>
        <color rgb="FF92D050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Stewart Gough Platform</vt:lpstr>
      <vt:lpstr>Angle Actuators</vt:lpstr>
      <vt:lpstr>Angle II</vt:lpstr>
      <vt:lpstr>Angle 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</dc:creator>
  <cp:lastModifiedBy>Joost</cp:lastModifiedBy>
  <dcterms:created xsi:type="dcterms:W3CDTF">2013-05-20T13:56:49Z</dcterms:created>
  <dcterms:modified xsi:type="dcterms:W3CDTF">2013-07-26T10:22:05Z</dcterms:modified>
</cp:coreProperties>
</file>