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dhieJay\Desktop\"/>
    </mc:Choice>
  </mc:AlternateContent>
  <xr:revisionPtr revIDLastSave="0" documentId="8_{68FEDE98-967E-4C9C-9C48-97A27E0E2F34}" xr6:coauthVersionLast="47" xr6:coauthVersionMax="47" xr10:uidLastSave="{00000000-0000-0000-0000-000000000000}"/>
  <bookViews>
    <workbookView xWindow="-120" yWindow="-120" windowWidth="20730" windowHeight="11160" firstSheet="10" activeTab="13" xr2:uid="{00000000-000D-0000-FFFF-FFFF00000000}"/>
  </bookViews>
  <sheets>
    <sheet name="DESCR DescStat" sheetId="2" r:id="rId1"/>
    <sheet name="DESCR DescStata" sheetId="5" r:id="rId2"/>
    <sheet name="Single leg squat-Running Dat" sheetId="8" r:id="rId3"/>
    <sheet name="Bilateral landing DescStat" sheetId="11" r:id="rId4"/>
    <sheet name="Unilateral landing DescStat" sheetId="14" r:id="rId5"/>
    <sheet name="Unilateral landing DescStata4" sheetId="21" r:id="rId6"/>
    <sheet name="Unilateral landing DescStata" sheetId="18" r:id="rId7"/>
    <sheet name="Sheet4" sheetId="24" r:id="rId8"/>
    <sheet name="Sheet6" sheetId="26" r:id="rId9"/>
    <sheet name="Unilateral landing Data Unil" sheetId="28" r:id="rId10"/>
    <sheet name="Unilateral landing Data" sheetId="27" r:id="rId11"/>
    <sheet name="Sheet2" sheetId="29" r:id="rId12"/>
    <sheet name="Sheet3" sheetId="30" r:id="rId13"/>
    <sheet name="Sheet1" sheetId="1" r:id="rId14"/>
  </sheets>
  <definedNames>
    <definedName name="_xlnm._FilterDatabase" localSheetId="13" hidden="1">Sheet1!$L$2:$L$42</definedName>
    <definedName name="_xlnm.Print_Area" localSheetId="3">'Bilateral landing DescStat'!$D$1:$M$50</definedName>
    <definedName name="_xlnm.Print_Area" localSheetId="0">'DESCR DescStat'!$D$1:$M$50</definedName>
    <definedName name="_xlnm.Print_Area" localSheetId="1">'DESCR DescStata'!$D$1:$M$50</definedName>
    <definedName name="_xlnm.Print_Area" localSheetId="2">'Single leg squat-Running Dat'!$D$1:$M$50</definedName>
    <definedName name="_xlnm.Print_Area" localSheetId="4">'Unilateral landing DescStat'!$D$1:$M$50</definedName>
    <definedName name="_xlnm.Print_Area" localSheetId="6">'Unilateral landing DescStata'!$D$1:$M$50</definedName>
    <definedName name="_xlnm.Print_Area" localSheetId="5">'Unilateral landing DescStata4'!$D$1:$M$50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" i="1" l="1"/>
  <c r="AA19" i="1"/>
  <c r="AA17" i="1" l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40" i="1"/>
  <c r="Z39" i="1" l="1"/>
  <c r="Z5" i="1"/>
  <c r="Z8" i="1"/>
  <c r="Z9" i="1"/>
  <c r="Z13" i="1"/>
  <c r="Z17" i="1"/>
  <c r="Z21" i="1"/>
  <c r="Z25" i="1"/>
  <c r="Z29" i="1"/>
  <c r="Z33" i="1"/>
  <c r="Z37" i="1"/>
  <c r="Z2" i="1"/>
  <c r="Z6" i="1"/>
  <c r="Z10" i="1"/>
  <c r="Z14" i="1"/>
  <c r="Z18" i="1"/>
  <c r="Z22" i="1"/>
  <c r="Z26" i="1"/>
  <c r="Z30" i="1"/>
  <c r="Z34" i="1"/>
  <c r="Z38" i="1"/>
  <c r="Z4" i="1"/>
  <c r="Z12" i="1"/>
  <c r="Z16" i="1"/>
  <c r="Z20" i="1"/>
  <c r="Z24" i="1"/>
  <c r="Z28" i="1"/>
  <c r="Z32" i="1"/>
  <c r="Z36" i="1"/>
  <c r="Z3" i="1"/>
  <c r="Z7" i="1"/>
  <c r="Z11" i="1"/>
  <c r="Z15" i="1"/>
  <c r="Z19" i="1"/>
  <c r="Z23" i="1"/>
  <c r="Z27" i="1"/>
  <c r="Z31" i="1"/>
  <c r="Z35" i="1"/>
  <c r="Z42" i="1" l="1"/>
  <c r="L2" i="1" l="1"/>
  <c r="J30" i="21"/>
  <c r="J27" i="21"/>
  <c r="J24" i="21"/>
  <c r="J21" i="21"/>
  <c r="K20" i="21"/>
  <c r="K12" i="21"/>
  <c r="J34" i="21"/>
  <c r="J35" i="21" s="1"/>
  <c r="E18" i="21"/>
  <c r="E17" i="21"/>
  <c r="E16" i="21"/>
  <c r="K24" i="21" s="1"/>
  <c r="E15" i="21"/>
  <c r="E14" i="21"/>
  <c r="J11" i="21"/>
  <c r="E12" i="21"/>
  <c r="E27" i="21" s="1"/>
  <c r="K25" i="21" s="1"/>
  <c r="E11" i="21"/>
  <c r="E10" i="21"/>
  <c r="E9" i="21"/>
  <c r="E8" i="21"/>
  <c r="E13" i="21" s="1"/>
  <c r="E7" i="21"/>
  <c r="E6" i="21"/>
  <c r="K30" i="21" s="1"/>
  <c r="G2" i="21"/>
  <c r="G3" i="21"/>
  <c r="F3" i="21" s="1"/>
  <c r="G4" i="21"/>
  <c r="G5" i="21"/>
  <c r="G6" i="21"/>
  <c r="G7" i="21"/>
  <c r="F7" i="21" s="1"/>
  <c r="G8" i="21"/>
  <c r="G9" i="21"/>
  <c r="G10" i="21"/>
  <c r="G11" i="21"/>
  <c r="F11" i="21" s="1"/>
  <c r="G12" i="21"/>
  <c r="G13" i="21"/>
  <c r="G14" i="21"/>
  <c r="G15" i="21"/>
  <c r="F15" i="21" s="1"/>
  <c r="G16" i="21"/>
  <c r="G17" i="21"/>
  <c r="G18" i="21"/>
  <c r="G19" i="21"/>
  <c r="F19" i="21" s="1"/>
  <c r="G20" i="21"/>
  <c r="G21" i="21"/>
  <c r="G22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J30" i="18"/>
  <c r="J27" i="18"/>
  <c r="J24" i="18"/>
  <c r="J21" i="18"/>
  <c r="K20" i="18"/>
  <c r="K12" i="18"/>
  <c r="J34" i="18"/>
  <c r="J35" i="18" s="1"/>
  <c r="J36" i="18" s="1"/>
  <c r="J37" i="18" s="1"/>
  <c r="J38" i="18" s="1"/>
  <c r="J39" i="18" s="1"/>
  <c r="J40" i="18" s="1"/>
  <c r="E18" i="18"/>
  <c r="E17" i="18"/>
  <c r="E16" i="18"/>
  <c r="K24" i="18" s="1"/>
  <c r="E15" i="18"/>
  <c r="E14" i="18"/>
  <c r="J11" i="18"/>
  <c r="E12" i="18"/>
  <c r="E28" i="18" s="1"/>
  <c r="K26" i="18" s="1"/>
  <c r="E11" i="18"/>
  <c r="E10" i="18"/>
  <c r="E9" i="18"/>
  <c r="E8" i="18"/>
  <c r="E6" i="18"/>
  <c r="G2" i="18"/>
  <c r="G3" i="18"/>
  <c r="G4" i="18"/>
  <c r="F4" i="18" s="1"/>
  <c r="G5" i="18"/>
  <c r="G6" i="18"/>
  <c r="G7" i="18"/>
  <c r="G8" i="18"/>
  <c r="F8" i="18" s="1"/>
  <c r="G9" i="18"/>
  <c r="G10" i="18"/>
  <c r="G11" i="18"/>
  <c r="G12" i="18"/>
  <c r="F12" i="18" s="1"/>
  <c r="G13" i="18"/>
  <c r="G14" i="18"/>
  <c r="G15" i="18"/>
  <c r="G16" i="18"/>
  <c r="F16" i="18" s="1"/>
  <c r="G17" i="18"/>
  <c r="G18" i="18"/>
  <c r="G19" i="18"/>
  <c r="G20" i="18"/>
  <c r="F20" i="18" s="1"/>
  <c r="G21" i="18"/>
  <c r="G22" i="18"/>
  <c r="G23" i="18"/>
  <c r="G24" i="18"/>
  <c r="F24" i="18" s="1"/>
  <c r="G25" i="18"/>
  <c r="G26" i="18"/>
  <c r="G27" i="18"/>
  <c r="G28" i="18"/>
  <c r="F28" i="18" s="1"/>
  <c r="G29" i="18"/>
  <c r="G30" i="18"/>
  <c r="G31" i="18"/>
  <c r="G32" i="18"/>
  <c r="F32" i="18" s="1"/>
  <c r="G33" i="18"/>
  <c r="G34" i="18"/>
  <c r="G35" i="18"/>
  <c r="G36" i="18"/>
  <c r="F36" i="18" s="1"/>
  <c r="G37" i="18"/>
  <c r="G38" i="18"/>
  <c r="G39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E36" i="21" l="1"/>
  <c r="B20" i="21"/>
  <c r="B16" i="21"/>
  <c r="B12" i="21"/>
  <c r="F21" i="21"/>
  <c r="F17" i="21"/>
  <c r="F13" i="21"/>
  <c r="F9" i="21"/>
  <c r="F5" i="21"/>
  <c r="K14" i="21"/>
  <c r="B8" i="21"/>
  <c r="B19" i="21"/>
  <c r="B15" i="21"/>
  <c r="B11" i="21"/>
  <c r="B7" i="21"/>
  <c r="B3" i="21"/>
  <c r="K19" i="21"/>
  <c r="K21" i="21"/>
  <c r="K27" i="21"/>
  <c r="B22" i="21"/>
  <c r="B18" i="21"/>
  <c r="B14" i="21"/>
  <c r="B10" i="21"/>
  <c r="B6" i="21"/>
  <c r="B2" i="21"/>
  <c r="K13" i="21"/>
  <c r="E24" i="21"/>
  <c r="B4" i="21"/>
  <c r="E28" i="21"/>
  <c r="K26" i="21" s="1"/>
  <c r="J36" i="21"/>
  <c r="K35" i="21"/>
  <c r="H15" i="21"/>
  <c r="B21" i="21"/>
  <c r="B13" i="21"/>
  <c r="B5" i="21"/>
  <c r="F18" i="21"/>
  <c r="F10" i="21"/>
  <c r="K34" i="21"/>
  <c r="E31" i="21"/>
  <c r="K29" i="21" s="1"/>
  <c r="K33" i="21"/>
  <c r="K18" i="21"/>
  <c r="K19" i="18"/>
  <c r="E19" i="21"/>
  <c r="E25" i="21"/>
  <c r="E37" i="21"/>
  <c r="E34" i="21" s="1"/>
  <c r="F20" i="21"/>
  <c r="F16" i="21"/>
  <c r="F12" i="21"/>
  <c r="F8" i="21"/>
  <c r="F4" i="21"/>
  <c r="B17" i="21"/>
  <c r="B9" i="21"/>
  <c r="F22" i="21"/>
  <c r="F14" i="21"/>
  <c r="F6" i="21"/>
  <c r="F2" i="21"/>
  <c r="F37" i="18"/>
  <c r="F33" i="18"/>
  <c r="E20" i="21"/>
  <c r="E30" i="21"/>
  <c r="K28" i="21" s="1"/>
  <c r="B39" i="18"/>
  <c r="B35" i="18"/>
  <c r="B31" i="18"/>
  <c r="B27" i="18"/>
  <c r="B23" i="18"/>
  <c r="B19" i="18"/>
  <c r="B15" i="18"/>
  <c r="B11" i="18"/>
  <c r="B7" i="18"/>
  <c r="B3" i="18"/>
  <c r="F29" i="18"/>
  <c r="F25" i="18"/>
  <c r="F21" i="18"/>
  <c r="F17" i="18"/>
  <c r="F13" i="18"/>
  <c r="F9" i="18"/>
  <c r="F5" i="18"/>
  <c r="K13" i="18"/>
  <c r="E19" i="18"/>
  <c r="B38" i="18"/>
  <c r="B34" i="18"/>
  <c r="B30" i="18"/>
  <c r="B26" i="18"/>
  <c r="B22" i="18"/>
  <c r="B18" i="18"/>
  <c r="B14" i="18"/>
  <c r="B10" i="18"/>
  <c r="B6" i="18"/>
  <c r="K35" i="18"/>
  <c r="K40" i="18"/>
  <c r="B37" i="18"/>
  <c r="B33" i="18"/>
  <c r="B29" i="18"/>
  <c r="B25" i="18"/>
  <c r="B21" i="18"/>
  <c r="B17" i="18"/>
  <c r="B13" i="18"/>
  <c r="B9" i="18"/>
  <c r="B5" i="18"/>
  <c r="E24" i="18"/>
  <c r="E36" i="18"/>
  <c r="E31" i="18" s="1"/>
  <c r="K29" i="18" s="1"/>
  <c r="F39" i="18"/>
  <c r="F35" i="18"/>
  <c r="F31" i="18"/>
  <c r="F27" i="18"/>
  <c r="F23" i="18"/>
  <c r="F19" i="18"/>
  <c r="F15" i="18"/>
  <c r="F11" i="18"/>
  <c r="F7" i="18"/>
  <c r="F3" i="18"/>
  <c r="K38" i="18"/>
  <c r="K34" i="18"/>
  <c r="K14" i="18"/>
  <c r="B2" i="18"/>
  <c r="H13" i="18" s="1"/>
  <c r="E25" i="18"/>
  <c r="E37" i="18"/>
  <c r="E34" i="18" s="1"/>
  <c r="F38" i="18"/>
  <c r="F34" i="18"/>
  <c r="F30" i="18"/>
  <c r="F26" i="18"/>
  <c r="F22" i="18"/>
  <c r="F18" i="18"/>
  <c r="F14" i="18"/>
  <c r="F10" i="18"/>
  <c r="F6" i="18"/>
  <c r="F2" i="18"/>
  <c r="K33" i="18"/>
  <c r="K37" i="18"/>
  <c r="K18" i="18"/>
  <c r="K21" i="18"/>
  <c r="K27" i="18"/>
  <c r="K30" i="18"/>
  <c r="E20" i="18"/>
  <c r="E21" i="18" s="1"/>
  <c r="K22" i="18" s="1"/>
  <c r="E27" i="18"/>
  <c r="K25" i="18" s="1"/>
  <c r="K36" i="18"/>
  <c r="B36" i="18"/>
  <c r="B32" i="18"/>
  <c r="B28" i="18"/>
  <c r="B24" i="18"/>
  <c r="B20" i="18"/>
  <c r="B16" i="18"/>
  <c r="B12" i="18"/>
  <c r="B8" i="18"/>
  <c r="B4" i="18"/>
  <c r="E13" i="18"/>
  <c r="K39" i="18"/>
  <c r="E30" i="18"/>
  <c r="K28" i="18" s="1"/>
  <c r="E33" i="18" l="1"/>
  <c r="H10" i="21"/>
  <c r="H18" i="21"/>
  <c r="H12" i="21"/>
  <c r="H9" i="21"/>
  <c r="H13" i="21"/>
  <c r="H2" i="21"/>
  <c r="H7" i="21"/>
  <c r="H20" i="21"/>
  <c r="E21" i="21"/>
  <c r="K22" i="21" s="1"/>
  <c r="E22" i="21"/>
  <c r="K23" i="21" s="1"/>
  <c r="E33" i="21"/>
  <c r="H6" i="21"/>
  <c r="H22" i="21"/>
  <c r="H3" i="21"/>
  <c r="H4" i="21"/>
  <c r="H17" i="21"/>
  <c r="H19" i="21"/>
  <c r="H11" i="21"/>
  <c r="H8" i="21"/>
  <c r="H16" i="21"/>
  <c r="J37" i="21"/>
  <c r="K36" i="21"/>
  <c r="E40" i="21"/>
  <c r="K32" i="21" s="1"/>
  <c r="H5" i="21"/>
  <c r="H21" i="21"/>
  <c r="H14" i="21"/>
  <c r="E39" i="21"/>
  <c r="K31" i="21" s="1"/>
  <c r="H26" i="18"/>
  <c r="H39" i="18"/>
  <c r="H5" i="18"/>
  <c r="H21" i="18"/>
  <c r="H37" i="18"/>
  <c r="H14" i="18"/>
  <c r="H30" i="18"/>
  <c r="H15" i="18"/>
  <c r="H31" i="18"/>
  <c r="E22" i="18"/>
  <c r="K23" i="18" s="1"/>
  <c r="H9" i="18"/>
  <c r="H25" i="18"/>
  <c r="H2" i="18"/>
  <c r="H18" i="18"/>
  <c r="H34" i="18"/>
  <c r="H3" i="18"/>
  <c r="H19" i="18"/>
  <c r="H35" i="18"/>
  <c r="H29" i="18"/>
  <c r="M33" i="18"/>
  <c r="E40" i="18"/>
  <c r="K32" i="18" s="1"/>
  <c r="H6" i="18"/>
  <c r="H22" i="18"/>
  <c r="H38" i="18"/>
  <c r="E39" i="18"/>
  <c r="K31" i="18" s="1"/>
  <c r="H7" i="18"/>
  <c r="H23" i="18"/>
  <c r="H17" i="18"/>
  <c r="H33" i="18"/>
  <c r="H10" i="18"/>
  <c r="H4" i="18"/>
  <c r="H8" i="18"/>
  <c r="H12" i="18"/>
  <c r="H16" i="18"/>
  <c r="H20" i="18"/>
  <c r="H24" i="18"/>
  <c r="H28" i="18"/>
  <c r="H32" i="18"/>
  <c r="H36" i="18"/>
  <c r="H11" i="18"/>
  <c r="H27" i="18"/>
  <c r="J38" i="21" l="1"/>
  <c r="K37" i="21"/>
  <c r="J6" i="21"/>
  <c r="J8" i="21"/>
  <c r="J6" i="18"/>
  <c r="J8" i="18"/>
  <c r="L35" i="18"/>
  <c r="L39" i="18"/>
  <c r="L36" i="18"/>
  <c r="L40" i="18"/>
  <c r="L33" i="18"/>
  <c r="L37" i="18"/>
  <c r="L34" i="18"/>
  <c r="L38" i="18"/>
  <c r="I8" i="21" l="1"/>
  <c r="I33" i="18"/>
  <c r="I3" i="21"/>
  <c r="I22" i="21"/>
  <c r="I19" i="21"/>
  <c r="I6" i="21"/>
  <c r="I3" i="18"/>
  <c r="I16" i="21"/>
  <c r="I11" i="21"/>
  <c r="I15" i="18"/>
  <c r="I11" i="18"/>
  <c r="I15" i="21"/>
  <c r="I20" i="21"/>
  <c r="I7" i="21"/>
  <c r="I2" i="21"/>
  <c r="I13" i="21"/>
  <c r="I12" i="21"/>
  <c r="I10" i="21"/>
  <c r="I9" i="21"/>
  <c r="I18" i="21"/>
  <c r="I5" i="21"/>
  <c r="J39" i="21"/>
  <c r="K38" i="21"/>
  <c r="I14" i="21"/>
  <c r="I17" i="21"/>
  <c r="I4" i="21"/>
  <c r="I21" i="21"/>
  <c r="I21" i="18"/>
  <c r="I38" i="18"/>
  <c r="I27" i="18"/>
  <c r="I17" i="18"/>
  <c r="I37" i="18"/>
  <c r="I25" i="18"/>
  <c r="I39" i="18"/>
  <c r="I13" i="18"/>
  <c r="I26" i="18"/>
  <c r="I35" i="18"/>
  <c r="I16" i="18"/>
  <c r="I9" i="18"/>
  <c r="I23" i="18"/>
  <c r="I8" i="18"/>
  <c r="I12" i="18"/>
  <c r="I31" i="18"/>
  <c r="I19" i="18"/>
  <c r="I6" i="18"/>
  <c r="I32" i="18"/>
  <c r="I34" i="18"/>
  <c r="I4" i="18"/>
  <c r="I24" i="18"/>
  <c r="I28" i="18"/>
  <c r="I2" i="18"/>
  <c r="I14" i="18"/>
  <c r="I7" i="18"/>
  <c r="I5" i="18"/>
  <c r="I29" i="18"/>
  <c r="I20" i="18"/>
  <c r="I18" i="18"/>
  <c r="I10" i="18"/>
  <c r="I30" i="18"/>
  <c r="I22" i="18"/>
  <c r="I36" i="18"/>
  <c r="E2" i="21" l="1"/>
  <c r="J40" i="21"/>
  <c r="K40" i="21" s="1"/>
  <c r="K39" i="21"/>
  <c r="E2" i="18"/>
  <c r="M33" i="21" l="1"/>
  <c r="L35" i="21" s="1"/>
  <c r="L37" i="21"/>
  <c r="L34" i="21"/>
  <c r="L40" i="21"/>
  <c r="L33" i="21"/>
  <c r="L38" i="21"/>
  <c r="E1" i="21"/>
  <c r="K2" i="21"/>
  <c r="E1" i="18"/>
  <c r="K2" i="18"/>
  <c r="L39" i="21" l="1"/>
  <c r="L36" i="21"/>
  <c r="K4" i="21"/>
  <c r="K6" i="21"/>
  <c r="K5" i="21"/>
  <c r="K3" i="21"/>
  <c r="E3" i="21" s="1"/>
  <c r="K3" i="18"/>
  <c r="E3" i="18" s="1"/>
  <c r="K6" i="18"/>
  <c r="K5" i="18"/>
  <c r="K4" i="18"/>
  <c r="J30" i="14"/>
  <c r="J27" i="14"/>
  <c r="J24" i="14"/>
  <c r="J21" i="14"/>
  <c r="K20" i="14"/>
  <c r="K12" i="14"/>
  <c r="J34" i="14"/>
  <c r="J35" i="14" s="1"/>
  <c r="J36" i="14" s="1"/>
  <c r="J37" i="14" s="1"/>
  <c r="J38" i="14" s="1"/>
  <c r="J39" i="14" s="1"/>
  <c r="J40" i="14" s="1"/>
  <c r="E18" i="14"/>
  <c r="E17" i="14"/>
  <c r="E16" i="14"/>
  <c r="K24" i="14" s="1"/>
  <c r="E15" i="14"/>
  <c r="E14" i="14"/>
  <c r="J11" i="14"/>
  <c r="E12" i="14"/>
  <c r="E27" i="14" s="1"/>
  <c r="K25" i="14" s="1"/>
  <c r="E11" i="14"/>
  <c r="E10" i="14"/>
  <c r="E9" i="14"/>
  <c r="E8" i="14"/>
  <c r="E13" i="14" s="1"/>
  <c r="E6" i="14"/>
  <c r="G2" i="14"/>
  <c r="G3" i="14"/>
  <c r="G4" i="14"/>
  <c r="F4" i="14" s="1"/>
  <c r="G5" i="14"/>
  <c r="G6" i="14"/>
  <c r="G7" i="14"/>
  <c r="G8" i="14"/>
  <c r="F8" i="14" s="1"/>
  <c r="G9" i="14"/>
  <c r="G10" i="14"/>
  <c r="G11" i="14"/>
  <c r="G12" i="14"/>
  <c r="F12" i="14" s="1"/>
  <c r="G13" i="14"/>
  <c r="G14" i="14"/>
  <c r="G15" i="14"/>
  <c r="G16" i="14"/>
  <c r="F16" i="14" s="1"/>
  <c r="G17" i="14"/>
  <c r="G18" i="14"/>
  <c r="G19" i="14"/>
  <c r="G20" i="14"/>
  <c r="F20" i="14" s="1"/>
  <c r="G21" i="14"/>
  <c r="G22" i="14"/>
  <c r="G23" i="14"/>
  <c r="G24" i="14"/>
  <c r="F24" i="14" s="1"/>
  <c r="G25" i="14"/>
  <c r="G26" i="14"/>
  <c r="G27" i="14"/>
  <c r="G28" i="14"/>
  <c r="F28" i="14" s="1"/>
  <c r="G29" i="14"/>
  <c r="G30" i="14"/>
  <c r="G31" i="14"/>
  <c r="G32" i="14"/>
  <c r="F32" i="14" s="1"/>
  <c r="G33" i="14"/>
  <c r="G34" i="14"/>
  <c r="G35" i="14"/>
  <c r="G36" i="14"/>
  <c r="F36" i="14" s="1"/>
  <c r="G37" i="14"/>
  <c r="G38" i="14"/>
  <c r="G39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J30" i="11"/>
  <c r="J27" i="11"/>
  <c r="J24" i="11"/>
  <c r="J21" i="11"/>
  <c r="K20" i="11"/>
  <c r="K12" i="11"/>
  <c r="J34" i="11"/>
  <c r="J35" i="11" s="1"/>
  <c r="J36" i="11" s="1"/>
  <c r="J37" i="11" s="1"/>
  <c r="J38" i="11" s="1"/>
  <c r="J39" i="11" s="1"/>
  <c r="J40" i="11" s="1"/>
  <c r="E18" i="11"/>
  <c r="E17" i="11"/>
  <c r="E16" i="11"/>
  <c r="K24" i="11" s="1"/>
  <c r="E15" i="11"/>
  <c r="E14" i="11"/>
  <c r="J11" i="11"/>
  <c r="E12" i="11"/>
  <c r="E28" i="11" s="1"/>
  <c r="K26" i="11" s="1"/>
  <c r="E11" i="11"/>
  <c r="E10" i="11"/>
  <c r="E9" i="11"/>
  <c r="E8" i="11"/>
  <c r="E13" i="11" s="1"/>
  <c r="E7" i="11"/>
  <c r="E6" i="11"/>
  <c r="G2" i="11"/>
  <c r="G3" i="11"/>
  <c r="G4" i="11"/>
  <c r="F4" i="11" s="1"/>
  <c r="G5" i="11"/>
  <c r="G6" i="11"/>
  <c r="G7" i="11"/>
  <c r="G8" i="11"/>
  <c r="F8" i="11" s="1"/>
  <c r="G9" i="11"/>
  <c r="G10" i="11"/>
  <c r="G11" i="11"/>
  <c r="G12" i="11"/>
  <c r="F12" i="11" s="1"/>
  <c r="G13" i="11"/>
  <c r="G14" i="11"/>
  <c r="G15" i="11"/>
  <c r="G16" i="11"/>
  <c r="F16" i="11" s="1"/>
  <c r="G17" i="11"/>
  <c r="G18" i="11"/>
  <c r="G19" i="11"/>
  <c r="G20" i="11"/>
  <c r="F20" i="11" s="1"/>
  <c r="G21" i="11"/>
  <c r="G22" i="11"/>
  <c r="G23" i="11"/>
  <c r="G24" i="11"/>
  <c r="F24" i="11" s="1"/>
  <c r="G25" i="11"/>
  <c r="G26" i="11"/>
  <c r="G27" i="11"/>
  <c r="G28" i="11"/>
  <c r="F28" i="11" s="1"/>
  <c r="G29" i="11"/>
  <c r="G30" i="11"/>
  <c r="G31" i="11"/>
  <c r="G32" i="11"/>
  <c r="F32" i="11" s="1"/>
  <c r="G33" i="11"/>
  <c r="G34" i="11"/>
  <c r="G35" i="11"/>
  <c r="G36" i="11"/>
  <c r="F36" i="11" s="1"/>
  <c r="G37" i="11"/>
  <c r="G38" i="11"/>
  <c r="G39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J30" i="8"/>
  <c r="J27" i="8"/>
  <c r="J24" i="8"/>
  <c r="J21" i="8"/>
  <c r="K20" i="8"/>
  <c r="K12" i="8"/>
  <c r="J34" i="8"/>
  <c r="J35" i="8" s="1"/>
  <c r="E18" i="8"/>
  <c r="E17" i="8"/>
  <c r="E16" i="8"/>
  <c r="K24" i="8" s="1"/>
  <c r="E15" i="8"/>
  <c r="E14" i="8"/>
  <c r="J11" i="8"/>
  <c r="E12" i="8"/>
  <c r="E11" i="8"/>
  <c r="E10" i="8"/>
  <c r="E9" i="8"/>
  <c r="E8" i="8"/>
  <c r="E13" i="8" s="1"/>
  <c r="E7" i="8"/>
  <c r="E6" i="8"/>
  <c r="G2" i="8"/>
  <c r="G3" i="8"/>
  <c r="F3" i="8" s="1"/>
  <c r="G4" i="8"/>
  <c r="G5" i="8"/>
  <c r="G6" i="8"/>
  <c r="G7" i="8"/>
  <c r="F7" i="8" s="1"/>
  <c r="G8" i="8"/>
  <c r="G9" i="8"/>
  <c r="G10" i="8"/>
  <c r="G11" i="8"/>
  <c r="F11" i="8" s="1"/>
  <c r="G12" i="8"/>
  <c r="G13" i="8"/>
  <c r="G14" i="8"/>
  <c r="G15" i="8"/>
  <c r="F15" i="8" s="1"/>
  <c r="G16" i="8"/>
  <c r="G17" i="8"/>
  <c r="G18" i="8"/>
  <c r="G19" i="8"/>
  <c r="F19" i="8" s="1"/>
  <c r="G20" i="8"/>
  <c r="G21" i="8"/>
  <c r="G22" i="8"/>
  <c r="G23" i="8"/>
  <c r="F23" i="8" s="1"/>
  <c r="G24" i="8"/>
  <c r="G25" i="8"/>
  <c r="G26" i="8"/>
  <c r="G27" i="8"/>
  <c r="F27" i="8" s="1"/>
  <c r="G28" i="8"/>
  <c r="G29" i="8"/>
  <c r="G30" i="8"/>
  <c r="G31" i="8"/>
  <c r="F31" i="8" s="1"/>
  <c r="G32" i="8"/>
  <c r="G33" i="8"/>
  <c r="G34" i="8"/>
  <c r="G35" i="8"/>
  <c r="F35" i="8" s="1"/>
  <c r="G36" i="8"/>
  <c r="G37" i="8"/>
  <c r="G38" i="8"/>
  <c r="G39" i="8"/>
  <c r="F39" i="8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F37" i="11" l="1"/>
  <c r="F33" i="11"/>
  <c r="F29" i="11"/>
  <c r="F25" i="11"/>
  <c r="F21" i="11"/>
  <c r="F39" i="14"/>
  <c r="F35" i="14"/>
  <c r="F31" i="14"/>
  <c r="F27" i="14"/>
  <c r="F23" i="14"/>
  <c r="F19" i="14"/>
  <c r="F17" i="11"/>
  <c r="F13" i="11"/>
  <c r="F9" i="11"/>
  <c r="F5" i="11"/>
  <c r="F15" i="14"/>
  <c r="F11" i="14"/>
  <c r="F7" i="14"/>
  <c r="F3" i="14"/>
  <c r="K19" i="14"/>
  <c r="K40" i="14"/>
  <c r="K34" i="14"/>
  <c r="B39" i="14"/>
  <c r="B35" i="14"/>
  <c r="B31" i="14"/>
  <c r="B27" i="14"/>
  <c r="B23" i="14"/>
  <c r="B19" i="14"/>
  <c r="B15" i="14"/>
  <c r="B11" i="14"/>
  <c r="B7" i="14"/>
  <c r="B3" i="14"/>
  <c r="K13" i="14"/>
  <c r="E20" i="14"/>
  <c r="E21" i="14" s="1"/>
  <c r="K22" i="14" s="1"/>
  <c r="B38" i="14"/>
  <c r="B34" i="14"/>
  <c r="B30" i="14"/>
  <c r="B26" i="14"/>
  <c r="B22" i="14"/>
  <c r="B18" i="14"/>
  <c r="B14" i="14"/>
  <c r="B10" i="14"/>
  <c r="B6" i="14"/>
  <c r="B4" i="14"/>
  <c r="B2" i="14"/>
  <c r="E19" i="14"/>
  <c r="E25" i="14"/>
  <c r="E37" i="14"/>
  <c r="E34" i="14" s="1"/>
  <c r="F38" i="14"/>
  <c r="F34" i="14"/>
  <c r="F30" i="14"/>
  <c r="F26" i="14"/>
  <c r="F22" i="14"/>
  <c r="F18" i="14"/>
  <c r="F14" i="14"/>
  <c r="F10" i="14"/>
  <c r="F6" i="14"/>
  <c r="F2" i="14"/>
  <c r="K38" i="14"/>
  <c r="K14" i="14"/>
  <c r="E19" i="11"/>
  <c r="B37" i="14"/>
  <c r="B33" i="14"/>
  <c r="B29" i="14"/>
  <c r="B25" i="14"/>
  <c r="B21" i="14"/>
  <c r="B17" i="14"/>
  <c r="B13" i="14"/>
  <c r="B9" i="14"/>
  <c r="B5" i="14"/>
  <c r="F37" i="14"/>
  <c r="F33" i="14"/>
  <c r="F29" i="14"/>
  <c r="F25" i="14"/>
  <c r="F21" i="14"/>
  <c r="F17" i="14"/>
  <c r="F13" i="14"/>
  <c r="F9" i="14"/>
  <c r="F5" i="14"/>
  <c r="K33" i="14"/>
  <c r="K37" i="14"/>
  <c r="K18" i="14"/>
  <c r="K21" i="14"/>
  <c r="K27" i="14"/>
  <c r="K30" i="14"/>
  <c r="B38" i="11"/>
  <c r="B36" i="14"/>
  <c r="B32" i="14"/>
  <c r="B28" i="14"/>
  <c r="B24" i="14"/>
  <c r="B20" i="14"/>
  <c r="B16" i="14"/>
  <c r="B12" i="14"/>
  <c r="B8" i="14"/>
  <c r="E28" i="14"/>
  <c r="K26" i="14" s="1"/>
  <c r="K36" i="14"/>
  <c r="E24" i="14"/>
  <c r="E36" i="14"/>
  <c r="E31" i="14" s="1"/>
  <c r="K29" i="14" s="1"/>
  <c r="K39" i="14"/>
  <c r="K35" i="14"/>
  <c r="B37" i="8"/>
  <c r="B37" i="11"/>
  <c r="B33" i="11"/>
  <c r="B29" i="11"/>
  <c r="B25" i="11"/>
  <c r="B21" i="11"/>
  <c r="B17" i="11"/>
  <c r="B13" i="11"/>
  <c r="B9" i="11"/>
  <c r="B3" i="11"/>
  <c r="K13" i="11"/>
  <c r="B36" i="11"/>
  <c r="B32" i="11"/>
  <c r="B28" i="11"/>
  <c r="B24" i="11"/>
  <c r="B20" i="11"/>
  <c r="B16" i="11"/>
  <c r="B12" i="11"/>
  <c r="B8" i="11"/>
  <c r="B4" i="11"/>
  <c r="K40" i="11"/>
  <c r="K19" i="8"/>
  <c r="B34" i="11"/>
  <c r="B30" i="11"/>
  <c r="B26" i="11"/>
  <c r="B22" i="11"/>
  <c r="B18" i="11"/>
  <c r="B14" i="11"/>
  <c r="B10" i="11"/>
  <c r="B6" i="11"/>
  <c r="K35" i="11"/>
  <c r="K19" i="11"/>
  <c r="B2" i="11"/>
  <c r="E24" i="11"/>
  <c r="E36" i="11"/>
  <c r="E31" i="11" s="1"/>
  <c r="K29" i="11" s="1"/>
  <c r="F39" i="11"/>
  <c r="F35" i="11"/>
  <c r="F31" i="11"/>
  <c r="F27" i="11"/>
  <c r="F23" i="11"/>
  <c r="F19" i="11"/>
  <c r="F15" i="11"/>
  <c r="F11" i="11"/>
  <c r="F7" i="11"/>
  <c r="F3" i="11"/>
  <c r="K38" i="11"/>
  <c r="K34" i="11"/>
  <c r="K14" i="11"/>
  <c r="B5" i="11"/>
  <c r="E25" i="11"/>
  <c r="E37" i="11"/>
  <c r="E34" i="11" s="1"/>
  <c r="F38" i="11"/>
  <c r="F34" i="11"/>
  <c r="F30" i="11"/>
  <c r="F26" i="11"/>
  <c r="F22" i="11"/>
  <c r="F18" i="11"/>
  <c r="F14" i="11"/>
  <c r="F10" i="11"/>
  <c r="F6" i="11"/>
  <c r="F2" i="11"/>
  <c r="K33" i="11"/>
  <c r="K37" i="11"/>
  <c r="K18" i="11"/>
  <c r="K21" i="11"/>
  <c r="K27" i="11"/>
  <c r="K30" i="11"/>
  <c r="B38" i="8"/>
  <c r="B34" i="8"/>
  <c r="B30" i="8"/>
  <c r="B26" i="8"/>
  <c r="B22" i="8"/>
  <c r="B18" i="8"/>
  <c r="B14" i="8"/>
  <c r="B10" i="8"/>
  <c r="B6" i="8"/>
  <c r="B2" i="8"/>
  <c r="H2" i="8" s="1"/>
  <c r="F36" i="8"/>
  <c r="F32" i="8"/>
  <c r="F28" i="8"/>
  <c r="F24" i="8"/>
  <c r="F20" i="8"/>
  <c r="F16" i="8"/>
  <c r="F12" i="8"/>
  <c r="F8" i="8"/>
  <c r="F4" i="8"/>
  <c r="K13" i="8"/>
  <c r="E20" i="11"/>
  <c r="E21" i="11" s="1"/>
  <c r="K22" i="11" s="1"/>
  <c r="E27" i="11"/>
  <c r="K25" i="11" s="1"/>
  <c r="K36" i="11"/>
  <c r="B33" i="8"/>
  <c r="B29" i="8"/>
  <c r="B25" i="8"/>
  <c r="B21" i="8"/>
  <c r="B17" i="8"/>
  <c r="B13" i="8"/>
  <c r="B9" i="8"/>
  <c r="B7" i="8"/>
  <c r="B39" i="11"/>
  <c r="B35" i="11"/>
  <c r="B31" i="11"/>
  <c r="B27" i="11"/>
  <c r="B23" i="11"/>
  <c r="B19" i="11"/>
  <c r="B15" i="11"/>
  <c r="B11" i="11"/>
  <c r="B7" i="11"/>
  <c r="K39" i="11"/>
  <c r="J36" i="8"/>
  <c r="K35" i="8"/>
  <c r="B5" i="8"/>
  <c r="E19" i="8"/>
  <c r="E25" i="8"/>
  <c r="E37" i="8"/>
  <c r="E33" i="8" s="1"/>
  <c r="F38" i="8"/>
  <c r="F34" i="8"/>
  <c r="F30" i="8"/>
  <c r="F26" i="8"/>
  <c r="F22" i="8"/>
  <c r="F18" i="8"/>
  <c r="F14" i="8"/>
  <c r="F10" i="8"/>
  <c r="F6" i="8"/>
  <c r="F2" i="8"/>
  <c r="K34" i="8"/>
  <c r="K14" i="8"/>
  <c r="B36" i="8"/>
  <c r="B32" i="8"/>
  <c r="B28" i="8"/>
  <c r="B24" i="8"/>
  <c r="B20" i="8"/>
  <c r="B16" i="8"/>
  <c r="B12" i="8"/>
  <c r="B8" i="8"/>
  <c r="B4" i="8"/>
  <c r="E20" i="8"/>
  <c r="E21" i="8" s="1"/>
  <c r="K22" i="8" s="1"/>
  <c r="E27" i="8"/>
  <c r="K25" i="8" s="1"/>
  <c r="F37" i="8"/>
  <c r="F33" i="8"/>
  <c r="F29" i="8"/>
  <c r="F25" i="8"/>
  <c r="F21" i="8"/>
  <c r="F17" i="8"/>
  <c r="F13" i="8"/>
  <c r="F9" i="8"/>
  <c r="F5" i="8"/>
  <c r="K33" i="8"/>
  <c r="K18" i="8"/>
  <c r="K21" i="8"/>
  <c r="K27" i="8"/>
  <c r="K30" i="8"/>
  <c r="B39" i="8"/>
  <c r="B35" i="8"/>
  <c r="B31" i="8"/>
  <c r="B27" i="8"/>
  <c r="B23" i="8"/>
  <c r="B19" i="8"/>
  <c r="B15" i="8"/>
  <c r="B11" i="8"/>
  <c r="B3" i="8"/>
  <c r="E28" i="8"/>
  <c r="K26" i="8" s="1"/>
  <c r="E24" i="8"/>
  <c r="E36" i="8"/>
  <c r="E31" i="8" s="1"/>
  <c r="K29" i="8" s="1"/>
  <c r="H30" i="14" l="1"/>
  <c r="E33" i="14"/>
  <c r="E30" i="11"/>
  <c r="K28" i="11" s="1"/>
  <c r="H35" i="14"/>
  <c r="H19" i="14"/>
  <c r="H32" i="11"/>
  <c r="H27" i="14"/>
  <c r="H20" i="11"/>
  <c r="E22" i="11"/>
  <c r="K23" i="11" s="1"/>
  <c r="E22" i="8"/>
  <c r="K23" i="8" s="1"/>
  <c r="E30" i="14"/>
  <c r="K28" i="14" s="1"/>
  <c r="H15" i="14"/>
  <c r="H3" i="14"/>
  <c r="H31" i="14"/>
  <c r="E22" i="14"/>
  <c r="K23" i="14" s="1"/>
  <c r="H11" i="14"/>
  <c r="H38" i="14"/>
  <c r="H39" i="14"/>
  <c r="E39" i="14"/>
  <c r="K31" i="14" s="1"/>
  <c r="E40" i="14"/>
  <c r="K32" i="14" s="1"/>
  <c r="H2" i="14"/>
  <c r="H18" i="14"/>
  <c r="H34" i="14"/>
  <c r="H11" i="8"/>
  <c r="H16" i="11"/>
  <c r="H7" i="14"/>
  <c r="H23" i="14"/>
  <c r="H6" i="14"/>
  <c r="H22" i="14"/>
  <c r="H10" i="14"/>
  <c r="H26" i="14"/>
  <c r="H4" i="14"/>
  <c r="H8" i="14"/>
  <c r="H12" i="14"/>
  <c r="H16" i="14"/>
  <c r="H20" i="14"/>
  <c r="H24" i="14"/>
  <c r="H28" i="14"/>
  <c r="H32" i="14"/>
  <c r="H36" i="14"/>
  <c r="H5" i="14"/>
  <c r="H9" i="14"/>
  <c r="H13" i="14"/>
  <c r="H17" i="14"/>
  <c r="H21" i="14"/>
  <c r="H25" i="14"/>
  <c r="H29" i="14"/>
  <c r="H33" i="14"/>
  <c r="H37" i="14"/>
  <c r="M33" i="14"/>
  <c r="H14" i="14"/>
  <c r="E33" i="11"/>
  <c r="H29" i="11"/>
  <c r="H38" i="11"/>
  <c r="H37" i="8"/>
  <c r="E34" i="8"/>
  <c r="H4" i="11"/>
  <c r="H36" i="11"/>
  <c r="H17" i="11"/>
  <c r="H33" i="11"/>
  <c r="H2" i="11"/>
  <c r="H18" i="11"/>
  <c r="H34" i="11"/>
  <c r="H8" i="11"/>
  <c r="H24" i="11"/>
  <c r="H5" i="11"/>
  <c r="H21" i="11"/>
  <c r="H37" i="11"/>
  <c r="E39" i="11"/>
  <c r="K31" i="11" s="1"/>
  <c r="H6" i="11"/>
  <c r="H22" i="11"/>
  <c r="H10" i="8"/>
  <c r="H12" i="11"/>
  <c r="H28" i="11"/>
  <c r="M33" i="11"/>
  <c r="E40" i="11"/>
  <c r="K32" i="11" s="1"/>
  <c r="H9" i="11"/>
  <c r="H25" i="11"/>
  <c r="H10" i="11"/>
  <c r="H26" i="11"/>
  <c r="H3" i="11"/>
  <c r="H7" i="11"/>
  <c r="H11" i="11"/>
  <c r="H15" i="11"/>
  <c r="H19" i="11"/>
  <c r="H23" i="11"/>
  <c r="H27" i="11"/>
  <c r="H31" i="11"/>
  <c r="H35" i="11"/>
  <c r="H39" i="11"/>
  <c r="H26" i="8"/>
  <c r="H7" i="8"/>
  <c r="H13" i="11"/>
  <c r="H14" i="11"/>
  <c r="H30" i="11"/>
  <c r="E40" i="8"/>
  <c r="K32" i="8" s="1"/>
  <c r="H5" i="8"/>
  <c r="H21" i="8"/>
  <c r="H32" i="8"/>
  <c r="H16" i="8"/>
  <c r="H39" i="8"/>
  <c r="H9" i="8"/>
  <c r="H25" i="8"/>
  <c r="H14" i="8"/>
  <c r="H30" i="8"/>
  <c r="E39" i="8"/>
  <c r="K31" i="8" s="1"/>
  <c r="H28" i="8"/>
  <c r="H12" i="8"/>
  <c r="H35" i="8"/>
  <c r="H19" i="8"/>
  <c r="H3" i="8"/>
  <c r="H23" i="8"/>
  <c r="E30" i="8"/>
  <c r="K28" i="8" s="1"/>
  <c r="H13" i="8"/>
  <c r="H29" i="8"/>
  <c r="H18" i="8"/>
  <c r="H34" i="8"/>
  <c r="J37" i="8"/>
  <c r="K36" i="8"/>
  <c r="H24" i="8"/>
  <c r="H8" i="8"/>
  <c r="H31" i="8"/>
  <c r="H15" i="8"/>
  <c r="H17" i="8"/>
  <c r="H33" i="8"/>
  <c r="H6" i="8"/>
  <c r="H22" i="8"/>
  <c r="H38" i="8"/>
  <c r="H36" i="8"/>
  <c r="H20" i="8"/>
  <c r="H4" i="8"/>
  <c r="H27" i="8"/>
  <c r="J6" i="14" l="1"/>
  <c r="J8" i="14"/>
  <c r="L35" i="14"/>
  <c r="L39" i="14"/>
  <c r="L36" i="14"/>
  <c r="L40" i="14"/>
  <c r="L33" i="14"/>
  <c r="L37" i="14"/>
  <c r="L34" i="14"/>
  <c r="L38" i="14"/>
  <c r="I9" i="14"/>
  <c r="J6" i="11"/>
  <c r="J8" i="11"/>
  <c r="L35" i="11"/>
  <c r="L39" i="11"/>
  <c r="L36" i="11"/>
  <c r="L40" i="11"/>
  <c r="L33" i="11"/>
  <c r="L37" i="11"/>
  <c r="L34" i="11"/>
  <c r="L38" i="11"/>
  <c r="J8" i="8"/>
  <c r="J38" i="8"/>
  <c r="K37" i="8"/>
  <c r="J6" i="8"/>
  <c r="I24" i="14" l="1"/>
  <c r="I18" i="11"/>
  <c r="I34" i="14"/>
  <c r="I7" i="14"/>
  <c r="I32" i="14"/>
  <c r="I22" i="11"/>
  <c r="I14" i="11"/>
  <c r="I12" i="14"/>
  <c r="I6" i="14"/>
  <c r="I17" i="14"/>
  <c r="I7" i="11"/>
  <c r="I13" i="11"/>
  <c r="I10" i="14"/>
  <c r="I25" i="14"/>
  <c r="I16" i="14"/>
  <c r="I14" i="14"/>
  <c r="I36" i="14"/>
  <c r="I15" i="14"/>
  <c r="I39" i="14"/>
  <c r="I31" i="14"/>
  <c r="I35" i="14"/>
  <c r="I3" i="14"/>
  <c r="I30" i="14"/>
  <c r="I38" i="14"/>
  <c r="I27" i="14"/>
  <c r="I19" i="14"/>
  <c r="I11" i="14"/>
  <c r="I5" i="14"/>
  <c r="I5" i="11"/>
  <c r="I17" i="11"/>
  <c r="I18" i="14"/>
  <c r="I28" i="14"/>
  <c r="I23" i="14"/>
  <c r="I13" i="14"/>
  <c r="I4" i="14"/>
  <c r="I33" i="14"/>
  <c r="I22" i="14"/>
  <c r="I21" i="14"/>
  <c r="I25" i="11"/>
  <c r="I26" i="14"/>
  <c r="I29" i="14"/>
  <c r="I20" i="14"/>
  <c r="I2" i="14"/>
  <c r="I8" i="14"/>
  <c r="I37" i="14"/>
  <c r="I33" i="11"/>
  <c r="I15" i="11"/>
  <c r="I10" i="11"/>
  <c r="I6" i="11"/>
  <c r="I23" i="11"/>
  <c r="I34" i="11"/>
  <c r="I11" i="11"/>
  <c r="I8" i="11"/>
  <c r="I31" i="11"/>
  <c r="I20" i="11"/>
  <c r="I29" i="11"/>
  <c r="I38" i="11"/>
  <c r="I32" i="11"/>
  <c r="I16" i="11"/>
  <c r="I3" i="11"/>
  <c r="I36" i="11"/>
  <c r="I28" i="11"/>
  <c r="I39" i="11"/>
  <c r="I21" i="11"/>
  <c r="I27" i="11"/>
  <c r="I37" i="11"/>
  <c r="I4" i="11"/>
  <c r="I24" i="11"/>
  <c r="I19" i="11"/>
  <c r="I30" i="11"/>
  <c r="I26" i="11"/>
  <c r="I2" i="11"/>
  <c r="I12" i="11"/>
  <c r="I35" i="11"/>
  <c r="I9" i="11"/>
  <c r="I2" i="8"/>
  <c r="I26" i="8"/>
  <c r="I10" i="8"/>
  <c r="I37" i="8"/>
  <c r="I11" i="8"/>
  <c r="I7" i="8"/>
  <c r="I6" i="8"/>
  <c r="I14" i="8"/>
  <c r="I36" i="8"/>
  <c r="I35" i="8"/>
  <c r="I20" i="8"/>
  <c r="I9" i="8"/>
  <c r="I24" i="8"/>
  <c r="I25" i="8"/>
  <c r="I34" i="8"/>
  <c r="I16" i="8"/>
  <c r="I33" i="8"/>
  <c r="I30" i="8"/>
  <c r="I21" i="8"/>
  <c r="I18" i="8"/>
  <c r="I32" i="8"/>
  <c r="I29" i="8"/>
  <c r="I12" i="8"/>
  <c r="J39" i="8"/>
  <c r="K38" i="8"/>
  <c r="I5" i="8"/>
  <c r="I8" i="8"/>
  <c r="I19" i="8"/>
  <c r="I22" i="8"/>
  <c r="I28" i="8"/>
  <c r="I17" i="8"/>
  <c r="I23" i="8"/>
  <c r="I31" i="8"/>
  <c r="I39" i="8"/>
  <c r="I15" i="8"/>
  <c r="I38" i="8"/>
  <c r="I13" i="8"/>
  <c r="I4" i="8"/>
  <c r="I3" i="8"/>
  <c r="I27" i="8"/>
  <c r="E2" i="14" l="1"/>
  <c r="K2" i="14" s="1"/>
  <c r="E2" i="11"/>
  <c r="J40" i="8"/>
  <c r="K40" i="8" s="1"/>
  <c r="K39" i="8"/>
  <c r="E2" i="8"/>
  <c r="E1" i="14" l="1"/>
  <c r="K4" i="14"/>
  <c r="K3" i="14"/>
  <c r="E3" i="14" s="1"/>
  <c r="K6" i="14"/>
  <c r="K5" i="14"/>
  <c r="M33" i="8"/>
  <c r="L36" i="8" s="1"/>
  <c r="E1" i="11"/>
  <c r="K2" i="11"/>
  <c r="E1" i="8"/>
  <c r="K2" i="8"/>
  <c r="L38" i="8" l="1"/>
  <c r="L40" i="8"/>
  <c r="L37" i="8"/>
  <c r="L39" i="8"/>
  <c r="L33" i="8"/>
  <c r="L35" i="8"/>
  <c r="K3" i="11"/>
  <c r="K6" i="11"/>
  <c r="K5" i="11"/>
  <c r="K4" i="11"/>
  <c r="E3" i="11" s="1"/>
  <c r="L34" i="8"/>
  <c r="K4" i="8"/>
  <c r="K3" i="8"/>
  <c r="E3" i="8" s="1"/>
  <c r="K6" i="8"/>
  <c r="K5" i="8"/>
  <c r="J30" i="5"/>
  <c r="J27" i="5"/>
  <c r="J24" i="5"/>
  <c r="J21" i="5"/>
  <c r="K20" i="5"/>
  <c r="K12" i="5"/>
  <c r="J34" i="5"/>
  <c r="J35" i="5" s="1"/>
  <c r="J36" i="5" s="1"/>
  <c r="J37" i="5" s="1"/>
  <c r="J38" i="5" s="1"/>
  <c r="J39" i="5" s="1"/>
  <c r="J40" i="5" s="1"/>
  <c r="E18" i="5"/>
  <c r="E17" i="5"/>
  <c r="E16" i="5"/>
  <c r="K24" i="5" s="1"/>
  <c r="E15" i="5"/>
  <c r="E14" i="5"/>
  <c r="J11" i="5"/>
  <c r="E12" i="5"/>
  <c r="E36" i="5" s="1"/>
  <c r="E11" i="5"/>
  <c r="E10" i="5"/>
  <c r="E9" i="5"/>
  <c r="E8" i="5"/>
  <c r="E13" i="5" s="1"/>
  <c r="E7" i="5"/>
  <c r="E6" i="5"/>
  <c r="G2" i="5"/>
  <c r="G3" i="5"/>
  <c r="F3" i="5" s="1"/>
  <c r="G4" i="5"/>
  <c r="G5" i="5"/>
  <c r="G6" i="5"/>
  <c r="G7" i="5"/>
  <c r="F7" i="5" s="1"/>
  <c r="G8" i="5"/>
  <c r="G9" i="5"/>
  <c r="G10" i="5"/>
  <c r="G11" i="5"/>
  <c r="F11" i="5" s="1"/>
  <c r="G12" i="5"/>
  <c r="G13" i="5"/>
  <c r="G14" i="5"/>
  <c r="G15" i="5"/>
  <c r="F15" i="5" s="1"/>
  <c r="G16" i="5"/>
  <c r="G17" i="5"/>
  <c r="G18" i="5"/>
  <c r="G19" i="5"/>
  <c r="F19" i="5" s="1"/>
  <c r="G20" i="5"/>
  <c r="G21" i="5"/>
  <c r="G22" i="5"/>
  <c r="G23" i="5"/>
  <c r="F23" i="5" s="1"/>
  <c r="G24" i="5"/>
  <c r="G25" i="5"/>
  <c r="G26" i="5"/>
  <c r="G27" i="5"/>
  <c r="F27" i="5" s="1"/>
  <c r="G28" i="5"/>
  <c r="G29" i="5"/>
  <c r="G30" i="5"/>
  <c r="G31" i="5"/>
  <c r="F31" i="5" s="1"/>
  <c r="G32" i="5"/>
  <c r="G33" i="5"/>
  <c r="G34" i="5"/>
  <c r="G35" i="5"/>
  <c r="F35" i="5" s="1"/>
  <c r="G36" i="5"/>
  <c r="G37" i="5"/>
  <c r="G38" i="5"/>
  <c r="G39" i="5"/>
  <c r="F39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J30" i="2"/>
  <c r="J27" i="2"/>
  <c r="J24" i="2"/>
  <c r="J21" i="2"/>
  <c r="K20" i="2"/>
  <c r="K12" i="2"/>
  <c r="J34" i="2"/>
  <c r="J35" i="2" s="1"/>
  <c r="J36" i="2" s="1"/>
  <c r="J37" i="2" s="1"/>
  <c r="J38" i="2" s="1"/>
  <c r="J39" i="2" s="1"/>
  <c r="J40" i="2" s="1"/>
  <c r="E18" i="2"/>
  <c r="E17" i="2"/>
  <c r="E16" i="2"/>
  <c r="K24" i="2" s="1"/>
  <c r="E15" i="2"/>
  <c r="E14" i="2"/>
  <c r="J11" i="2"/>
  <c r="E12" i="2"/>
  <c r="E28" i="2" s="1"/>
  <c r="K26" i="2" s="1"/>
  <c r="E11" i="2"/>
  <c r="E10" i="2"/>
  <c r="E9" i="2"/>
  <c r="E8" i="2"/>
  <c r="E7" i="2"/>
  <c r="E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H42" i="1"/>
  <c r="G42" i="1"/>
  <c r="F42" i="1"/>
  <c r="E42" i="1"/>
  <c r="D42" i="1"/>
  <c r="C42" i="1"/>
  <c r="H41" i="1"/>
  <c r="G41" i="1"/>
  <c r="F41" i="1"/>
  <c r="E41" i="1"/>
  <c r="D41" i="1"/>
  <c r="C41" i="1"/>
  <c r="X39" i="1"/>
  <c r="T39" i="1"/>
  <c r="P39" i="1"/>
  <c r="L26" i="1"/>
  <c r="X38" i="1"/>
  <c r="T38" i="1"/>
  <c r="P38" i="1"/>
  <c r="X37" i="1"/>
  <c r="T37" i="1"/>
  <c r="P37" i="1"/>
  <c r="L16" i="1"/>
  <c r="X36" i="1"/>
  <c r="T36" i="1"/>
  <c r="P36" i="1"/>
  <c r="L4" i="1"/>
  <c r="X35" i="1"/>
  <c r="T35" i="1"/>
  <c r="P35" i="1"/>
  <c r="L20" i="1"/>
  <c r="X34" i="1"/>
  <c r="T34" i="1"/>
  <c r="P34" i="1"/>
  <c r="L5" i="1"/>
  <c r="X33" i="1"/>
  <c r="T33" i="1"/>
  <c r="P33" i="1"/>
  <c r="L24" i="1"/>
  <c r="X32" i="1"/>
  <c r="T32" i="1"/>
  <c r="P32" i="1"/>
  <c r="L9" i="1"/>
  <c r="X31" i="1"/>
  <c r="T31" i="1"/>
  <c r="P31" i="1"/>
  <c r="L22" i="1"/>
  <c r="X30" i="1"/>
  <c r="T30" i="1"/>
  <c r="P30" i="1"/>
  <c r="L27" i="1"/>
  <c r="X29" i="1"/>
  <c r="T29" i="1"/>
  <c r="P29" i="1"/>
  <c r="L29" i="1"/>
  <c r="X28" i="1"/>
  <c r="T28" i="1"/>
  <c r="P28" i="1"/>
  <c r="L14" i="1"/>
  <c r="X27" i="1"/>
  <c r="T27" i="1"/>
  <c r="P27" i="1"/>
  <c r="L33" i="1"/>
  <c r="X26" i="1"/>
  <c r="T26" i="1"/>
  <c r="P26" i="1"/>
  <c r="L35" i="1"/>
  <c r="X25" i="1"/>
  <c r="T25" i="1"/>
  <c r="P25" i="1"/>
  <c r="L12" i="1"/>
  <c r="X24" i="1"/>
  <c r="T24" i="1"/>
  <c r="P24" i="1"/>
  <c r="L11" i="1"/>
  <c r="X23" i="1"/>
  <c r="T23" i="1"/>
  <c r="P23" i="1"/>
  <c r="L8" i="1"/>
  <c r="X22" i="1"/>
  <c r="X47" i="1" s="1"/>
  <c r="T22" i="1"/>
  <c r="T47" i="1" s="1"/>
  <c r="P22" i="1"/>
  <c r="P47" i="1" s="1"/>
  <c r="L34" i="1"/>
  <c r="X21" i="1"/>
  <c r="T21" i="1"/>
  <c r="P21" i="1"/>
  <c r="L32" i="1"/>
  <c r="X20" i="1"/>
  <c r="T20" i="1"/>
  <c r="P20" i="1"/>
  <c r="L39" i="1"/>
  <c r="X19" i="1"/>
  <c r="T19" i="1"/>
  <c r="P19" i="1"/>
  <c r="L7" i="1"/>
  <c r="X18" i="1"/>
  <c r="T18" i="1"/>
  <c r="P18" i="1"/>
  <c r="L18" i="1"/>
  <c r="X17" i="1"/>
  <c r="T17" i="1"/>
  <c r="P17" i="1"/>
  <c r="K17" i="1"/>
  <c r="L10" i="1" s="1"/>
  <c r="X16" i="1"/>
  <c r="T16" i="1"/>
  <c r="P16" i="1"/>
  <c r="L19" i="1"/>
  <c r="X15" i="1"/>
  <c r="T15" i="1"/>
  <c r="P15" i="1"/>
  <c r="L31" i="1"/>
  <c r="X14" i="1"/>
  <c r="T14" i="1"/>
  <c r="P14" i="1"/>
  <c r="L36" i="1"/>
  <c r="X13" i="1"/>
  <c r="T13" i="1"/>
  <c r="P13" i="1"/>
  <c r="L13" i="1"/>
  <c r="X12" i="1"/>
  <c r="T12" i="1"/>
  <c r="P12" i="1"/>
  <c r="L23" i="1"/>
  <c r="X11" i="1"/>
  <c r="T11" i="1"/>
  <c r="P11" i="1"/>
  <c r="L30" i="1"/>
  <c r="X10" i="1"/>
  <c r="T10" i="1"/>
  <c r="P10" i="1"/>
  <c r="L3" i="1"/>
  <c r="X9" i="1"/>
  <c r="T9" i="1"/>
  <c r="P9" i="1"/>
  <c r="L6" i="1"/>
  <c r="X8" i="1"/>
  <c r="T8" i="1"/>
  <c r="P8" i="1"/>
  <c r="L25" i="1"/>
  <c r="X7" i="1"/>
  <c r="T7" i="1"/>
  <c r="P7" i="1"/>
  <c r="L37" i="1"/>
  <c r="X6" i="1"/>
  <c r="T6" i="1"/>
  <c r="P6" i="1"/>
  <c r="L21" i="1"/>
  <c r="X5" i="1"/>
  <c r="T5" i="1"/>
  <c r="P5" i="1"/>
  <c r="L15" i="1"/>
  <c r="X4" i="1"/>
  <c r="T4" i="1"/>
  <c r="P4" i="1"/>
  <c r="L28" i="1"/>
  <c r="X3" i="1"/>
  <c r="T3" i="1"/>
  <c r="F2" i="29" s="1"/>
  <c r="P3" i="1"/>
  <c r="P44" i="1" s="1"/>
  <c r="L38" i="1"/>
  <c r="L44" i="1" s="1"/>
  <c r="X2" i="1"/>
  <c r="X45" i="1" s="1"/>
  <c r="T2" i="1"/>
  <c r="T45" i="1" s="1"/>
  <c r="P2" i="1"/>
  <c r="P41" i="1" s="1"/>
  <c r="T48" i="1" l="1"/>
  <c r="P48" i="1"/>
  <c r="T44" i="1"/>
  <c r="X44" i="1"/>
  <c r="X48" i="1"/>
  <c r="L17" i="1"/>
  <c r="L41" i="1" s="1"/>
  <c r="L48" i="1"/>
  <c r="L47" i="1"/>
  <c r="B37" i="2"/>
  <c r="B37" i="5"/>
  <c r="E19" i="5"/>
  <c r="K40" i="5"/>
  <c r="K19" i="2"/>
  <c r="F36" i="5"/>
  <c r="F32" i="5"/>
  <c r="F28" i="5"/>
  <c r="B36" i="5"/>
  <c r="B32" i="5"/>
  <c r="B28" i="5"/>
  <c r="B24" i="5"/>
  <c r="B20" i="5"/>
  <c r="B16" i="5"/>
  <c r="B12" i="5"/>
  <c r="B8" i="5"/>
  <c r="B4" i="5"/>
  <c r="K34" i="5"/>
  <c r="B38" i="5"/>
  <c r="B34" i="5"/>
  <c r="B30" i="5"/>
  <c r="B26" i="5"/>
  <c r="B22" i="5"/>
  <c r="B18" i="5"/>
  <c r="B14" i="5"/>
  <c r="B10" i="5"/>
  <c r="B6" i="5"/>
  <c r="B2" i="5"/>
  <c r="F24" i="5"/>
  <c r="F20" i="5"/>
  <c r="F16" i="5"/>
  <c r="F12" i="5"/>
  <c r="F8" i="5"/>
  <c r="F4" i="5"/>
  <c r="K19" i="5"/>
  <c r="B33" i="5"/>
  <c r="B29" i="5"/>
  <c r="B25" i="5"/>
  <c r="B21" i="5"/>
  <c r="B17" i="5"/>
  <c r="B13" i="5"/>
  <c r="B9" i="5"/>
  <c r="B5" i="5"/>
  <c r="E30" i="5"/>
  <c r="K28" i="5" s="1"/>
  <c r="K13" i="5"/>
  <c r="E20" i="5"/>
  <c r="E21" i="5" s="1"/>
  <c r="K22" i="5" s="1"/>
  <c r="E27" i="5"/>
  <c r="K25" i="5" s="1"/>
  <c r="E31" i="5"/>
  <c r="K29" i="5" s="1"/>
  <c r="F38" i="5"/>
  <c r="F34" i="5"/>
  <c r="F30" i="5"/>
  <c r="F26" i="5"/>
  <c r="F22" i="5"/>
  <c r="F18" i="5"/>
  <c r="F14" i="5"/>
  <c r="F10" i="5"/>
  <c r="F6" i="5"/>
  <c r="F2" i="5"/>
  <c r="K38" i="5"/>
  <c r="K14" i="5"/>
  <c r="B39" i="5"/>
  <c r="B35" i="5"/>
  <c r="B31" i="5"/>
  <c r="B27" i="5"/>
  <c r="B23" i="5"/>
  <c r="B19" i="5"/>
  <c r="B15" i="5"/>
  <c r="B11" i="5"/>
  <c r="B7" i="5"/>
  <c r="B3" i="5"/>
  <c r="E28" i="5"/>
  <c r="K26" i="5" s="1"/>
  <c r="F37" i="5"/>
  <c r="F33" i="5"/>
  <c r="F29" i="5"/>
  <c r="F25" i="5"/>
  <c r="F21" i="5"/>
  <c r="F17" i="5"/>
  <c r="F13" i="5"/>
  <c r="F9" i="5"/>
  <c r="F5" i="5"/>
  <c r="K33" i="5"/>
  <c r="K37" i="5"/>
  <c r="K18" i="5"/>
  <c r="K21" i="5"/>
  <c r="K27" i="5"/>
  <c r="K30" i="5"/>
  <c r="E24" i="5"/>
  <c r="K36" i="5"/>
  <c r="E25" i="5"/>
  <c r="E37" i="5"/>
  <c r="E33" i="5" s="1"/>
  <c r="K39" i="5"/>
  <c r="K35" i="5"/>
  <c r="B38" i="2"/>
  <c r="B34" i="2"/>
  <c r="B30" i="2"/>
  <c r="B26" i="2"/>
  <c r="B22" i="2"/>
  <c r="B18" i="2"/>
  <c r="B14" i="2"/>
  <c r="B10" i="2"/>
  <c r="B6" i="2"/>
  <c r="K35" i="2"/>
  <c r="F36" i="2"/>
  <c r="F32" i="2"/>
  <c r="F28" i="2"/>
  <c r="F24" i="2"/>
  <c r="F20" i="2"/>
  <c r="F16" i="2"/>
  <c r="F12" i="2"/>
  <c r="F8" i="2"/>
  <c r="F4" i="2"/>
  <c r="K13" i="2"/>
  <c r="E19" i="2"/>
  <c r="B33" i="2"/>
  <c r="B29" i="2"/>
  <c r="B25" i="2"/>
  <c r="B21" i="2"/>
  <c r="B17" i="2"/>
  <c r="B13" i="2"/>
  <c r="B9" i="2"/>
  <c r="B3" i="2"/>
  <c r="K40" i="2"/>
  <c r="B36" i="2"/>
  <c r="B32" i="2"/>
  <c r="B28" i="2"/>
  <c r="B24" i="2"/>
  <c r="B20" i="2"/>
  <c r="B16" i="2"/>
  <c r="B12" i="2"/>
  <c r="B8" i="2"/>
  <c r="B4" i="2"/>
  <c r="F37" i="2"/>
  <c r="F33" i="2"/>
  <c r="F29" i="2"/>
  <c r="F25" i="2"/>
  <c r="F21" i="2"/>
  <c r="F17" i="2"/>
  <c r="F13" i="2"/>
  <c r="F9" i="2"/>
  <c r="F5" i="2"/>
  <c r="B2" i="2"/>
  <c r="E24" i="2"/>
  <c r="E36" i="2"/>
  <c r="E31" i="2" s="1"/>
  <c r="K29" i="2" s="1"/>
  <c r="F39" i="2"/>
  <c r="F35" i="2"/>
  <c r="F31" i="2"/>
  <c r="F27" i="2"/>
  <c r="F23" i="2"/>
  <c r="F19" i="2"/>
  <c r="F15" i="2"/>
  <c r="F11" i="2"/>
  <c r="F7" i="2"/>
  <c r="F3" i="2"/>
  <c r="K38" i="2"/>
  <c r="K34" i="2"/>
  <c r="K14" i="2"/>
  <c r="B5" i="2"/>
  <c r="E25" i="2"/>
  <c r="E37" i="2"/>
  <c r="E34" i="2" s="1"/>
  <c r="F38" i="2"/>
  <c r="F34" i="2"/>
  <c r="F30" i="2"/>
  <c r="F26" i="2"/>
  <c r="F22" i="2"/>
  <c r="F18" i="2"/>
  <c r="F14" i="2"/>
  <c r="F10" i="2"/>
  <c r="F6" i="2"/>
  <c r="F2" i="2"/>
  <c r="K33" i="2"/>
  <c r="K37" i="2"/>
  <c r="K18" i="2"/>
  <c r="K21" i="2"/>
  <c r="K27" i="2"/>
  <c r="K30" i="2"/>
  <c r="E20" i="2"/>
  <c r="E21" i="2" s="1"/>
  <c r="K22" i="2" s="1"/>
  <c r="E27" i="2"/>
  <c r="K25" i="2" s="1"/>
  <c r="K36" i="2"/>
  <c r="B39" i="2"/>
  <c r="B35" i="2"/>
  <c r="B31" i="2"/>
  <c r="B27" i="2"/>
  <c r="B23" i="2"/>
  <c r="B19" i="2"/>
  <c r="B15" i="2"/>
  <c r="B11" i="2"/>
  <c r="B7" i="2"/>
  <c r="E13" i="2"/>
  <c r="K39" i="2"/>
  <c r="T41" i="1"/>
  <c r="L42" i="1"/>
  <c r="L45" i="1"/>
  <c r="X41" i="1"/>
  <c r="P42" i="1"/>
  <c r="P45" i="1"/>
  <c r="T42" i="1"/>
  <c r="X42" i="1"/>
  <c r="H33" i="5" l="1"/>
  <c r="E30" i="2"/>
  <c r="K28" i="2" s="1"/>
  <c r="H22" i="5"/>
  <c r="H3" i="5"/>
  <c r="H7" i="5"/>
  <c r="H17" i="5"/>
  <c r="H2" i="5"/>
  <c r="H26" i="2"/>
  <c r="H5" i="5"/>
  <c r="H21" i="5"/>
  <c r="H37" i="5"/>
  <c r="H6" i="5"/>
  <c r="H30" i="5"/>
  <c r="E39" i="5"/>
  <c r="K31" i="5" s="1"/>
  <c r="H9" i="5"/>
  <c r="H25" i="5"/>
  <c r="H10" i="5"/>
  <c r="H38" i="5"/>
  <c r="H13" i="5"/>
  <c r="H29" i="5"/>
  <c r="H18" i="5"/>
  <c r="E22" i="5"/>
  <c r="K23" i="5" s="1"/>
  <c r="H25" i="2"/>
  <c r="H37" i="2"/>
  <c r="H14" i="5"/>
  <c r="H34" i="5"/>
  <c r="H26" i="5"/>
  <c r="H16" i="5"/>
  <c r="H32" i="5"/>
  <c r="H31" i="5"/>
  <c r="H15" i="5"/>
  <c r="E34" i="5"/>
  <c r="E40" i="5"/>
  <c r="K32" i="5" s="1"/>
  <c r="H4" i="5"/>
  <c r="H20" i="5"/>
  <c r="H36" i="5"/>
  <c r="H27" i="5"/>
  <c r="H11" i="5"/>
  <c r="H32" i="2"/>
  <c r="H8" i="5"/>
  <c r="H24" i="5"/>
  <c r="H39" i="5"/>
  <c r="H23" i="5"/>
  <c r="M33" i="5"/>
  <c r="H12" i="5"/>
  <c r="H28" i="5"/>
  <c r="H35" i="5"/>
  <c r="H19" i="5"/>
  <c r="H29" i="2"/>
  <c r="E22" i="2"/>
  <c r="K23" i="2" s="1"/>
  <c r="E33" i="2"/>
  <c r="H38" i="2"/>
  <c r="H4" i="2"/>
  <c r="H20" i="2"/>
  <c r="H36" i="2"/>
  <c r="H17" i="2"/>
  <c r="H33" i="2"/>
  <c r="H2" i="2"/>
  <c r="H18" i="2"/>
  <c r="H34" i="2"/>
  <c r="H8" i="2"/>
  <c r="H24" i="2"/>
  <c r="H5" i="2"/>
  <c r="H21" i="2"/>
  <c r="E39" i="2"/>
  <c r="K31" i="2" s="1"/>
  <c r="H6" i="2"/>
  <c r="H22" i="2"/>
  <c r="H12" i="2"/>
  <c r="H28" i="2"/>
  <c r="M33" i="2"/>
  <c r="E40" i="2"/>
  <c r="K32" i="2" s="1"/>
  <c r="H9" i="2"/>
  <c r="H10" i="2"/>
  <c r="H3" i="2"/>
  <c r="H7" i="2"/>
  <c r="H11" i="2"/>
  <c r="H15" i="2"/>
  <c r="H19" i="2"/>
  <c r="H23" i="2"/>
  <c r="H27" i="2"/>
  <c r="H31" i="2"/>
  <c r="H35" i="2"/>
  <c r="H39" i="2"/>
  <c r="H16" i="2"/>
  <c r="H13" i="2"/>
  <c r="H14" i="2"/>
  <c r="H30" i="2"/>
  <c r="J8" i="5" l="1"/>
  <c r="L35" i="5"/>
  <c r="L39" i="5"/>
  <c r="L36" i="5"/>
  <c r="L40" i="5"/>
  <c r="L33" i="5"/>
  <c r="L37" i="5"/>
  <c r="L34" i="5"/>
  <c r="L38" i="5"/>
  <c r="J6" i="5"/>
  <c r="L35" i="2"/>
  <c r="L39" i="2"/>
  <c r="L36" i="2"/>
  <c r="L40" i="2"/>
  <c r="L33" i="2"/>
  <c r="L37" i="2"/>
  <c r="L34" i="2"/>
  <c r="L38" i="2"/>
  <c r="J6" i="2"/>
  <c r="J8" i="2"/>
  <c r="I30" i="2" l="1"/>
  <c r="I4" i="5"/>
  <c r="I15" i="5"/>
  <c r="I32" i="5"/>
  <c r="I36" i="5"/>
  <c r="I20" i="5"/>
  <c r="I27" i="5"/>
  <c r="I16" i="5"/>
  <c r="I12" i="5"/>
  <c r="I27" i="2"/>
  <c r="I23" i="5"/>
  <c r="I8" i="5"/>
  <c r="I24" i="5"/>
  <c r="I7" i="5"/>
  <c r="I17" i="5"/>
  <c r="I26" i="5"/>
  <c r="I6" i="5"/>
  <c r="I10" i="5"/>
  <c r="I29" i="5"/>
  <c r="I33" i="5"/>
  <c r="I5" i="5"/>
  <c r="I22" i="5"/>
  <c r="I30" i="5"/>
  <c r="I14" i="5"/>
  <c r="I2" i="5"/>
  <c r="I18" i="5"/>
  <c r="I21" i="5"/>
  <c r="I9" i="5"/>
  <c r="I3" i="5"/>
  <c r="I34" i="5"/>
  <c r="I38" i="5"/>
  <c r="I37" i="5"/>
  <c r="I25" i="5"/>
  <c r="I13" i="5"/>
  <c r="I28" i="5"/>
  <c r="I35" i="5"/>
  <c r="I19" i="5"/>
  <c r="I11" i="5"/>
  <c r="I39" i="5"/>
  <c r="I31" i="5"/>
  <c r="I18" i="2"/>
  <c r="I22" i="2"/>
  <c r="I21" i="2"/>
  <c r="I17" i="2"/>
  <c r="I23" i="2"/>
  <c r="I3" i="2"/>
  <c r="I9" i="2"/>
  <c r="I8" i="2"/>
  <c r="I14" i="2"/>
  <c r="I5" i="2"/>
  <c r="I39" i="2"/>
  <c r="I34" i="2"/>
  <c r="I11" i="2"/>
  <c r="I13" i="2"/>
  <c r="I28" i="2"/>
  <c r="I38" i="2"/>
  <c r="I29" i="2"/>
  <c r="I25" i="2"/>
  <c r="I26" i="2"/>
  <c r="I32" i="2"/>
  <c r="I37" i="2"/>
  <c r="I4" i="2"/>
  <c r="I31" i="2"/>
  <c r="I19" i="2"/>
  <c r="I36" i="2"/>
  <c r="I7" i="2"/>
  <c r="I10" i="2"/>
  <c r="I12" i="2"/>
  <c r="I16" i="2"/>
  <c r="I33" i="2"/>
  <c r="I20" i="2"/>
  <c r="I24" i="2"/>
  <c r="I35" i="2"/>
  <c r="I15" i="2"/>
  <c r="I2" i="2"/>
  <c r="I6" i="2"/>
  <c r="E2" i="5" l="1"/>
  <c r="E2" i="2"/>
  <c r="E1" i="5" l="1"/>
  <c r="K2" i="5"/>
  <c r="E1" i="2"/>
  <c r="K2" i="2"/>
  <c r="K4" i="5" l="1"/>
  <c r="E3" i="5" s="1"/>
  <c r="K3" i="5"/>
  <c r="K6" i="5"/>
  <c r="K5" i="5"/>
  <c r="K3" i="2"/>
  <c r="E3" i="2" s="1"/>
  <c r="K6" i="2"/>
  <c r="K5" i="2"/>
  <c r="K4" i="2"/>
</calcChain>
</file>

<file path=xl/sharedStrings.xml><?xml version="1.0" encoding="utf-8"?>
<sst xmlns="http://schemas.openxmlformats.org/spreadsheetml/2006/main" count="413" uniqueCount="109">
  <si>
    <t xml:space="preserve">Participant </t>
  </si>
  <si>
    <t>Weight KG</t>
  </si>
  <si>
    <t>Height CM</t>
  </si>
  <si>
    <t>Foot Arch Index</t>
  </si>
  <si>
    <t>Foot Postue Index</t>
  </si>
  <si>
    <t xml:space="preserve">foot type </t>
  </si>
  <si>
    <t>gender</t>
  </si>
  <si>
    <t>Sg Squat T1</t>
  </si>
  <si>
    <t>Sg Squat T2</t>
  </si>
  <si>
    <t>Sg Squat T3</t>
  </si>
  <si>
    <t>Single leg squat</t>
  </si>
  <si>
    <t>Bilateeral landing T1</t>
  </si>
  <si>
    <t>Bilateeral landing T2</t>
  </si>
  <si>
    <t>Bilateeral landing T3</t>
  </si>
  <si>
    <t>Bilateral landing</t>
  </si>
  <si>
    <t>Unilat Land T1</t>
  </si>
  <si>
    <t>Unilat Land T2</t>
  </si>
  <si>
    <t>Unilat Land T3</t>
  </si>
  <si>
    <t>Unilateral landing</t>
  </si>
  <si>
    <t>Running 1</t>
  </si>
  <si>
    <t>Running 2</t>
  </si>
  <si>
    <t>Running 3</t>
  </si>
  <si>
    <t>Running</t>
  </si>
  <si>
    <t>LARISA</t>
  </si>
  <si>
    <t>FLAT</t>
  </si>
  <si>
    <t>F</t>
  </si>
  <si>
    <t>KHALED</t>
  </si>
  <si>
    <t>M</t>
  </si>
  <si>
    <t>NWMBE</t>
  </si>
  <si>
    <t>ISMAEL</t>
  </si>
  <si>
    <t>LAMAR</t>
  </si>
  <si>
    <t>GEORGIANA N</t>
  </si>
  <si>
    <t>NIGEL C</t>
  </si>
  <si>
    <t>CRINA C</t>
  </si>
  <si>
    <t>CAROLINE K</t>
  </si>
  <si>
    <t>JULIAN B</t>
  </si>
  <si>
    <t>ROB R</t>
  </si>
  <si>
    <t>ALEXNDRA A</t>
  </si>
  <si>
    <t>IONELA P</t>
  </si>
  <si>
    <t>CRISTAL M</t>
  </si>
  <si>
    <t>EDGARAS L</t>
  </si>
  <si>
    <t>ANDREEA B</t>
  </si>
  <si>
    <t>ANNU SIR</t>
  </si>
  <si>
    <t>ALEXANDER K</t>
  </si>
  <si>
    <t>TARIK Z</t>
  </si>
  <si>
    <t xml:space="preserve">AMA </t>
  </si>
  <si>
    <t>NORMAL</t>
  </si>
  <si>
    <t>NATHAN G</t>
  </si>
  <si>
    <t>CAMOS G</t>
  </si>
  <si>
    <t>ALBERTO S</t>
  </si>
  <si>
    <t>VANESSA S</t>
  </si>
  <si>
    <t>KIRILL O</t>
  </si>
  <si>
    <t>ADRIAN A</t>
  </si>
  <si>
    <t>ANDEREW L</t>
  </si>
  <si>
    <t>ANA M</t>
  </si>
  <si>
    <t>ISABELA C</t>
  </si>
  <si>
    <t>MELINA  K</t>
  </si>
  <si>
    <t>ASHLEY W</t>
  </si>
  <si>
    <t>INNA S</t>
  </si>
  <si>
    <t>JORDAN</t>
  </si>
  <si>
    <t>ALINA A</t>
  </si>
  <si>
    <t>RUBEN S</t>
  </si>
  <si>
    <t>LUCIANA</t>
  </si>
  <si>
    <t xml:space="preserve">NORMAL </t>
  </si>
  <si>
    <t>KRISTEN E</t>
  </si>
  <si>
    <t>IRINA</t>
  </si>
  <si>
    <t>Flat</t>
  </si>
  <si>
    <t>Normal</t>
  </si>
  <si>
    <t>Data1</t>
  </si>
  <si>
    <t xml:space="preserve">lambda </t>
  </si>
  <si>
    <t>Rank</t>
  </si>
  <si>
    <t>Anderson-Darling</t>
  </si>
  <si>
    <t>A-Squared</t>
  </si>
  <si>
    <t>95% Critical Value</t>
  </si>
  <si>
    <t>99% Critical Value</t>
  </si>
  <si>
    <t>Mean</t>
  </si>
  <si>
    <t>Mode</t>
  </si>
  <si>
    <t>Standard Deviation</t>
  </si>
  <si>
    <t>Variance</t>
  </si>
  <si>
    <t>Skewedness</t>
  </si>
  <si>
    <t>Kurtosis</t>
  </si>
  <si>
    <t>n</t>
  </si>
  <si>
    <t>Std Err</t>
  </si>
  <si>
    <t>Minimum</t>
  </si>
  <si>
    <t>1st Quartile</t>
  </si>
  <si>
    <t>Median</t>
  </si>
  <si>
    <t>3rd Quartile</t>
  </si>
  <si>
    <t>Maximum</t>
  </si>
  <si>
    <t>Range</t>
  </si>
  <si>
    <t>Confidence Interval</t>
  </si>
  <si>
    <t>for Mean (Mu)</t>
  </si>
  <si>
    <t>For Stdev (sigma)</t>
  </si>
  <si>
    <t>for Median</t>
  </si>
  <si>
    <t>k Two-sided</t>
  </si>
  <si>
    <t>k One-sided</t>
  </si>
  <si>
    <t>k-Factor One-sided</t>
  </si>
  <si>
    <t>Nonparametric</t>
  </si>
  <si>
    <t>p</t>
  </si>
  <si>
    <t>Goodness of Fit Tests</t>
  </si>
  <si>
    <t>-4.833, -2.667, -8.4</t>
  </si>
  <si>
    <t>Non-Normal at 0.01</t>
  </si>
  <si>
    <t>Pair x (x_(n-i+1) - x_i)</t>
  </si>
  <si>
    <t>a_i * (x_(n-i+1) - x_i)</t>
  </si>
  <si>
    <t>x_i - mean)^2</t>
  </si>
  <si>
    <t>SS</t>
  </si>
  <si>
    <t xml:space="preserve">Constants </t>
  </si>
  <si>
    <t>Point</t>
  </si>
  <si>
    <t>Column1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</si>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</sst>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name val="Calibri"/>
      <scheme val="minor"/>
    </font>
    <font>
      <b/>
      <sz val="12"/>
      <name val="Calibri"/>
    </font>
    <font>
      <b/>
      <sz val="11"/>
      <name val="Calibri"/>
    </font>
    <font>
      <sz val="12"/>
      <color rgb="FF000000"/>
      <name val="Calibri"/>
    </font>
    <font>
      <b/>
      <sz val="14"/>
      <name val="Calibri"/>
    </font>
    <font>
      <sz val="11"/>
      <name val="Calibri"/>
    </font>
    <font>
      <sz val="14"/>
      <name val="Calibri"/>
    </font>
    <font>
      <i/>
      <sz val="11"/>
      <name val="Calibri"/>
      <family val="2"/>
      <scheme val="minor"/>
    </font>
    <font>
      <sz val="24"/>
      <name val="Calibri"/>
      <family val="2"/>
      <scheme val="minor"/>
    </font>
    <font>
      <i/>
      <sz val="24"/>
      <name val="Calibri"/>
      <family val="2"/>
      <scheme val="minor"/>
    </font>
    <font>
      <b/>
      <sz val="14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name val="Calibri"/>
      <family val="2"/>
    </font>
    <font>
      <b/>
      <sz val="14"/>
      <name val="Calibri"/>
      <family val="2"/>
    </font>
    <font>
      <b/>
      <sz val="28"/>
      <name val="Calibri"/>
      <family val="2"/>
    </font>
    <font>
      <sz val="28"/>
      <name val="Calibri"/>
      <family val="2"/>
      <scheme val="minor"/>
    </font>
    <font>
      <i/>
      <sz val="28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2" fontId="0" fillId="0" borderId="0" xfId="0" applyNumberFormat="1" applyFont="1" applyAlignment="1"/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0" fontId="8" fillId="0" borderId="0" xfId="0" applyFont="1" applyAlignment="1"/>
    <xf numFmtId="164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/>
    <xf numFmtId="164" fontId="8" fillId="0" borderId="0" xfId="0" applyNumberFormat="1" applyFont="1" applyAlignment="1"/>
    <xf numFmtId="2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10" fillId="0" borderId="0" xfId="0" applyNumberFormat="1" applyFont="1"/>
    <xf numFmtId="2" fontId="11" fillId="0" borderId="0" xfId="0" applyNumberFormat="1" applyFont="1" applyAlignment="1"/>
    <xf numFmtId="2" fontId="12" fillId="0" borderId="0" xfId="0" applyNumberFormat="1" applyFont="1" applyAlignment="1"/>
    <xf numFmtId="2" fontId="13" fillId="0" borderId="0" xfId="0" applyNumberFormat="1" applyFont="1"/>
    <xf numFmtId="2" fontId="14" fillId="0" borderId="0" xfId="0" applyNumberFormat="1" applyFont="1" applyAlignment="1"/>
    <xf numFmtId="0" fontId="15" fillId="0" borderId="0" xfId="0" applyFont="1" applyAlignment="1"/>
    <xf numFmtId="164" fontId="15" fillId="0" borderId="0" xfId="0" applyNumberFormat="1" applyFont="1" applyAlignment="1">
      <alignment horizontal="center" wrapText="1"/>
    </xf>
    <xf numFmtId="2" fontId="15" fillId="0" borderId="0" xfId="0" applyNumberFormat="1" applyFont="1" applyAlignment="1"/>
    <xf numFmtId="164" fontId="15" fillId="0" borderId="0" xfId="0" applyNumberFormat="1" applyFont="1" applyAlignment="1"/>
    <xf numFmtId="0" fontId="16" fillId="0" borderId="0" xfId="0" applyFont="1" applyAlignment="1">
      <alignment horizontal="right"/>
    </xf>
    <xf numFmtId="2" fontId="14" fillId="0" borderId="1" xfId="0" applyNumberFormat="1" applyFont="1" applyBorder="1" applyAlignment="1"/>
    <xf numFmtId="164" fontId="15" fillId="0" borderId="0" xfId="0" applyNumberFormat="1" applyFont="1" applyAlignment="1">
      <alignment horizontal="right"/>
    </xf>
    <xf numFmtId="2" fontId="13" fillId="0" borderId="0" xfId="0" applyNumberFormat="1" applyFont="1" applyAlignment="1"/>
    <xf numFmtId="2" fontId="4" fillId="0" borderId="0" xfId="0" applyNumberFormat="1" applyFont="1" applyAlignment="1"/>
    <xf numFmtId="2" fontId="4" fillId="0" borderId="1" xfId="0" applyNumberFormat="1" applyFont="1" applyBorder="1" applyAlignment="1"/>
    <xf numFmtId="164" fontId="0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center" wrapText="1"/>
    </xf>
    <xf numFmtId="0" fontId="17" fillId="0" borderId="0" xfId="0" applyFont="1" applyAlignment="1"/>
    <xf numFmtId="164" fontId="17" fillId="0" borderId="0" xfId="0" applyNumberFormat="1" applyFont="1" applyAlignment="1"/>
    <xf numFmtId="164" fontId="18" fillId="0" borderId="0" xfId="0" applyNumberFormat="1" applyFont="1" applyAlignment="1">
      <alignment horizontal="right"/>
    </xf>
    <xf numFmtId="2" fontId="4" fillId="0" borderId="0" xfId="0" applyNumberFormat="1" applyFont="1" applyBorder="1"/>
    <xf numFmtId="0" fontId="20" fillId="0" borderId="0" xfId="0" applyFont="1" applyAlignment="1"/>
    <xf numFmtId="0" fontId="19" fillId="0" borderId="0" xfId="0" applyFont="1" applyAlignment="1">
      <alignment vertical="center" wrapText="1"/>
    </xf>
    <xf numFmtId="0" fontId="21" fillId="0" borderId="0" xfId="0" applyFont="1" applyAlignment="1"/>
    <xf numFmtId="0" fontId="20" fillId="0" borderId="0" xfId="0" applyFont="1" applyAlignment="1">
      <alignment horizontal="center" vertical="center" wrapText="1"/>
    </xf>
    <xf numFmtId="0" fontId="6" fillId="0" borderId="0" xfId="0" applyFont="1" applyAlignment="1"/>
    <xf numFmtId="2" fontId="6" fillId="0" borderId="0" xfId="0" applyNumberFormat="1" applyFont="1" applyAlignment="1"/>
    <xf numFmtId="0" fontId="0" fillId="0" borderId="1" xfId="0" applyFill="1" applyBorder="1" applyAlignment="1"/>
    <xf numFmtId="2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0" fillId="0" borderId="2" xfId="0" applyFill="1" applyBorder="1" applyAlignment="1"/>
    <xf numFmtId="2" fontId="0" fillId="0" borderId="2" xfId="0" applyNumberFormat="1" applyFill="1" applyBorder="1" applyAlignment="1"/>
    <xf numFmtId="10" fontId="0" fillId="0" borderId="2" xfId="0" applyNumberFormat="1" applyFill="1" applyBorder="1" applyAlignment="1"/>
    <xf numFmtId="0" fontId="7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08002148164874"/>
          <c:y val="0.14424511083008282"/>
          <c:w val="0.81912085143458646"/>
          <c:h val="0.82069501122815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'DESCR DescStat'!$J$33:$J$40</c:f>
              <c:numCache>
                <c:formatCode>General</c:formatCode>
                <c:ptCount val="8"/>
                <c:pt idx="0">
                  <c:v>-20</c:v>
                </c:pt>
                <c:pt idx="1">
                  <c:v>-15.7</c:v>
                </c:pt>
                <c:pt idx="2">
                  <c:v>-11.399999999999999</c:v>
                </c:pt>
                <c:pt idx="3">
                  <c:v>-7.0999999999999988</c:v>
                </c:pt>
                <c:pt idx="4">
                  <c:v>-2.7999999999999989</c:v>
                </c:pt>
                <c:pt idx="5">
                  <c:v>1.5000000000000009</c:v>
                </c:pt>
                <c:pt idx="6">
                  <c:v>5.8000000000000007</c:v>
                </c:pt>
                <c:pt idx="7">
                  <c:v>10.100000000000001</c:v>
                </c:pt>
              </c:numCache>
            </c:numRef>
          </c:cat>
          <c:val>
            <c:numRef>
              <c:f>'DESCR DescStat'!$K$33:$K$40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9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4-470C-9AA6-1E737008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5387864"/>
        <c:axId val="30538556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'DESCR DescStat'!$J$33:$J$40</c:f>
              <c:numCache>
                <c:formatCode>General</c:formatCode>
                <c:ptCount val="8"/>
                <c:pt idx="0">
                  <c:v>-20</c:v>
                </c:pt>
                <c:pt idx="1">
                  <c:v>-15.7</c:v>
                </c:pt>
                <c:pt idx="2">
                  <c:v>-11.399999999999999</c:v>
                </c:pt>
                <c:pt idx="3">
                  <c:v>-7.0999999999999988</c:v>
                </c:pt>
                <c:pt idx="4">
                  <c:v>-2.7999999999999989</c:v>
                </c:pt>
                <c:pt idx="5">
                  <c:v>1.5000000000000009</c:v>
                </c:pt>
                <c:pt idx="6">
                  <c:v>5.8000000000000007</c:v>
                </c:pt>
                <c:pt idx="7">
                  <c:v>10.100000000000001</c:v>
                </c:pt>
              </c:numCache>
            </c:numRef>
          </c:cat>
          <c:val>
            <c:numRef>
              <c:f>'DESCR DescStat'!$L$33:$L$40</c:f>
              <c:numCache>
                <c:formatCode>General</c:formatCode>
                <c:ptCount val="8"/>
                <c:pt idx="0">
                  <c:v>0.83055226682750749</c:v>
                </c:pt>
                <c:pt idx="1">
                  <c:v>3.1705092376708301</c:v>
                </c:pt>
                <c:pt idx="2">
                  <c:v>7.9343231750223397</c:v>
                </c:pt>
                <c:pt idx="3">
                  <c:v>13.01695959502303</c:v>
                </c:pt>
                <c:pt idx="4">
                  <c:v>14</c:v>
                </c:pt>
                <c:pt idx="5">
                  <c:v>9.8710947937081279</c:v>
                </c:pt>
                <c:pt idx="6">
                  <c:v>4.5626947756230738</c:v>
                </c:pt>
                <c:pt idx="7">
                  <c:v>1.3825992600240249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24-470C-9AA6-1E737008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46624"/>
        <c:axId val="555545968"/>
      </c:lineChart>
      <c:catAx>
        <c:axId val="30538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05385568"/>
        <c:crosses val="autoZero"/>
        <c:auto val="0"/>
        <c:lblAlgn val="ctr"/>
        <c:lblOffset val="100"/>
        <c:noMultiLvlLbl val="0"/>
      </c:catAx>
      <c:valAx>
        <c:axId val="3053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387864"/>
        <c:crosses val="autoZero"/>
        <c:crossBetween val="between"/>
      </c:valAx>
      <c:valAx>
        <c:axId val="55554596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555546624"/>
        <c:crosses val="max"/>
        <c:crossBetween val="between"/>
      </c:valAx>
      <c:catAx>
        <c:axId val="5555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545968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'DESCR DescStata'!$H$1:$H$38</c:f>
              <c:numCache>
                <c:formatCode>General</c:formatCode>
                <c:ptCount val="38"/>
                <c:pt idx="1">
                  <c:v>-11.533333333333333</c:v>
                </c:pt>
                <c:pt idx="2">
                  <c:v>-5.5333333333333341</c:v>
                </c:pt>
                <c:pt idx="3">
                  <c:v>-4.9666666666666659</c:v>
                </c:pt>
                <c:pt idx="4">
                  <c:v>-4.7</c:v>
                </c:pt>
                <c:pt idx="5">
                  <c:v>-4.6333333333333329</c:v>
                </c:pt>
                <c:pt idx="6">
                  <c:v>-4.4666666666666677</c:v>
                </c:pt>
                <c:pt idx="7">
                  <c:v>-4.3</c:v>
                </c:pt>
                <c:pt idx="8">
                  <c:v>-4.0333333333333332</c:v>
                </c:pt>
                <c:pt idx="9">
                  <c:v>-2.4666666666666668</c:v>
                </c:pt>
                <c:pt idx="10">
                  <c:v>-2.1333333333333333</c:v>
                </c:pt>
                <c:pt idx="11">
                  <c:v>1.8333333333333333</c:v>
                </c:pt>
                <c:pt idx="12">
                  <c:v>2.2333333333333334</c:v>
                </c:pt>
                <c:pt idx="13">
                  <c:v>2.5333333333333332</c:v>
                </c:pt>
                <c:pt idx="14">
                  <c:v>2.7666666666666671</c:v>
                </c:pt>
                <c:pt idx="15">
                  <c:v>3.8333333333333335</c:v>
                </c:pt>
                <c:pt idx="16">
                  <c:v>4.333333333333333</c:v>
                </c:pt>
                <c:pt idx="17">
                  <c:v>4.9666666666666659</c:v>
                </c:pt>
                <c:pt idx="18">
                  <c:v>5.666666666666667</c:v>
                </c:pt>
                <c:pt idx="19">
                  <c:v>7.0999999999999988</c:v>
                </c:pt>
                <c:pt idx="20">
                  <c:v>7.2</c:v>
                </c:pt>
                <c:pt idx="21">
                  <c:v>8.2666666666666675</c:v>
                </c:pt>
                <c:pt idx="22">
                  <c:v>8.4</c:v>
                </c:pt>
                <c:pt idx="23">
                  <c:v>8.5666666666666682</c:v>
                </c:pt>
                <c:pt idx="24">
                  <c:v>9.6</c:v>
                </c:pt>
                <c:pt idx="25">
                  <c:v>12</c:v>
                </c:pt>
                <c:pt idx="26">
                  <c:v>12</c:v>
                </c:pt>
                <c:pt idx="27">
                  <c:v>12.299999999999999</c:v>
                </c:pt>
                <c:pt idx="28">
                  <c:v>13</c:v>
                </c:pt>
                <c:pt idx="29">
                  <c:v>13.166666666666666</c:v>
                </c:pt>
                <c:pt idx="30">
                  <c:v>13.366666666666665</c:v>
                </c:pt>
                <c:pt idx="31">
                  <c:v>13.633333333333333</c:v>
                </c:pt>
                <c:pt idx="32">
                  <c:v>13.700000000000001</c:v>
                </c:pt>
                <c:pt idx="33">
                  <c:v>15.933333333333335</c:v>
                </c:pt>
                <c:pt idx="34">
                  <c:v>18.366666666666667</c:v>
                </c:pt>
                <c:pt idx="35">
                  <c:v>18.433333333333334</c:v>
                </c:pt>
                <c:pt idx="36">
                  <c:v>18.666666666666668</c:v>
                </c:pt>
                <c:pt idx="37">
                  <c:v>19.600000000000001</c:v>
                </c:pt>
              </c:numCache>
            </c:numRef>
          </c:xVal>
          <c:yVal>
            <c:numRef>
              <c:f>'DESCR DescStata'!$F$1:$F$38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6-4951-9C8C-8FD62888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56136"/>
        <c:axId val="649856464"/>
      </c:scatterChart>
      <c:valAx>
        <c:axId val="649856136"/>
        <c:scaling>
          <c:orientation val="minMax"/>
          <c:min val="-15.7"/>
        </c:scaling>
        <c:delete val="0"/>
        <c:axPos val="b"/>
        <c:numFmt formatCode="General" sourceLinked="1"/>
        <c:majorTickMark val="out"/>
        <c:minorTickMark val="none"/>
        <c:tickLblPos val="nextTo"/>
        <c:crossAx val="649856464"/>
        <c:crossesAt val="-3"/>
        <c:crossBetween val="midCat"/>
      </c:valAx>
      <c:valAx>
        <c:axId val="649856464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56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39066228940503E-2"/>
          <c:y val="0.10174094984881317"/>
          <c:w val="0.90115398112244638"/>
          <c:h val="0.824568296541605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'Single leg squat-Running Dat'!$J$33:$J$40</c:f>
              <c:numCache>
                <c:formatCode>General</c:formatCode>
                <c:ptCount val="8"/>
                <c:pt idx="0">
                  <c:v>-20</c:v>
                </c:pt>
                <c:pt idx="1">
                  <c:v>-15.7</c:v>
                </c:pt>
                <c:pt idx="2">
                  <c:v>-11.399999999999999</c:v>
                </c:pt>
                <c:pt idx="3">
                  <c:v>-7.0999999999999988</c:v>
                </c:pt>
                <c:pt idx="4">
                  <c:v>-2.7999999999999989</c:v>
                </c:pt>
                <c:pt idx="5">
                  <c:v>1.5000000000000009</c:v>
                </c:pt>
                <c:pt idx="6">
                  <c:v>5.8000000000000007</c:v>
                </c:pt>
                <c:pt idx="7">
                  <c:v>10.100000000000001</c:v>
                </c:pt>
              </c:numCache>
            </c:numRef>
          </c:cat>
          <c:val>
            <c:numRef>
              <c:f>'Single leg squat-Running Dat'!$K$33:$K$40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9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D-401D-AF43-80E0E8E8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0446920"/>
        <c:axId val="66044134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'Single leg squat-Running Dat'!$J$33:$J$40</c:f>
              <c:numCache>
                <c:formatCode>General</c:formatCode>
                <c:ptCount val="8"/>
                <c:pt idx="0">
                  <c:v>-20</c:v>
                </c:pt>
                <c:pt idx="1">
                  <c:v>-15.7</c:v>
                </c:pt>
                <c:pt idx="2">
                  <c:v>-11.399999999999999</c:v>
                </c:pt>
                <c:pt idx="3">
                  <c:v>-7.0999999999999988</c:v>
                </c:pt>
                <c:pt idx="4">
                  <c:v>-2.7999999999999989</c:v>
                </c:pt>
                <c:pt idx="5">
                  <c:v>1.5000000000000009</c:v>
                </c:pt>
                <c:pt idx="6">
                  <c:v>5.8000000000000007</c:v>
                </c:pt>
                <c:pt idx="7">
                  <c:v>10.100000000000001</c:v>
                </c:pt>
              </c:numCache>
            </c:numRef>
          </c:cat>
          <c:val>
            <c:numRef>
              <c:f>'Single leg squat-Running Dat'!$L$33:$L$40</c:f>
              <c:numCache>
                <c:formatCode>General</c:formatCode>
                <c:ptCount val="8"/>
                <c:pt idx="0">
                  <c:v>0.83055226682750749</c:v>
                </c:pt>
                <c:pt idx="1">
                  <c:v>3.1705092376708301</c:v>
                </c:pt>
                <c:pt idx="2">
                  <c:v>7.9343231750223397</c:v>
                </c:pt>
                <c:pt idx="3">
                  <c:v>13.01695959502303</c:v>
                </c:pt>
                <c:pt idx="4">
                  <c:v>14</c:v>
                </c:pt>
                <c:pt idx="5">
                  <c:v>9.8710947937081279</c:v>
                </c:pt>
                <c:pt idx="6">
                  <c:v>4.5626947756230738</c:v>
                </c:pt>
                <c:pt idx="7">
                  <c:v>1.3825992600240249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7D-401D-AF43-80E0E8E8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1504"/>
        <c:axId val="660435440"/>
      </c:lineChart>
      <c:catAx>
        <c:axId val="66044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60441344"/>
        <c:crosses val="autoZero"/>
        <c:auto val="0"/>
        <c:lblAlgn val="ctr"/>
        <c:lblOffset val="100"/>
        <c:noMultiLvlLbl val="0"/>
      </c:catAx>
      <c:valAx>
        <c:axId val="66044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446920"/>
        <c:crosses val="autoZero"/>
        <c:crossBetween val="between"/>
      </c:valAx>
      <c:valAx>
        <c:axId val="66043544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60431504"/>
        <c:crosses val="max"/>
        <c:crossBetween val="between"/>
      </c:valAx>
      <c:catAx>
        <c:axId val="66043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43544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66-4D96-A859-3A1A9288733D}"/>
              </c:ext>
            </c:extLst>
          </c:dPt>
          <c:errBars>
            <c:errBarType val="both"/>
            <c:errValType val="cust"/>
            <c:noEndCap val="1"/>
            <c:plus>
              <c:numRef>
                <c:f>'Single leg squat-Running Dat'!$K$10:$K$10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'Single leg squat-Running Dat'!$K$14:$K$14</c:f>
                <c:numCache>
                  <c:formatCode>General</c:formatCode>
                  <c:ptCount val="1"/>
                  <c:pt idx="0">
                    <c:v>7.4700000000000006</c:v>
                  </c:pt>
                </c:numCache>
              </c:numRef>
            </c:minus>
          </c:errBars>
          <c:val>
            <c:numRef>
              <c:f>'Single leg squat-Running Dat'!$K$15</c:f>
              <c:numCache>
                <c:formatCode>General</c:formatCode>
                <c:ptCount val="1"/>
                <c:pt idx="0">
                  <c:v>-10.503333333333334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D96-A859-3A1A9288733D}"/>
            </c:ext>
          </c:extLst>
        </c:ser>
        <c:ser>
          <c:idx val="1"/>
          <c:order val="1"/>
          <c:invertIfNegative val="0"/>
          <c:val>
            <c:numRef>
              <c:f>'Single leg squat-Running Dat'!$K$16</c:f>
              <c:numCache>
                <c:formatCode>General</c:formatCode>
                <c:ptCount val="1"/>
                <c:pt idx="0">
                  <c:v>3.3866666666666676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D96-A859-3A1A9288733D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'Single leg squat-Running Dat'!$K$18:$K$18</c:f>
                <c:numCache>
                  <c:formatCode>General</c:formatCode>
                  <c:ptCount val="1"/>
                  <c:pt idx="0">
                    <c:v>7.4700000000000006</c:v>
                  </c:pt>
                </c:numCache>
              </c:numRef>
            </c:plus>
          </c:errBars>
          <c:val>
            <c:numRef>
              <c:f>'Single leg squat-Running Dat'!$K$17</c:f>
              <c:numCache>
                <c:formatCode>General</c:formatCode>
                <c:ptCount val="1"/>
                <c:pt idx="0">
                  <c:v>4.0833333333333321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D96-A859-3A1A9288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430848"/>
        <c:axId val="660428224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'Single leg squat-Running Dat'!$K$13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'Single leg squat-Running Dat'!$L$13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6-4D96-A859-3A1A9288733D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'Single leg squat-Running Dat'!$K$19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'Single leg squat-Running Dat'!$L$19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6-4D96-A859-3A1A9288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20336"/>
        <c:axId val="653219680"/>
      </c:scatterChart>
      <c:catAx>
        <c:axId val="66043084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660428224"/>
        <c:crossesAt val="0"/>
        <c:auto val="1"/>
        <c:lblAlgn val="ctr"/>
        <c:lblOffset val="100"/>
        <c:noMultiLvlLbl val="0"/>
      </c:catAx>
      <c:valAx>
        <c:axId val="6604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60430848"/>
        <c:crosses val="autoZero"/>
        <c:crossBetween val="between"/>
      </c:valAx>
      <c:valAx>
        <c:axId val="653219680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53220336"/>
        <c:crosses val="max"/>
        <c:crossBetween val="midCat"/>
        <c:majorUnit val="1"/>
      </c:valAx>
      <c:valAx>
        <c:axId val="65322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219680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leg squat-Running Dat'!$J$21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'Single leg squat-Running Dat'!$K$21:$K$23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-8.5336608537972687</c:v>
                </c:pt>
                <c:pt idx="2">
                  <c:v>-4.1835321286588716</c:v>
                </c:pt>
              </c:numCache>
            </c:numRef>
          </c:xVal>
          <c:yVal>
            <c:numRef>
              <c:f>'Single leg squat-Running Dat'!$L$21:$L$23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E-40C6-8400-6CED747CBE14}"/>
            </c:ext>
          </c:extLst>
        </c:ser>
        <c:ser>
          <c:idx val="1"/>
          <c:order val="1"/>
          <c:tx>
            <c:strRef>
              <c:f>'Single leg squat-Running Dat'!$J$24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'Single leg squat-Running Dat'!$K$24:$K$26</c:f>
              <c:numCache>
                <c:formatCode>0.000</c:formatCode>
                <c:ptCount val="3"/>
                <c:pt idx="0">
                  <c:v>-7.1166666666666663</c:v>
                </c:pt>
                <c:pt idx="1">
                  <c:v>-9.6</c:v>
                </c:pt>
                <c:pt idx="2">
                  <c:v>-6.9666666666666659</c:v>
                </c:pt>
              </c:numCache>
            </c:numRef>
          </c:xVal>
          <c:yVal>
            <c:numRef>
              <c:f>'Single leg squat-Running Dat'!$L$24:$L$26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E-40C6-8400-6CED747C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24424"/>
        <c:axId val="652124752"/>
      </c:scatterChart>
      <c:valAx>
        <c:axId val="652124424"/>
        <c:scaling>
          <c:orientation val="minMax"/>
          <c:min val="-10.5"/>
        </c:scaling>
        <c:delete val="0"/>
        <c:axPos val="b"/>
        <c:numFmt formatCode="0.000" sourceLinked="1"/>
        <c:majorTickMark val="out"/>
        <c:minorTickMark val="none"/>
        <c:tickLblPos val="nextTo"/>
        <c:crossAx val="652124752"/>
        <c:crosses val="autoZero"/>
        <c:crossBetween val="midCat"/>
      </c:valAx>
      <c:valAx>
        <c:axId val="65212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5212442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leg squat-Running Dat'!$J$27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'Single leg squat-Running Dat'!$K$27:$K$29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-22.647432237562178</c:v>
                </c:pt>
                <c:pt idx="2">
                  <c:v>9.9302392551060379</c:v>
                </c:pt>
              </c:numCache>
            </c:numRef>
          </c:xVal>
          <c:yVal>
            <c:numRef>
              <c:f>'Single leg squat-Running Dat'!$L$27:$L$29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32-4669-A1ED-ED5B1807B25E}"/>
            </c:ext>
          </c:extLst>
        </c:ser>
        <c:ser>
          <c:idx val="1"/>
          <c:order val="1"/>
          <c:tx>
            <c:strRef>
              <c:f>'Single leg squat-Running Dat'!$J$30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'Single leg squat-Running Dat'!$K$30:$K$32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-19.866666666666667</c:v>
                </c:pt>
                <c:pt idx="2">
                  <c:v>-7.2666666666666666</c:v>
                </c:pt>
              </c:numCache>
            </c:numRef>
          </c:xVal>
          <c:yVal>
            <c:numRef>
              <c:f>'Single leg squat-Running Dat'!$L$30:$L$32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32-4669-A1ED-ED5B1807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3184"/>
        <c:axId val="659855808"/>
      </c:scatterChart>
      <c:valAx>
        <c:axId val="659853184"/>
        <c:scaling>
          <c:orientation val="minMax"/>
          <c:min val="-28.1"/>
        </c:scaling>
        <c:delete val="0"/>
        <c:axPos val="b"/>
        <c:numFmt formatCode="0.000" sourceLinked="1"/>
        <c:majorTickMark val="out"/>
        <c:minorTickMark val="none"/>
        <c:tickLblPos val="nextTo"/>
        <c:crossAx val="659855808"/>
        <c:crosses val="autoZero"/>
        <c:crossBetween val="midCat"/>
      </c:valAx>
      <c:valAx>
        <c:axId val="65985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5985318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'Single leg squat-Running Dat'!$H$1:$H$38</c:f>
              <c:numCache>
                <c:formatCode>General</c:formatCode>
                <c:ptCount val="38"/>
                <c:pt idx="1">
                  <c:v>-19.866666666666667</c:v>
                </c:pt>
                <c:pt idx="2">
                  <c:v>-18.700000000000003</c:v>
                </c:pt>
                <c:pt idx="3">
                  <c:v>-17.666666666666668</c:v>
                </c:pt>
                <c:pt idx="4">
                  <c:v>-14.6</c:v>
                </c:pt>
                <c:pt idx="5">
                  <c:v>-12.233333333333334</c:v>
                </c:pt>
                <c:pt idx="6">
                  <c:v>-11.266666666666666</c:v>
                </c:pt>
                <c:pt idx="7">
                  <c:v>-11.166666666666666</c:v>
                </c:pt>
                <c:pt idx="8">
                  <c:v>-10.9</c:v>
                </c:pt>
                <c:pt idx="9">
                  <c:v>-10.766666666666666</c:v>
                </c:pt>
                <c:pt idx="10">
                  <c:v>-10.726666666666667</c:v>
                </c:pt>
                <c:pt idx="11">
                  <c:v>-9.8333333333333339</c:v>
                </c:pt>
                <c:pt idx="12">
                  <c:v>-9.6</c:v>
                </c:pt>
                <c:pt idx="13">
                  <c:v>-9.5666666666666664</c:v>
                </c:pt>
                <c:pt idx="14">
                  <c:v>-8.5666666666666647</c:v>
                </c:pt>
                <c:pt idx="15">
                  <c:v>-8.5333333333333332</c:v>
                </c:pt>
                <c:pt idx="16">
                  <c:v>-8.4999999999999982</c:v>
                </c:pt>
                <c:pt idx="17">
                  <c:v>-8.1666666666666661</c:v>
                </c:pt>
                <c:pt idx="18">
                  <c:v>-7.3666666666666671</c:v>
                </c:pt>
                <c:pt idx="19">
                  <c:v>-7.2666666666666666</c:v>
                </c:pt>
                <c:pt idx="20">
                  <c:v>-6.9666666666666659</c:v>
                </c:pt>
                <c:pt idx="21">
                  <c:v>-6.9333333333333327</c:v>
                </c:pt>
                <c:pt idx="22">
                  <c:v>-6.2</c:v>
                </c:pt>
                <c:pt idx="23">
                  <c:v>-6.0999999999999988</c:v>
                </c:pt>
                <c:pt idx="24">
                  <c:v>-5.9666666666666659</c:v>
                </c:pt>
                <c:pt idx="25">
                  <c:v>-5.5</c:v>
                </c:pt>
                <c:pt idx="26">
                  <c:v>-4.8666666666666671</c:v>
                </c:pt>
                <c:pt idx="27">
                  <c:v>-4.7</c:v>
                </c:pt>
                <c:pt idx="28">
                  <c:v>-4.4333333333333336</c:v>
                </c:pt>
                <c:pt idx="29">
                  <c:v>-2.5666666666666669</c:v>
                </c:pt>
                <c:pt idx="30">
                  <c:v>-2.0333333333333332</c:v>
                </c:pt>
                <c:pt idx="31">
                  <c:v>-1.0999999999999999</c:v>
                </c:pt>
                <c:pt idx="32">
                  <c:v>2.9</c:v>
                </c:pt>
                <c:pt idx="33">
                  <c:v>3.3666666666666667</c:v>
                </c:pt>
                <c:pt idx="34">
                  <c:v>3.6666666666666665</c:v>
                </c:pt>
                <c:pt idx="35">
                  <c:v>3.6999999999999997</c:v>
                </c:pt>
                <c:pt idx="36">
                  <c:v>5.7333333333333334</c:v>
                </c:pt>
                <c:pt idx="37">
                  <c:v>5.7666666666666657</c:v>
                </c:pt>
              </c:numCache>
            </c:numRef>
          </c:xVal>
          <c:yVal>
            <c:numRef>
              <c:f>'Single leg squat-Running Dat'!$F$1:$F$38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10-488B-97FA-B30811A5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85760"/>
        <c:axId val="660583464"/>
      </c:scatterChart>
      <c:valAx>
        <c:axId val="660585760"/>
        <c:scaling>
          <c:orientation val="minMax"/>
          <c:min val="-23.1"/>
        </c:scaling>
        <c:delete val="0"/>
        <c:axPos val="b"/>
        <c:numFmt formatCode="General" sourceLinked="1"/>
        <c:majorTickMark val="out"/>
        <c:minorTickMark val="none"/>
        <c:tickLblPos val="nextTo"/>
        <c:crossAx val="660583464"/>
        <c:crossesAt val="-3"/>
        <c:crossBetween val="midCat"/>
      </c:valAx>
      <c:valAx>
        <c:axId val="660583464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58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'Bilateral landing DescStat'!$J$33:$J$40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-6.8</c:v>
                </c:pt>
                <c:pt idx="2">
                  <c:v>-1.5999999999999996</c:v>
                </c:pt>
                <c:pt idx="3">
                  <c:v>3.6000000000000005</c:v>
                </c:pt>
                <c:pt idx="4">
                  <c:v>8.8000000000000007</c:v>
                </c:pt>
                <c:pt idx="5">
                  <c:v>14</c:v>
                </c:pt>
                <c:pt idx="6">
                  <c:v>19.2</c:v>
                </c:pt>
                <c:pt idx="7">
                  <c:v>24.4</c:v>
                </c:pt>
              </c:numCache>
            </c:numRef>
          </c:cat>
          <c:val>
            <c:numRef>
              <c:f>'Bilateral landing DescStat'!$K$33:$K$40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45A-B9CF-80A4D69A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6345776"/>
        <c:axId val="55634380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'Bilateral landing DescStat'!$J$33:$J$40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-6.8</c:v>
                </c:pt>
                <c:pt idx="2">
                  <c:v>-1.5999999999999996</c:v>
                </c:pt>
                <c:pt idx="3">
                  <c:v>3.6000000000000005</c:v>
                </c:pt>
                <c:pt idx="4">
                  <c:v>8.8000000000000007</c:v>
                </c:pt>
                <c:pt idx="5">
                  <c:v>14</c:v>
                </c:pt>
                <c:pt idx="6">
                  <c:v>19.2</c:v>
                </c:pt>
                <c:pt idx="7">
                  <c:v>24.4</c:v>
                </c:pt>
              </c:numCache>
            </c:numRef>
          </c:cat>
          <c:val>
            <c:numRef>
              <c:f>'Bilateral landing DescStat'!$L$33:$L$40</c:f>
              <c:numCache>
                <c:formatCode>General</c:formatCode>
                <c:ptCount val="8"/>
                <c:pt idx="0">
                  <c:v>0.42131289161783997</c:v>
                </c:pt>
                <c:pt idx="1">
                  <c:v>1.5922181249948115</c:v>
                </c:pt>
                <c:pt idx="2">
                  <c:v>4.1311864425676985</c:v>
                </c:pt>
                <c:pt idx="3">
                  <c:v>7.3590447529614558</c:v>
                </c:pt>
                <c:pt idx="4">
                  <c:v>9</c:v>
                </c:pt>
                <c:pt idx="5">
                  <c:v>7.5568011021066566</c:v>
                </c:pt>
                <c:pt idx="6">
                  <c:v>4.3562007998778345</c:v>
                </c:pt>
                <c:pt idx="7">
                  <c:v>1.724059325650537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10-445A-B9CF-80A4D69A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64744"/>
        <c:axId val="664993416"/>
      </c:lineChart>
      <c:catAx>
        <c:axId val="5563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56343808"/>
        <c:crosses val="autoZero"/>
        <c:auto val="0"/>
        <c:lblAlgn val="ctr"/>
        <c:lblOffset val="100"/>
        <c:noMultiLvlLbl val="0"/>
      </c:catAx>
      <c:valAx>
        <c:axId val="55634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345776"/>
        <c:crosses val="autoZero"/>
        <c:crossBetween val="between"/>
      </c:valAx>
      <c:valAx>
        <c:axId val="66499341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713964744"/>
        <c:crosses val="max"/>
        <c:crossBetween val="between"/>
      </c:valAx>
      <c:catAx>
        <c:axId val="71396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9934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6F-4C8B-8617-C01CAC301F96}"/>
              </c:ext>
            </c:extLst>
          </c:dPt>
          <c:errBars>
            <c:errBarType val="both"/>
            <c:errValType val="cust"/>
            <c:noEndCap val="1"/>
            <c:plus>
              <c:numRef>
                <c:f>'Bilateral landing DescStat'!$K$10:$K$10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'Bilateral landing DescStat'!$K$14:$K$14</c:f>
                <c:numCache>
                  <c:formatCode>General</c:formatCode>
                  <c:ptCount val="1"/>
                  <c:pt idx="0">
                    <c:v>10.391666666666666</c:v>
                  </c:pt>
                </c:numCache>
              </c:numRef>
            </c:minus>
          </c:errBars>
          <c:val>
            <c:numRef>
              <c:f>'Bilateral landing DescStat'!$K$15</c:f>
              <c:numCache>
                <c:formatCode>General</c:formatCode>
                <c:ptCount val="1"/>
                <c:pt idx="0">
                  <c:v>-1.1416666666666666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F-4C8B-8617-C01CAC301F96}"/>
            </c:ext>
          </c:extLst>
        </c:ser>
        <c:ser>
          <c:idx val="1"/>
          <c:order val="1"/>
          <c:invertIfNegative val="0"/>
          <c:val>
            <c:numRef>
              <c:f>'Bilateral landing DescStat'!$K$16</c:f>
              <c:numCache>
                <c:formatCode>General</c:formatCode>
                <c:ptCount val="1"/>
                <c:pt idx="0">
                  <c:v>8.2916666666666661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F-4C8B-8617-C01CAC301F96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'Bilateral landing DescStat'!$K$18:$K$18</c:f>
                <c:numCache>
                  <c:formatCode>General</c:formatCode>
                  <c:ptCount val="1"/>
                  <c:pt idx="0">
                    <c:v>6.7416666666666671</c:v>
                  </c:pt>
                </c:numCache>
              </c:numRef>
            </c:plus>
          </c:errBars>
          <c:val>
            <c:numRef>
              <c:f>'Bilateral landing DescStat'!$K$17</c:f>
              <c:numCache>
                <c:formatCode>General</c:formatCode>
                <c:ptCount val="1"/>
                <c:pt idx="0">
                  <c:v>5.9750000000000005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F-4C8B-8617-C01CAC30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965072"/>
        <c:axId val="713961464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'Bilateral landing DescStat'!$K$13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'Bilateral landing DescStat'!$L$13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F-4C8B-8617-C01CAC301F96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'Bilateral landing DescStat'!$K$19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'Bilateral landing DescStat'!$L$19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6F-4C8B-8617-C01CAC30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6032"/>
        <c:axId val="662583408"/>
      </c:scatterChart>
      <c:catAx>
        <c:axId val="71396507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713961464"/>
        <c:crossesAt val="0"/>
        <c:auto val="1"/>
        <c:lblAlgn val="ctr"/>
        <c:lblOffset val="100"/>
        <c:noMultiLvlLbl val="0"/>
      </c:catAx>
      <c:valAx>
        <c:axId val="71396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13965072"/>
        <c:crosses val="autoZero"/>
        <c:crossBetween val="between"/>
      </c:valAx>
      <c:valAx>
        <c:axId val="662583408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62586032"/>
        <c:crosses val="max"/>
        <c:crossBetween val="midCat"/>
        <c:majorUnit val="1"/>
      </c:valAx>
      <c:valAx>
        <c:axId val="66258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58340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'Bilateral landing DescStat'!$J$21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'Bilateral landing DescStat'!$K$21:$K$23</c:f>
              <c:numCache>
                <c:formatCode>0.000</c:formatCode>
                <c:ptCount val="3"/>
                <c:pt idx="0">
                  <c:v>6.3833333333333337</c:v>
                </c:pt>
                <c:pt idx="1">
                  <c:v>3.5962029377557436</c:v>
                </c:pt>
                <c:pt idx="2">
                  <c:v>9.1704637289109243</c:v>
                </c:pt>
              </c:numCache>
            </c:numRef>
          </c:xVal>
          <c:yVal>
            <c:numRef>
              <c:f>'Bilateral landing DescStat'!$L$21:$L$23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C-4380-AD32-987DB0595B9A}"/>
            </c:ext>
          </c:extLst>
        </c:ser>
        <c:ser>
          <c:idx val="1"/>
          <c:order val="1"/>
          <c:tx>
            <c:strRef>
              <c:f>'Bilateral landing DescStat'!$J$24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'Bilateral landing DescStat'!$K$24:$K$26</c:f>
              <c:numCache>
                <c:formatCode>0.000</c:formatCode>
                <c:ptCount val="3"/>
                <c:pt idx="0">
                  <c:v>7.1499999999999995</c:v>
                </c:pt>
                <c:pt idx="1">
                  <c:v>8.5666666666666682</c:v>
                </c:pt>
                <c:pt idx="2">
                  <c:v>-2.1333333333333333</c:v>
                </c:pt>
              </c:numCache>
            </c:numRef>
          </c:xVal>
          <c:yVal>
            <c:numRef>
              <c:f>'Bilateral landing DescStat'!$L$24:$L$26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C-4380-AD32-987DB059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28352"/>
        <c:axId val="660829664"/>
      </c:scatterChart>
      <c:valAx>
        <c:axId val="660828352"/>
        <c:scaling>
          <c:orientation val="minMax"/>
          <c:min val="-4"/>
        </c:scaling>
        <c:delete val="0"/>
        <c:axPos val="b"/>
        <c:numFmt formatCode="0" sourceLinked="0"/>
        <c:majorTickMark val="out"/>
        <c:minorTickMark val="none"/>
        <c:tickLblPos val="nextTo"/>
        <c:crossAx val="660829664"/>
        <c:crosses val="autoZero"/>
        <c:crossBetween val="midCat"/>
      </c:valAx>
      <c:valAx>
        <c:axId val="6608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6082835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'Bilateral landing DescStat'!$J$27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'Bilateral landing DescStat'!$K$27:$K$29</c:f>
              <c:numCache>
                <c:formatCode>0.000</c:formatCode>
                <c:ptCount val="3"/>
                <c:pt idx="0">
                  <c:v>6.3833333333333337</c:v>
                </c:pt>
                <c:pt idx="1">
                  <c:v>-14.489202669947453</c:v>
                </c:pt>
                <c:pt idx="2">
                  <c:v>27.255869336614118</c:v>
                </c:pt>
              </c:numCache>
            </c:numRef>
          </c:xVal>
          <c:yVal>
            <c:numRef>
              <c:f>'Bilateral landing DescStat'!$L$27:$L$29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62-4D3C-A757-A10C63C93105}"/>
            </c:ext>
          </c:extLst>
        </c:ser>
        <c:ser>
          <c:idx val="1"/>
          <c:order val="1"/>
          <c:tx>
            <c:strRef>
              <c:f>'Bilateral landing DescStat'!$J$30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'Bilateral landing DescStat'!$K$30:$K$32</c:f>
              <c:numCache>
                <c:formatCode>0.000</c:formatCode>
                <c:ptCount val="3"/>
                <c:pt idx="0">
                  <c:v>6.3833333333333337</c:v>
                </c:pt>
                <c:pt idx="1">
                  <c:v>-11.533333333333333</c:v>
                </c:pt>
                <c:pt idx="2">
                  <c:v>4.9666666666666659</c:v>
                </c:pt>
              </c:numCache>
            </c:numRef>
          </c:xVal>
          <c:yVal>
            <c:numRef>
              <c:f>'Bilateral landing DescStat'!$L$30:$L$32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62-4D3C-A757-A10C63C9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30648"/>
        <c:axId val="660830320"/>
      </c:scatterChart>
      <c:valAx>
        <c:axId val="660830648"/>
        <c:scaling>
          <c:orientation val="minMax"/>
          <c:min val="-21.4"/>
        </c:scaling>
        <c:delete val="0"/>
        <c:axPos val="b"/>
        <c:numFmt formatCode="0" sourceLinked="0"/>
        <c:majorTickMark val="out"/>
        <c:minorTickMark val="none"/>
        <c:tickLblPos val="nextTo"/>
        <c:crossAx val="660830320"/>
        <c:crosses val="autoZero"/>
        <c:crossBetween val="midCat"/>
      </c:valAx>
      <c:valAx>
        <c:axId val="66083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6083064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72-46BF-9914-10B9482179D7}"/>
              </c:ext>
            </c:extLst>
          </c:dPt>
          <c:errBars>
            <c:errBarType val="both"/>
            <c:errValType val="cust"/>
            <c:noEndCap val="1"/>
            <c:plus>
              <c:numRef>
                <c:f>'DESCR DescStat'!$K$10:$K$10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'DESCR DescStat'!$K$14:$K$14</c:f>
                <c:numCache>
                  <c:formatCode>General</c:formatCode>
                  <c:ptCount val="1"/>
                  <c:pt idx="0">
                    <c:v>7.4700000000000006</c:v>
                  </c:pt>
                </c:numCache>
              </c:numRef>
            </c:minus>
          </c:errBars>
          <c:val>
            <c:numRef>
              <c:f>'DESCR DescStat'!$K$15</c:f>
              <c:numCache>
                <c:formatCode>General</c:formatCode>
                <c:ptCount val="1"/>
                <c:pt idx="0">
                  <c:v>-10.503333333333334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2-46BF-9914-10B9482179D7}"/>
            </c:ext>
          </c:extLst>
        </c:ser>
        <c:ser>
          <c:idx val="1"/>
          <c:order val="1"/>
          <c:invertIfNegative val="0"/>
          <c:val>
            <c:numRef>
              <c:f>'DESCR DescStat'!$K$16</c:f>
              <c:numCache>
                <c:formatCode>General</c:formatCode>
                <c:ptCount val="1"/>
                <c:pt idx="0">
                  <c:v>3.3866666666666676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2-46BF-9914-10B9482179D7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'DESCR DescStat'!$K$18:$K$18</c:f>
                <c:numCache>
                  <c:formatCode>General</c:formatCode>
                  <c:ptCount val="1"/>
                  <c:pt idx="0">
                    <c:v>7.4700000000000006</c:v>
                  </c:pt>
                </c:numCache>
              </c:numRef>
            </c:plus>
          </c:errBars>
          <c:val>
            <c:numRef>
              <c:f>'DESCR DescStat'!$K$17</c:f>
              <c:numCache>
                <c:formatCode>General</c:formatCode>
                <c:ptCount val="1"/>
                <c:pt idx="0">
                  <c:v>4.0833333333333321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2-46BF-9914-10B94821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49576"/>
        <c:axId val="555550560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'DESCR DescStat'!$K$13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'DESCR DescStat'!$L$13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72-46BF-9914-10B9482179D7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'DESCR DescStat'!$K$19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'DESCR DescStat'!$L$19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72-46BF-9914-10B94821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54168"/>
        <c:axId val="649858104"/>
      </c:scatterChart>
      <c:catAx>
        <c:axId val="55554957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555550560"/>
        <c:crossesAt val="0"/>
        <c:auto val="1"/>
        <c:lblAlgn val="ctr"/>
        <c:lblOffset val="100"/>
        <c:noMultiLvlLbl val="0"/>
      </c:catAx>
      <c:valAx>
        <c:axId val="5555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55549576"/>
        <c:crosses val="autoZero"/>
        <c:crossBetween val="between"/>
      </c:valAx>
      <c:valAx>
        <c:axId val="649858104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49854168"/>
        <c:crosses val="max"/>
        <c:crossBetween val="midCat"/>
        <c:majorUnit val="1"/>
      </c:valAx>
      <c:valAx>
        <c:axId val="64985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858104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'Bilateral landing DescStat'!$H$1:$H$38</c:f>
              <c:numCache>
                <c:formatCode>General</c:formatCode>
                <c:ptCount val="38"/>
                <c:pt idx="1">
                  <c:v>-11.533333333333333</c:v>
                </c:pt>
                <c:pt idx="2">
                  <c:v>-5.5333333333333341</c:v>
                </c:pt>
                <c:pt idx="3">
                  <c:v>-4.9666666666666659</c:v>
                </c:pt>
                <c:pt idx="4">
                  <c:v>-4.7</c:v>
                </c:pt>
                <c:pt idx="5">
                  <c:v>-4.6333333333333329</c:v>
                </c:pt>
                <c:pt idx="6">
                  <c:v>-4.4666666666666677</c:v>
                </c:pt>
                <c:pt idx="7">
                  <c:v>-4.3</c:v>
                </c:pt>
                <c:pt idx="8">
                  <c:v>-4.0333333333333332</c:v>
                </c:pt>
                <c:pt idx="9">
                  <c:v>-2.4666666666666668</c:v>
                </c:pt>
                <c:pt idx="10">
                  <c:v>-2.1333333333333333</c:v>
                </c:pt>
                <c:pt idx="11">
                  <c:v>1.8333333333333333</c:v>
                </c:pt>
                <c:pt idx="12">
                  <c:v>2.2333333333333334</c:v>
                </c:pt>
                <c:pt idx="13">
                  <c:v>2.5333333333333332</c:v>
                </c:pt>
                <c:pt idx="14">
                  <c:v>2.7666666666666671</c:v>
                </c:pt>
                <c:pt idx="15">
                  <c:v>3.8333333333333335</c:v>
                </c:pt>
                <c:pt idx="16">
                  <c:v>4.333333333333333</c:v>
                </c:pt>
                <c:pt idx="17">
                  <c:v>4.9666666666666659</c:v>
                </c:pt>
                <c:pt idx="18">
                  <c:v>5.666666666666667</c:v>
                </c:pt>
                <c:pt idx="19">
                  <c:v>7.0999999999999988</c:v>
                </c:pt>
                <c:pt idx="20">
                  <c:v>7.2</c:v>
                </c:pt>
                <c:pt idx="21">
                  <c:v>8.2666666666666675</c:v>
                </c:pt>
                <c:pt idx="22">
                  <c:v>8.4</c:v>
                </c:pt>
                <c:pt idx="23">
                  <c:v>8.5666666666666682</c:v>
                </c:pt>
                <c:pt idx="24">
                  <c:v>9.6</c:v>
                </c:pt>
                <c:pt idx="25">
                  <c:v>12</c:v>
                </c:pt>
                <c:pt idx="26">
                  <c:v>12</c:v>
                </c:pt>
                <c:pt idx="27">
                  <c:v>12.299999999999999</c:v>
                </c:pt>
                <c:pt idx="28">
                  <c:v>13</c:v>
                </c:pt>
                <c:pt idx="29">
                  <c:v>13.166666666666666</c:v>
                </c:pt>
                <c:pt idx="30">
                  <c:v>13.366666666666665</c:v>
                </c:pt>
                <c:pt idx="31">
                  <c:v>13.633333333333333</c:v>
                </c:pt>
                <c:pt idx="32">
                  <c:v>13.700000000000001</c:v>
                </c:pt>
                <c:pt idx="33">
                  <c:v>15.933333333333335</c:v>
                </c:pt>
                <c:pt idx="34">
                  <c:v>18.366666666666667</c:v>
                </c:pt>
                <c:pt idx="35">
                  <c:v>18.433333333333334</c:v>
                </c:pt>
                <c:pt idx="36">
                  <c:v>18.666666666666668</c:v>
                </c:pt>
                <c:pt idx="37">
                  <c:v>19.600000000000001</c:v>
                </c:pt>
              </c:numCache>
            </c:numRef>
          </c:xVal>
          <c:yVal>
            <c:numRef>
              <c:f>'Bilateral landing DescStat'!$F$1:$F$38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98-423E-AD5D-FBB42F3A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94528"/>
        <c:axId val="710492560"/>
      </c:scatterChart>
      <c:valAx>
        <c:axId val="710494528"/>
        <c:scaling>
          <c:orientation val="minMax"/>
          <c:min val="-15.7"/>
        </c:scaling>
        <c:delete val="0"/>
        <c:axPos val="b"/>
        <c:numFmt formatCode="General" sourceLinked="1"/>
        <c:majorTickMark val="out"/>
        <c:minorTickMark val="none"/>
        <c:tickLblPos val="nextTo"/>
        <c:crossAx val="710492560"/>
        <c:crossesAt val="-3"/>
        <c:crossBetween val="midCat"/>
      </c:valAx>
      <c:valAx>
        <c:axId val="710492560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4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'Unilateral landing DescStat'!$J$33:$J$40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-9.3000000000000007</c:v>
                </c:pt>
                <c:pt idx="2">
                  <c:v>-6.6000000000000005</c:v>
                </c:pt>
                <c:pt idx="3">
                  <c:v>-3.9000000000000004</c:v>
                </c:pt>
                <c:pt idx="4">
                  <c:v>-1.2000000000000002</c:v>
                </c:pt>
                <c:pt idx="5">
                  <c:v>1.5</c:v>
                </c:pt>
                <c:pt idx="6">
                  <c:v>4.2</c:v>
                </c:pt>
                <c:pt idx="7">
                  <c:v>6.9</c:v>
                </c:pt>
              </c:numCache>
            </c:numRef>
          </c:cat>
          <c:val>
            <c:numRef>
              <c:f>'Unilateral landing DescStat'!$K$33:$K$40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3-45B2-9621-3D32495C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3013928"/>
        <c:axId val="71302016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'Unilateral landing DescStat'!$J$33:$J$40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-9.3000000000000007</c:v>
                </c:pt>
                <c:pt idx="2">
                  <c:v>-6.6000000000000005</c:v>
                </c:pt>
                <c:pt idx="3">
                  <c:v>-3.9000000000000004</c:v>
                </c:pt>
                <c:pt idx="4">
                  <c:v>-1.2000000000000002</c:v>
                </c:pt>
                <c:pt idx="5">
                  <c:v>1.5</c:v>
                </c:pt>
                <c:pt idx="6">
                  <c:v>4.2</c:v>
                </c:pt>
                <c:pt idx="7">
                  <c:v>6.9</c:v>
                </c:pt>
              </c:numCache>
            </c:numRef>
          </c:cat>
          <c:val>
            <c:numRef>
              <c:f>'Unilateral landing DescStat'!$L$33:$L$40</c:f>
              <c:numCache>
                <c:formatCode>General</c:formatCode>
                <c:ptCount val="8"/>
                <c:pt idx="0">
                  <c:v>2.0024584462924797</c:v>
                </c:pt>
                <c:pt idx="1">
                  <c:v>6.7015793527854255</c:v>
                </c:pt>
                <c:pt idx="2">
                  <c:v>13.112527535618668</c:v>
                </c:pt>
                <c:pt idx="3">
                  <c:v>15</c:v>
                </c:pt>
                <c:pt idx="4">
                  <c:v>10.032096521491603</c:v>
                </c:pt>
                <c:pt idx="5">
                  <c:v>3.9227239040851982</c:v>
                </c:pt>
                <c:pt idx="6">
                  <c:v>0.89676650573129846</c:v>
                </c:pt>
                <c:pt idx="7">
                  <c:v>0.11985788586829685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53-45B2-9621-3D32495C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17536"/>
        <c:axId val="713015240"/>
      </c:lineChart>
      <c:catAx>
        <c:axId val="71301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13020160"/>
        <c:crosses val="autoZero"/>
        <c:auto val="0"/>
        <c:lblAlgn val="ctr"/>
        <c:lblOffset val="100"/>
        <c:noMultiLvlLbl val="0"/>
      </c:catAx>
      <c:valAx>
        <c:axId val="71302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013928"/>
        <c:crosses val="autoZero"/>
        <c:crossBetween val="between"/>
      </c:valAx>
      <c:valAx>
        <c:axId val="71301524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713017536"/>
        <c:crosses val="max"/>
        <c:crossBetween val="between"/>
      </c:valAx>
      <c:catAx>
        <c:axId val="7130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01524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3B-49C3-AB92-2244DF316349}"/>
              </c:ext>
            </c:extLst>
          </c:dPt>
          <c:errBars>
            <c:errBarType val="both"/>
            <c:errValType val="cust"/>
            <c:noEndCap val="1"/>
            <c:plus>
              <c:numRef>
                <c:f>'Unilateral landing DescStat'!$K$10:$K$10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'Unilateral landing DescStat'!$K$14:$K$14</c:f>
                <c:numCache>
                  <c:formatCode>General</c:formatCode>
                  <c:ptCount val="1"/>
                  <c:pt idx="0">
                    <c:v>3.2666666666666657</c:v>
                  </c:pt>
                </c:numCache>
              </c:numRef>
            </c:minus>
          </c:errBars>
          <c:val>
            <c:numRef>
              <c:f>'Unilateral landing DescStat'!$K$15</c:f>
              <c:numCache>
                <c:formatCode>General</c:formatCode>
                <c:ptCount val="1"/>
                <c:pt idx="0">
                  <c:v>-8.3666666666666671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9C3-AB92-2244DF316349}"/>
            </c:ext>
          </c:extLst>
        </c:ser>
        <c:ser>
          <c:idx val="1"/>
          <c:order val="1"/>
          <c:invertIfNegative val="0"/>
          <c:val>
            <c:numRef>
              <c:f>'Unilateral landing DescStat'!$K$16</c:f>
              <c:numCache>
                <c:formatCode>General</c:formatCode>
                <c:ptCount val="1"/>
                <c:pt idx="0">
                  <c:v>1.9000000000000004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B-49C3-AB92-2244DF316349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'Unilateral landing DescStat'!$K$18:$K$18</c:f>
                <c:numCache>
                  <c:formatCode>General</c:formatCode>
                  <c:ptCount val="1"/>
                  <c:pt idx="0">
                    <c:v>3.5583333333333336</c:v>
                  </c:pt>
                </c:numCache>
              </c:numRef>
            </c:plus>
          </c:errBars>
          <c:val>
            <c:numRef>
              <c:f>'Unilateral landing DescStat'!$K$17</c:f>
              <c:numCache>
                <c:formatCode>General</c:formatCode>
                <c:ptCount val="1"/>
                <c:pt idx="0">
                  <c:v>1.6583333333333332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B-49C3-AB92-2244DF31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730792"/>
        <c:axId val="651731120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'Unilateral landing DescStat'!$K$13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'Unilateral landing DescStat'!$L$13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B-49C3-AB92-2244DF316349}"/>
            </c:ext>
          </c:extLst>
        </c:ser>
        <c:ser>
          <c:idx val="4"/>
          <c:order val="4"/>
          <c:spPr>
            <a:ln w="19050">
              <a:noFill/>
            </a:ln>
            <a:effectLst/>
          </c:spPr>
          <c:marker>
            <c:symbol val="star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'Unilateral landing DescStat'!$K$19</c:f>
              <c:numCache>
                <c:formatCode>General</c:formatCode>
                <c:ptCount val="1"/>
                <c:pt idx="0">
                  <c:v>4.6333333333333329</c:v>
                </c:pt>
              </c:numCache>
            </c:numRef>
          </c:xVal>
          <c:yVal>
            <c:numRef>
              <c:f>'Unilateral landing DescStat'!$L$19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3B-49C3-AB92-2244DF31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640"/>
        <c:axId val="715480312"/>
      </c:scatterChart>
      <c:catAx>
        <c:axId val="65173079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651731120"/>
        <c:crossesAt val="0"/>
        <c:auto val="1"/>
        <c:lblAlgn val="ctr"/>
        <c:lblOffset val="100"/>
        <c:noMultiLvlLbl val="0"/>
      </c:catAx>
      <c:valAx>
        <c:axId val="65173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51730792"/>
        <c:crosses val="autoZero"/>
        <c:crossBetween val="between"/>
      </c:valAx>
      <c:valAx>
        <c:axId val="715480312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715480640"/>
        <c:crosses val="max"/>
        <c:crossBetween val="midCat"/>
        <c:majorUnit val="1"/>
      </c:valAx>
      <c:valAx>
        <c:axId val="7154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480312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'Unilateral landing DescStat'!$K$21:$K$23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-7.1348585908090509</c:v>
                </c:pt>
                <c:pt idx="2">
                  <c:v>-4.712158953050599</c:v>
                </c:pt>
              </c:numCache>
            </c:numRef>
          </c:xVal>
          <c:yVal>
            <c:numRef>
              <c:f>'Unilateral landing DescStat'!$L$21:$L$23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3-48AB-9E94-E6E8FC292BD6}"/>
            </c:ext>
          </c:extLst>
        </c:ser>
        <c:ser>
          <c:idx val="1"/>
          <c:order val="1"/>
          <c:tx>
            <c:strRef>
              <c:f>'Unilateral landing DescStat'!$J$24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DescStat'!$K$24:$K$26</c:f>
              <c:numCache>
                <c:formatCode>0.000</c:formatCode>
                <c:ptCount val="3"/>
                <c:pt idx="0">
                  <c:v>-6.4666666666666668</c:v>
                </c:pt>
                <c:pt idx="1">
                  <c:v>-9.7999999999999989</c:v>
                </c:pt>
                <c:pt idx="2">
                  <c:v>-5.166666666666667</c:v>
                </c:pt>
              </c:numCache>
            </c:numRef>
          </c:xVal>
          <c:yVal>
            <c:numRef>
              <c:f>'Unilateral landing DescStat'!$L$24:$L$26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3-48AB-9E94-E6E8FC29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27048"/>
        <c:axId val="713024424"/>
      </c:scatterChart>
      <c:valAx>
        <c:axId val="713027048"/>
        <c:scaling>
          <c:orientation val="minMax"/>
          <c:min val="-10.6"/>
        </c:scaling>
        <c:delete val="0"/>
        <c:axPos val="b"/>
        <c:numFmt formatCode="0.000" sourceLinked="1"/>
        <c:majorTickMark val="out"/>
        <c:minorTickMark val="none"/>
        <c:tickLblPos val="nextTo"/>
        <c:crossAx val="713024424"/>
        <c:crosses val="autoZero"/>
        <c:crossBetween val="midCat"/>
      </c:valAx>
      <c:valAx>
        <c:axId val="713024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71302704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'Unilateral landing DescStat'!$K$27:$K$29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-14.995184337322453</c:v>
                </c:pt>
                <c:pt idx="2">
                  <c:v>3.1481667934628028</c:v>
                </c:pt>
              </c:numCache>
            </c:numRef>
          </c:xVal>
          <c:yVal>
            <c:numRef>
              <c:f>'Unilateral landing DescStat'!$L$27:$L$29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A8B-4E9F-A1B2-D5A49B934D25}"/>
            </c:ext>
          </c:extLst>
        </c:ser>
        <c:ser>
          <c:idx val="1"/>
          <c:order val="1"/>
          <c:tx>
            <c:strRef>
              <c:f>'Unilateral landing DescStat'!$J$30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DescStat'!$K$30:$K$32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-11.633333333333333</c:v>
                </c:pt>
                <c:pt idx="2">
                  <c:v>-6.5</c:v>
                </c:pt>
              </c:numCache>
            </c:numRef>
          </c:xVal>
          <c:yVal>
            <c:numRef>
              <c:f>'Unilateral landing DescStat'!$L$30:$L$32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A8B-4E9F-A1B2-D5A49B93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3808"/>
        <c:axId val="710494528"/>
      </c:scatterChart>
      <c:valAx>
        <c:axId val="556343808"/>
        <c:scaling>
          <c:orientation val="minMax"/>
          <c:min val="-18"/>
        </c:scaling>
        <c:delete val="0"/>
        <c:axPos val="b"/>
        <c:numFmt formatCode="0.000" sourceLinked="1"/>
        <c:majorTickMark val="out"/>
        <c:minorTickMark val="none"/>
        <c:tickLblPos val="nextTo"/>
        <c:crossAx val="710494528"/>
        <c:crosses val="autoZero"/>
        <c:crossBetween val="midCat"/>
      </c:valAx>
      <c:valAx>
        <c:axId val="71049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55634380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'Unilateral landing DescStat'!$H$1:$H$38</c:f>
              <c:numCache>
                <c:formatCode>General</c:formatCode>
                <c:ptCount val="38"/>
                <c:pt idx="1">
                  <c:v>-11.633333333333333</c:v>
                </c:pt>
                <c:pt idx="2">
                  <c:v>-11.6</c:v>
                </c:pt>
                <c:pt idx="3">
                  <c:v>-10.899999999999999</c:v>
                </c:pt>
                <c:pt idx="4">
                  <c:v>-9.7999999999999989</c:v>
                </c:pt>
                <c:pt idx="5">
                  <c:v>-9.5333333333333332</c:v>
                </c:pt>
                <c:pt idx="6">
                  <c:v>-8.8933333333333326</c:v>
                </c:pt>
                <c:pt idx="7">
                  <c:v>-8.6666666666666661</c:v>
                </c:pt>
                <c:pt idx="8">
                  <c:v>-8.6333333333333346</c:v>
                </c:pt>
                <c:pt idx="9">
                  <c:v>-8.4</c:v>
                </c:pt>
                <c:pt idx="10">
                  <c:v>-8.4</c:v>
                </c:pt>
                <c:pt idx="11">
                  <c:v>-8.2666666666666675</c:v>
                </c:pt>
                <c:pt idx="12">
                  <c:v>-7.7666666666666657</c:v>
                </c:pt>
                <c:pt idx="13">
                  <c:v>-7.3666666666666663</c:v>
                </c:pt>
                <c:pt idx="14">
                  <c:v>-7.333333333333333</c:v>
                </c:pt>
                <c:pt idx="15">
                  <c:v>-7.2</c:v>
                </c:pt>
                <c:pt idx="16">
                  <c:v>-6.8</c:v>
                </c:pt>
                <c:pt idx="17">
                  <c:v>-6.666666666666667</c:v>
                </c:pt>
                <c:pt idx="18">
                  <c:v>-6.5666666666666664</c:v>
                </c:pt>
                <c:pt idx="19">
                  <c:v>-6.5</c:v>
                </c:pt>
                <c:pt idx="20">
                  <c:v>-6.4333333333333336</c:v>
                </c:pt>
                <c:pt idx="21">
                  <c:v>-5.9666666666666659</c:v>
                </c:pt>
                <c:pt idx="22">
                  <c:v>-5.8666666666666671</c:v>
                </c:pt>
                <c:pt idx="23">
                  <c:v>-5.8</c:v>
                </c:pt>
                <c:pt idx="24">
                  <c:v>-5.7333333333333334</c:v>
                </c:pt>
                <c:pt idx="25">
                  <c:v>-5.166666666666667</c:v>
                </c:pt>
                <c:pt idx="26">
                  <c:v>-4.9666666666666668</c:v>
                </c:pt>
                <c:pt idx="27">
                  <c:v>-4.833333333333333</c:v>
                </c:pt>
                <c:pt idx="28">
                  <c:v>-4.833333333333333</c:v>
                </c:pt>
                <c:pt idx="29">
                  <c:v>-4.8</c:v>
                </c:pt>
                <c:pt idx="30">
                  <c:v>-4.666666666666667</c:v>
                </c:pt>
                <c:pt idx="31">
                  <c:v>-4.2333333333333334</c:v>
                </c:pt>
                <c:pt idx="32">
                  <c:v>-4.2</c:v>
                </c:pt>
                <c:pt idx="33">
                  <c:v>-2.9333333333333336</c:v>
                </c:pt>
                <c:pt idx="34">
                  <c:v>-2.6666666666666665</c:v>
                </c:pt>
                <c:pt idx="35">
                  <c:v>-2.6666666666666665</c:v>
                </c:pt>
                <c:pt idx="36">
                  <c:v>2.8333333333333335</c:v>
                </c:pt>
                <c:pt idx="37">
                  <c:v>4.1333333333333337</c:v>
                </c:pt>
              </c:numCache>
            </c:numRef>
          </c:xVal>
          <c:yVal>
            <c:numRef>
              <c:f>'Unilateral landing DescStat'!$F$1:$F$38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77-48CA-9E8C-B86E3063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0520"/>
        <c:axId val="725920848"/>
      </c:scatterChart>
      <c:valAx>
        <c:axId val="725920520"/>
        <c:scaling>
          <c:orientation val="minMax"/>
          <c:min val="-13.3"/>
        </c:scaling>
        <c:delete val="0"/>
        <c:axPos val="b"/>
        <c:numFmt formatCode="General" sourceLinked="1"/>
        <c:majorTickMark val="out"/>
        <c:minorTickMark val="none"/>
        <c:tickLblPos val="nextTo"/>
        <c:crossAx val="725920848"/>
        <c:crossesAt val="-3"/>
        <c:crossBetween val="midCat"/>
      </c:valAx>
      <c:valAx>
        <c:axId val="725920848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920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'Unilateral landing DescStata4'!$J$33:$J$40</c:f>
              <c:numCache>
                <c:formatCode>General</c:formatCode>
                <c:ptCount val="8"/>
                <c:pt idx="0">
                  <c:v>-11.635</c:v>
                </c:pt>
                <c:pt idx="1">
                  <c:v>-3.3629999999999995</c:v>
                </c:pt>
                <c:pt idx="2">
                  <c:v>4.9090000000000007</c:v>
                </c:pt>
                <c:pt idx="3">
                  <c:v>13.181000000000001</c:v>
                </c:pt>
                <c:pt idx="4">
                  <c:v>21.453000000000003</c:v>
                </c:pt>
                <c:pt idx="5">
                  <c:v>29.725000000000001</c:v>
                </c:pt>
                <c:pt idx="6">
                  <c:v>37.997</c:v>
                </c:pt>
                <c:pt idx="7">
                  <c:v>46.268999999999998</c:v>
                </c:pt>
              </c:numCache>
            </c:numRef>
          </c:cat>
          <c:val>
            <c:numRef>
              <c:f>'Unilateral landing DescStata4'!$K$33:$K$40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574-AD86-01CCF82A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4010760"/>
        <c:axId val="63400616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'Unilateral landing DescStata4'!$J$33:$J$40</c:f>
              <c:numCache>
                <c:formatCode>General</c:formatCode>
                <c:ptCount val="8"/>
                <c:pt idx="0">
                  <c:v>-11.635</c:v>
                </c:pt>
                <c:pt idx="1">
                  <c:v>-3.3629999999999995</c:v>
                </c:pt>
                <c:pt idx="2">
                  <c:v>4.9090000000000007</c:v>
                </c:pt>
                <c:pt idx="3">
                  <c:v>13.181000000000001</c:v>
                </c:pt>
                <c:pt idx="4">
                  <c:v>21.453000000000003</c:v>
                </c:pt>
                <c:pt idx="5">
                  <c:v>29.725000000000001</c:v>
                </c:pt>
                <c:pt idx="6">
                  <c:v>37.997</c:v>
                </c:pt>
                <c:pt idx="7">
                  <c:v>46.268999999999998</c:v>
                </c:pt>
              </c:numCache>
            </c:numRef>
          </c:cat>
          <c:val>
            <c:numRef>
              <c:f>'Unilateral landing DescStata4'!$L$33:$L$40</c:f>
              <c:numCache>
                <c:formatCode>General</c:formatCode>
                <c:ptCount val="8"/>
                <c:pt idx="0">
                  <c:v>2.858747667398096</c:v>
                </c:pt>
                <c:pt idx="1">
                  <c:v>7.5923914957334597</c:v>
                </c:pt>
                <c:pt idx="2">
                  <c:v>11</c:v>
                </c:pt>
                <c:pt idx="3">
                  <c:v>8.6939691856038817</c:v>
                </c:pt>
                <c:pt idx="4">
                  <c:v>3.7484768088274598</c:v>
                </c:pt>
                <c:pt idx="5">
                  <c:v>0.88166353757156724</c:v>
                </c:pt>
                <c:pt idx="6">
                  <c:v>0.11312595347051385</c:v>
                </c:pt>
                <c:pt idx="7">
                  <c:v>7.9183181133289093E-3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35-4574-AD86-01CCF82A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66088"/>
        <c:axId val="627356904"/>
      </c:lineChart>
      <c:catAx>
        <c:axId val="63401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34006168"/>
        <c:crosses val="autoZero"/>
        <c:auto val="0"/>
        <c:lblAlgn val="ctr"/>
        <c:lblOffset val="100"/>
        <c:noMultiLvlLbl val="0"/>
      </c:catAx>
      <c:valAx>
        <c:axId val="634006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0760"/>
        <c:crosses val="autoZero"/>
        <c:crossBetween val="between"/>
      </c:valAx>
      <c:valAx>
        <c:axId val="62735690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27366088"/>
        <c:crosses val="max"/>
        <c:crossBetween val="between"/>
      </c:valAx>
      <c:catAx>
        <c:axId val="627366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5690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AE-463E-A344-898AF7422033}"/>
              </c:ext>
            </c:extLst>
          </c:dPt>
          <c:errBars>
            <c:errBarType val="both"/>
            <c:errValType val="cust"/>
            <c:noEndCap val="1"/>
            <c:plus>
              <c:numRef>
                <c:f>'Unilateral landing DescStata4'!$K$10:$K$10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'Unilateral landing DescStata4'!$K$14:$K$14</c:f>
                <c:numCache>
                  <c:formatCode>General</c:formatCode>
                  <c:ptCount val="1"/>
                  <c:pt idx="0">
                    <c:v>6.5462061403508764</c:v>
                  </c:pt>
                </c:numCache>
              </c:numRef>
            </c:minus>
          </c:errBars>
          <c:val>
            <c:numRef>
              <c:f>'Unilateral landing DescStata4'!$K$15</c:f>
              <c:numCache>
                <c:formatCode>General</c:formatCode>
                <c:ptCount val="1"/>
                <c:pt idx="0">
                  <c:v>-5.0871271929824564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63E-A344-898AF7422033}"/>
            </c:ext>
          </c:extLst>
        </c:ser>
        <c:ser>
          <c:idx val="1"/>
          <c:order val="1"/>
          <c:invertIfNegative val="0"/>
          <c:val>
            <c:numRef>
              <c:f>'Unilateral landing DescStata4'!$K$16</c:f>
              <c:numCache>
                <c:formatCode>General</c:formatCode>
                <c:ptCount val="1"/>
                <c:pt idx="0">
                  <c:v>6.0266271929824562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E-463E-A344-898AF7422033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'Unilateral landing DescStata4'!$K$18:$K$18</c:f>
                <c:numCache>
                  <c:formatCode>General</c:formatCode>
                  <c:ptCount val="1"/>
                  <c:pt idx="0">
                    <c:v>7.7368312585648455</c:v>
                  </c:pt>
                </c:numCache>
              </c:numRef>
            </c:plus>
          </c:errBars>
          <c:val>
            <c:numRef>
              <c:f>'Unilateral landing DescStata4'!$K$17</c:f>
              <c:numCache>
                <c:formatCode>General</c:formatCode>
                <c:ptCount val="1"/>
                <c:pt idx="0">
                  <c:v>1.7102040655823891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E-463E-A344-898AF742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408400"/>
        <c:axId val="627406432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'Unilateral landing DescStata4'!$K$13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'Unilateral landing DescStata4'!$L$13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E-463E-A344-898AF7422033}"/>
            </c:ext>
          </c:extLst>
        </c:ser>
        <c:ser>
          <c:idx val="4"/>
          <c:order val="4"/>
          <c:spPr>
            <a:ln w="19050">
              <a:noFill/>
            </a:ln>
            <a:effectLst/>
          </c:spPr>
          <c:marker>
            <c:symbol val="star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'Unilateral landing DescStata4'!$K$19</c:f>
              <c:numCache>
                <c:formatCode>General</c:formatCode>
                <c:ptCount val="1"/>
                <c:pt idx="0">
                  <c:v>38</c:v>
                </c:pt>
              </c:numCache>
            </c:numRef>
          </c:xVal>
          <c:yVal>
            <c:numRef>
              <c:f>'Unilateral landing DescStata4'!$L$19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E-463E-A344-898AF742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28040"/>
        <c:axId val="634066192"/>
      </c:scatterChart>
      <c:catAx>
        <c:axId val="6274084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627406432"/>
        <c:crossesAt val="0"/>
        <c:auto val="1"/>
        <c:lblAlgn val="ctr"/>
        <c:lblOffset val="100"/>
        <c:noMultiLvlLbl val="0"/>
      </c:catAx>
      <c:valAx>
        <c:axId val="6274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27408400"/>
        <c:crosses val="autoZero"/>
        <c:crossBetween val="between"/>
      </c:valAx>
      <c:valAx>
        <c:axId val="634066192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36928040"/>
        <c:crosses val="max"/>
        <c:crossBetween val="midCat"/>
        <c:majorUnit val="1"/>
      </c:valAx>
      <c:valAx>
        <c:axId val="53692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066192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DescStata4'!$J$21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'Unilateral landing DescStata4'!$K$21:$K$23</c:f>
              <c:numCache>
                <c:formatCode>0.000</c:formatCode>
                <c:ptCount val="3"/>
                <c:pt idx="0">
                  <c:v>1.7825435499393969</c:v>
                </c:pt>
                <c:pt idx="1">
                  <c:v>-3.3163425797414998</c:v>
                </c:pt>
                <c:pt idx="2">
                  <c:v>6.8814296796202932</c:v>
                </c:pt>
              </c:numCache>
            </c:numRef>
          </c:xVal>
          <c:yVal>
            <c:numRef>
              <c:f>'Unilateral landing DescStata4'!$L$21:$L$23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B-489D-A881-C542CE58C251}"/>
            </c:ext>
          </c:extLst>
        </c:ser>
        <c:ser>
          <c:idx val="1"/>
          <c:order val="1"/>
          <c:tx>
            <c:strRef>
              <c:f>'Unilateral landing DescStata4'!$J$24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DescStata4'!$K$24:$K$26</c:f>
              <c:numCache>
                <c:formatCode>0.000</c:formatCode>
                <c:ptCount val="3"/>
                <c:pt idx="0">
                  <c:v>0.9395</c:v>
                </c:pt>
                <c:pt idx="1">
                  <c:v>-5.9235087719298249</c:v>
                </c:pt>
                <c:pt idx="2">
                  <c:v>-11.633333333333333</c:v>
                </c:pt>
              </c:numCache>
            </c:numRef>
          </c:xVal>
          <c:yVal>
            <c:numRef>
              <c:f>'Unilateral landing DescStata4'!$L$24:$L$26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B-489D-A881-C542CE58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5512"/>
        <c:axId val="634006168"/>
      </c:scatterChart>
      <c:valAx>
        <c:axId val="634005512"/>
        <c:scaling>
          <c:orientation val="minMax"/>
          <c:min val="-14.718999999999999"/>
        </c:scaling>
        <c:delete val="0"/>
        <c:axPos val="b"/>
        <c:numFmt formatCode="0" sourceLinked="0"/>
        <c:majorTickMark val="out"/>
        <c:minorTickMark val="none"/>
        <c:tickLblPos val="nextTo"/>
        <c:crossAx val="634006168"/>
        <c:crosses val="autoZero"/>
        <c:crossBetween val="midCat"/>
      </c:valAx>
      <c:valAx>
        <c:axId val="63400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340055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DescStata4'!$J$27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'Unilateral landing DescStata4'!$K$27:$K$29</c:f>
              <c:numCache>
                <c:formatCode>0.000</c:formatCode>
                <c:ptCount val="3"/>
                <c:pt idx="0">
                  <c:v>1.7825435499393969</c:v>
                </c:pt>
                <c:pt idx="1">
                  <c:v>-28.202830939771626</c:v>
                </c:pt>
                <c:pt idx="2">
                  <c:v>31.767918039650421</c:v>
                </c:pt>
              </c:numCache>
            </c:numRef>
          </c:xVal>
          <c:yVal>
            <c:numRef>
              <c:f>'Unilateral landing DescStata4'!$L$27:$L$29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7-44AD-A9CB-19A73DEE861B}"/>
            </c:ext>
          </c:extLst>
        </c:ser>
        <c:ser>
          <c:idx val="1"/>
          <c:order val="1"/>
          <c:tx>
            <c:strRef>
              <c:f>'Unilateral landing DescStata4'!$J$30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DescStata4'!$K$30:$K$32</c:f>
              <c:numCache>
                <c:formatCode>0.000</c:formatCode>
                <c:ptCount val="3"/>
                <c:pt idx="0">
                  <c:v>1.7825435499393969</c:v>
                </c:pt>
                <c:pt idx="1">
                  <c:v>-11.633333333333333</c:v>
                </c:pt>
                <c:pt idx="2">
                  <c:v>0.78700000000000003</c:v>
                </c:pt>
              </c:numCache>
            </c:numRef>
          </c:xVal>
          <c:yVal>
            <c:numRef>
              <c:f>'Unilateral landing DescStata4'!$L$30:$L$32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07-44AD-A9CB-19A73DEE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5512"/>
        <c:axId val="634007808"/>
      </c:scatterChart>
      <c:valAx>
        <c:axId val="634005512"/>
        <c:scaling>
          <c:orientation val="minMax"/>
          <c:min val="-38.198"/>
        </c:scaling>
        <c:delete val="0"/>
        <c:axPos val="b"/>
        <c:numFmt formatCode="0" sourceLinked="0"/>
        <c:majorTickMark val="out"/>
        <c:minorTickMark val="none"/>
        <c:tickLblPos val="nextTo"/>
        <c:crossAx val="634007808"/>
        <c:crosses val="autoZero"/>
        <c:crossBetween val="midCat"/>
      </c:valAx>
      <c:valAx>
        <c:axId val="63400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340055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'DESCR DescStat'!$J$21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'DESCR DescStat'!$K$21:$K$23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-8.5336608537972687</c:v>
                </c:pt>
                <c:pt idx="2">
                  <c:v>-4.1835321286588716</c:v>
                </c:pt>
              </c:numCache>
            </c:numRef>
          </c:xVal>
          <c:yVal>
            <c:numRef>
              <c:f>'DESCR DescStat'!$L$21:$L$23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4-4C7F-A10B-E5AF88271E2F}"/>
            </c:ext>
          </c:extLst>
        </c:ser>
        <c:ser>
          <c:idx val="1"/>
          <c:order val="1"/>
          <c:tx>
            <c:strRef>
              <c:f>'DESCR DescStat'!$J$24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'DESCR DescStat'!$K$24:$K$26</c:f>
              <c:numCache>
                <c:formatCode>0.000</c:formatCode>
                <c:ptCount val="3"/>
                <c:pt idx="0">
                  <c:v>-7.1166666666666663</c:v>
                </c:pt>
                <c:pt idx="1">
                  <c:v>-9.6</c:v>
                </c:pt>
                <c:pt idx="2">
                  <c:v>-6.9666666666666659</c:v>
                </c:pt>
              </c:numCache>
            </c:numRef>
          </c:xVal>
          <c:yVal>
            <c:numRef>
              <c:f>'DESCR DescStat'!$L$24:$L$26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4-4C7F-A10B-E5AF8827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56792"/>
        <c:axId val="649855480"/>
      </c:scatterChart>
      <c:valAx>
        <c:axId val="649856792"/>
        <c:scaling>
          <c:orientation val="minMax"/>
          <c:min val="-10.5"/>
        </c:scaling>
        <c:delete val="0"/>
        <c:axPos val="b"/>
        <c:numFmt formatCode="0.000" sourceLinked="1"/>
        <c:majorTickMark val="out"/>
        <c:minorTickMark val="none"/>
        <c:tickLblPos val="nextTo"/>
        <c:crossAx val="649855480"/>
        <c:crosses val="autoZero"/>
        <c:crossBetween val="midCat"/>
      </c:valAx>
      <c:valAx>
        <c:axId val="64985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4985679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'Unilateral landing DescStata4'!$H$1:$H$20</c:f>
              <c:numCache>
                <c:formatCode>General</c:formatCode>
                <c:ptCount val="20"/>
                <c:pt idx="1">
                  <c:v>-11.633333333333333</c:v>
                </c:pt>
                <c:pt idx="2">
                  <c:v>-8.3666666666666671</c:v>
                </c:pt>
                <c:pt idx="3">
                  <c:v>-7.1348585908090509</c:v>
                </c:pt>
                <c:pt idx="4">
                  <c:v>-6.4666666666666668</c:v>
                </c:pt>
                <c:pt idx="5">
                  <c:v>-5.9235087719298249</c:v>
                </c:pt>
                <c:pt idx="6">
                  <c:v>-4.8083333333333336</c:v>
                </c:pt>
                <c:pt idx="7">
                  <c:v>-4.712158953050599</c:v>
                </c:pt>
                <c:pt idx="8">
                  <c:v>0</c:v>
                </c:pt>
                <c:pt idx="9">
                  <c:v>2.5888022188385461E-3</c:v>
                </c:pt>
                <c:pt idx="10">
                  <c:v>0.5978453878306742</c:v>
                </c:pt>
                <c:pt idx="11">
                  <c:v>0.78700000000000003</c:v>
                </c:pt>
                <c:pt idx="12" formatCode="0.000">
                  <c:v>1.0920000000000001</c:v>
                </c:pt>
                <c:pt idx="13">
                  <c:v>1.2113498188792264</c:v>
                </c:pt>
                <c:pt idx="14">
                  <c:v>1.2486781411246923</c:v>
                </c:pt>
                <c:pt idx="15">
                  <c:v>1.2851593289960364</c:v>
                </c:pt>
                <c:pt idx="16">
                  <c:v>2.3044832606585768</c:v>
                </c:pt>
                <c:pt idx="17">
                  <c:v>3.6853664803538262</c:v>
                </c:pt>
                <c:pt idx="18" formatCode="0.000">
                  <c:v>4.6333333333333329</c:v>
                </c:pt>
                <c:pt idx="19">
                  <c:v>13.581926094515548</c:v>
                </c:pt>
              </c:numCache>
            </c:numRef>
          </c:xVal>
          <c:yVal>
            <c:numRef>
              <c:f>'Unilateral landing DescStata4'!$F$1:$F$20</c:f>
              <c:numCache>
                <c:formatCode>General</c:formatCode>
                <c:ptCount val="20"/>
                <c:pt idx="1">
                  <c:v>-1.9599639845400538</c:v>
                </c:pt>
                <c:pt idx="2">
                  <c:v>-1.4395314709384572</c:v>
                </c:pt>
                <c:pt idx="3">
                  <c:v>-1.1503493803760083</c:v>
                </c:pt>
                <c:pt idx="4">
                  <c:v>-0.93458929107347943</c:v>
                </c:pt>
                <c:pt idx="5" formatCode="0.000">
                  <c:v>-0.75541502636046909</c:v>
                </c:pt>
                <c:pt idx="6">
                  <c:v>-0.59776012604247841</c:v>
                </c:pt>
                <c:pt idx="7" formatCode="0.000">
                  <c:v>-0.45376219016987951</c:v>
                </c:pt>
                <c:pt idx="8">
                  <c:v>-0.3186393639643752</c:v>
                </c:pt>
                <c:pt idx="9">
                  <c:v>-0.18911842627279254</c:v>
                </c:pt>
                <c:pt idx="10" formatCode="0.000">
                  <c:v>-6.2706777943213846E-2</c:v>
                </c:pt>
                <c:pt idx="11">
                  <c:v>6.2706777943213846E-2</c:v>
                </c:pt>
                <c:pt idx="12" formatCode="0.000">
                  <c:v>0.18911842627279243</c:v>
                </c:pt>
                <c:pt idx="13">
                  <c:v>0.3186393639643752</c:v>
                </c:pt>
                <c:pt idx="14">
                  <c:v>0.45376219016987968</c:v>
                </c:pt>
                <c:pt idx="15">
                  <c:v>0.59776012604247841</c:v>
                </c:pt>
                <c:pt idx="16">
                  <c:v>0.75541502636046909</c:v>
                </c:pt>
                <c:pt idx="17">
                  <c:v>0.9345892910734801</c:v>
                </c:pt>
                <c:pt idx="18" formatCode="0.000">
                  <c:v>1.1503493803760083</c:v>
                </c:pt>
                <c:pt idx="19">
                  <c:v>1.4395314709384563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E0-42F8-97E7-E1BB735E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42584"/>
        <c:axId val="637888432"/>
      </c:scatterChart>
      <c:valAx>
        <c:axId val="530542584"/>
        <c:scaling>
          <c:orientation val="minMax"/>
          <c:min val="-14.500999999999999"/>
        </c:scaling>
        <c:delete val="0"/>
        <c:axPos val="b"/>
        <c:numFmt formatCode="General" sourceLinked="1"/>
        <c:majorTickMark val="out"/>
        <c:minorTickMark val="none"/>
        <c:tickLblPos val="nextTo"/>
        <c:crossAx val="637888432"/>
        <c:crossesAt val="-3"/>
        <c:crossBetween val="midCat"/>
      </c:valAx>
      <c:valAx>
        <c:axId val="637888432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542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'Unilateral landing DescStata'!$J$33:$J$40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-9.3000000000000007</c:v>
                </c:pt>
                <c:pt idx="2">
                  <c:v>-6.6000000000000005</c:v>
                </c:pt>
                <c:pt idx="3">
                  <c:v>-3.9000000000000004</c:v>
                </c:pt>
                <c:pt idx="4">
                  <c:v>-1.2000000000000002</c:v>
                </c:pt>
                <c:pt idx="5">
                  <c:v>1.5</c:v>
                </c:pt>
                <c:pt idx="6">
                  <c:v>4.2</c:v>
                </c:pt>
                <c:pt idx="7">
                  <c:v>6.9</c:v>
                </c:pt>
              </c:numCache>
            </c:numRef>
          </c:cat>
          <c:val>
            <c:numRef>
              <c:f>'Unilateral landing DescStata'!$K$33:$K$40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FBA-A510-7EF978FF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7408072"/>
        <c:axId val="6274064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'Unilateral landing DescStata'!$J$33:$J$40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-9.3000000000000007</c:v>
                </c:pt>
                <c:pt idx="2">
                  <c:v>-6.6000000000000005</c:v>
                </c:pt>
                <c:pt idx="3">
                  <c:v>-3.9000000000000004</c:v>
                </c:pt>
                <c:pt idx="4">
                  <c:v>-1.2000000000000002</c:v>
                </c:pt>
                <c:pt idx="5">
                  <c:v>1.5</c:v>
                </c:pt>
                <c:pt idx="6">
                  <c:v>4.2</c:v>
                </c:pt>
                <c:pt idx="7">
                  <c:v>6.9</c:v>
                </c:pt>
              </c:numCache>
            </c:numRef>
          </c:cat>
          <c:val>
            <c:numRef>
              <c:f>'Unilateral landing DescStata'!$L$33:$L$40</c:f>
              <c:numCache>
                <c:formatCode>General</c:formatCode>
                <c:ptCount val="8"/>
                <c:pt idx="0">
                  <c:v>2.0024584462924797</c:v>
                </c:pt>
                <c:pt idx="1">
                  <c:v>6.7015793527854255</c:v>
                </c:pt>
                <c:pt idx="2">
                  <c:v>13.112527535618668</c:v>
                </c:pt>
                <c:pt idx="3">
                  <c:v>15</c:v>
                </c:pt>
                <c:pt idx="4">
                  <c:v>10.032096521491603</c:v>
                </c:pt>
                <c:pt idx="5">
                  <c:v>3.9227239040851982</c:v>
                </c:pt>
                <c:pt idx="6">
                  <c:v>0.89676650573129846</c:v>
                </c:pt>
                <c:pt idx="7">
                  <c:v>0.11985788586829685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E5-4FBA-A510-7EF978FF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60184"/>
        <c:axId val="627359200"/>
      </c:lineChart>
      <c:catAx>
        <c:axId val="62740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27406432"/>
        <c:crosses val="autoZero"/>
        <c:auto val="0"/>
        <c:lblAlgn val="ctr"/>
        <c:lblOffset val="100"/>
        <c:noMultiLvlLbl val="0"/>
      </c:catAx>
      <c:valAx>
        <c:axId val="62740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408072"/>
        <c:crosses val="autoZero"/>
        <c:crossBetween val="between"/>
      </c:valAx>
      <c:valAx>
        <c:axId val="62735920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27360184"/>
        <c:crosses val="max"/>
        <c:crossBetween val="between"/>
      </c:valAx>
      <c:catAx>
        <c:axId val="627360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59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D9-43A9-A49B-61CEB6CEC4E4}"/>
              </c:ext>
            </c:extLst>
          </c:dPt>
          <c:errBars>
            <c:errBarType val="both"/>
            <c:errValType val="cust"/>
            <c:noEndCap val="1"/>
            <c:plus>
              <c:numRef>
                <c:f>'Unilateral landing DescStata'!$K$10:$K$10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'Unilateral landing DescStata'!$K$14:$K$14</c:f>
                <c:numCache>
                  <c:formatCode>General</c:formatCode>
                  <c:ptCount val="1"/>
                  <c:pt idx="0">
                    <c:v>3.2666666666666657</c:v>
                  </c:pt>
                </c:numCache>
              </c:numRef>
            </c:minus>
          </c:errBars>
          <c:val>
            <c:numRef>
              <c:f>'Unilateral landing DescStata'!$K$15</c:f>
              <c:numCache>
                <c:formatCode>General</c:formatCode>
                <c:ptCount val="1"/>
                <c:pt idx="0">
                  <c:v>-8.3666666666666671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9-43A9-A49B-61CEB6CEC4E4}"/>
            </c:ext>
          </c:extLst>
        </c:ser>
        <c:ser>
          <c:idx val="1"/>
          <c:order val="1"/>
          <c:invertIfNegative val="0"/>
          <c:val>
            <c:numRef>
              <c:f>'Unilateral landing DescStata'!$K$16</c:f>
              <c:numCache>
                <c:formatCode>General</c:formatCode>
                <c:ptCount val="1"/>
                <c:pt idx="0">
                  <c:v>1.9000000000000004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9-43A9-A49B-61CEB6CEC4E4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'Unilateral landing DescStata'!$K$18:$K$18</c:f>
                <c:numCache>
                  <c:formatCode>General</c:formatCode>
                  <c:ptCount val="1"/>
                  <c:pt idx="0">
                    <c:v>3.5583333333333336</c:v>
                  </c:pt>
                </c:numCache>
              </c:numRef>
            </c:plus>
          </c:errBars>
          <c:val>
            <c:numRef>
              <c:f>'Unilateral landing DescStata'!$K$17</c:f>
              <c:numCache>
                <c:formatCode>General</c:formatCode>
                <c:ptCount val="1"/>
                <c:pt idx="0">
                  <c:v>1.6583333333333332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9-43A9-A49B-61CEB6CE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355264"/>
        <c:axId val="627359528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'Unilateral landing DescStata'!$K$13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'Unilateral landing DescStata'!$L$13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D9-43A9-A49B-61CEB6CEC4E4}"/>
            </c:ext>
          </c:extLst>
        </c:ser>
        <c:ser>
          <c:idx val="4"/>
          <c:order val="4"/>
          <c:spPr>
            <a:ln w="19050">
              <a:noFill/>
            </a:ln>
            <a:effectLst/>
          </c:spPr>
          <c:marker>
            <c:symbol val="star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'Unilateral landing DescStata'!$K$19</c:f>
              <c:numCache>
                <c:formatCode>General</c:formatCode>
                <c:ptCount val="1"/>
                <c:pt idx="0">
                  <c:v>4.6333333333333329</c:v>
                </c:pt>
              </c:numCache>
            </c:numRef>
          </c:xVal>
          <c:yVal>
            <c:numRef>
              <c:f>'Unilateral landing DescStata'!$L$19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D9-43A9-A49B-61CEB6CE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3384"/>
        <c:axId val="634015680"/>
      </c:scatterChart>
      <c:catAx>
        <c:axId val="62735526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627359528"/>
        <c:crossesAt val="0"/>
        <c:auto val="1"/>
        <c:lblAlgn val="ctr"/>
        <c:lblOffset val="100"/>
        <c:noMultiLvlLbl val="0"/>
      </c:catAx>
      <c:valAx>
        <c:axId val="62735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27355264"/>
        <c:crosses val="autoZero"/>
        <c:crossBetween val="between"/>
      </c:valAx>
      <c:valAx>
        <c:axId val="634015680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34013384"/>
        <c:crosses val="max"/>
        <c:crossBetween val="midCat"/>
        <c:majorUnit val="1"/>
      </c:valAx>
      <c:valAx>
        <c:axId val="63401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015680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DescStata'!$J$21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'Unilateral landing DescStata'!$K$21:$K$23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-7.1348585908090509</c:v>
                </c:pt>
                <c:pt idx="2">
                  <c:v>-4.712158953050599</c:v>
                </c:pt>
              </c:numCache>
            </c:numRef>
          </c:xVal>
          <c:yVal>
            <c:numRef>
              <c:f>'Unilateral landing DescStata'!$L$21:$L$23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0-4866-B731-93E90A74FBFD}"/>
            </c:ext>
          </c:extLst>
        </c:ser>
        <c:ser>
          <c:idx val="1"/>
          <c:order val="1"/>
          <c:tx>
            <c:strRef>
              <c:f>'Unilateral landing DescStata'!$J$24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DescStata'!$K$24:$K$26</c:f>
              <c:numCache>
                <c:formatCode>0.000</c:formatCode>
                <c:ptCount val="3"/>
                <c:pt idx="0">
                  <c:v>-6.4666666666666668</c:v>
                </c:pt>
                <c:pt idx="1">
                  <c:v>-9.7999999999999989</c:v>
                </c:pt>
                <c:pt idx="2">
                  <c:v>-5.166666666666667</c:v>
                </c:pt>
              </c:numCache>
            </c:numRef>
          </c:xVal>
          <c:yVal>
            <c:numRef>
              <c:f>'Unilateral landing DescStata'!$L$24:$L$26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0-4866-B731-93E90A74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0928"/>
        <c:axId val="634018304"/>
      </c:scatterChart>
      <c:valAx>
        <c:axId val="634020928"/>
        <c:scaling>
          <c:orientation val="minMax"/>
          <c:min val="-10.6"/>
        </c:scaling>
        <c:delete val="0"/>
        <c:axPos val="b"/>
        <c:numFmt formatCode="0.000" sourceLinked="1"/>
        <c:majorTickMark val="out"/>
        <c:minorTickMark val="none"/>
        <c:tickLblPos val="nextTo"/>
        <c:crossAx val="634018304"/>
        <c:crosses val="autoZero"/>
        <c:crossBetween val="midCat"/>
      </c:valAx>
      <c:valAx>
        <c:axId val="63401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3402092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'Unilateral landing DescStata'!$J$27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'Unilateral landing DescStata'!$K$27:$K$29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-14.995184337322453</c:v>
                </c:pt>
                <c:pt idx="2">
                  <c:v>3.1481667934628028</c:v>
                </c:pt>
              </c:numCache>
            </c:numRef>
          </c:xVal>
          <c:yVal>
            <c:numRef>
              <c:f>'Unilateral landing DescStata'!$L$27:$L$29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64-44FF-B345-039C3A0CE268}"/>
            </c:ext>
          </c:extLst>
        </c:ser>
        <c:ser>
          <c:idx val="1"/>
          <c:order val="1"/>
          <c:tx>
            <c:strRef>
              <c:f>'Unilateral landing DescStata'!$J$30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'Unilateral landing DescStata'!$K$30:$K$32</c:f>
              <c:numCache>
                <c:formatCode>0.000</c:formatCode>
                <c:ptCount val="3"/>
                <c:pt idx="0">
                  <c:v>-5.9235087719298249</c:v>
                </c:pt>
                <c:pt idx="1">
                  <c:v>-11.633333333333333</c:v>
                </c:pt>
                <c:pt idx="2">
                  <c:v>-6.5</c:v>
                </c:pt>
              </c:numCache>
            </c:numRef>
          </c:xVal>
          <c:yVal>
            <c:numRef>
              <c:f>'Unilateral landing DescStata'!$L$30:$L$32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64-44FF-B345-039C3A0C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1744"/>
        <c:axId val="634012728"/>
      </c:scatterChart>
      <c:valAx>
        <c:axId val="634011744"/>
        <c:scaling>
          <c:orientation val="minMax"/>
          <c:min val="-18"/>
        </c:scaling>
        <c:delete val="0"/>
        <c:axPos val="b"/>
        <c:numFmt formatCode="0.000" sourceLinked="1"/>
        <c:majorTickMark val="out"/>
        <c:minorTickMark val="none"/>
        <c:tickLblPos val="nextTo"/>
        <c:crossAx val="634012728"/>
        <c:crosses val="autoZero"/>
        <c:crossBetween val="midCat"/>
      </c:valAx>
      <c:valAx>
        <c:axId val="63401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3401174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'Unilateral landing DescStata'!$H$1:$H$38</c:f>
              <c:numCache>
                <c:formatCode>General</c:formatCode>
                <c:ptCount val="38"/>
                <c:pt idx="1">
                  <c:v>-11.633333333333333</c:v>
                </c:pt>
                <c:pt idx="2">
                  <c:v>-11.6</c:v>
                </c:pt>
                <c:pt idx="3">
                  <c:v>-10.899999999999999</c:v>
                </c:pt>
                <c:pt idx="4">
                  <c:v>-9.7999999999999989</c:v>
                </c:pt>
                <c:pt idx="5">
                  <c:v>-9.5333333333333332</c:v>
                </c:pt>
                <c:pt idx="6">
                  <c:v>-8.8933333333333326</c:v>
                </c:pt>
                <c:pt idx="7">
                  <c:v>-8.6666666666666661</c:v>
                </c:pt>
                <c:pt idx="8">
                  <c:v>-8.6333333333333346</c:v>
                </c:pt>
                <c:pt idx="9">
                  <c:v>-8.4</c:v>
                </c:pt>
                <c:pt idx="10">
                  <c:v>-8.4</c:v>
                </c:pt>
                <c:pt idx="11">
                  <c:v>-8.2666666666666675</c:v>
                </c:pt>
                <c:pt idx="12">
                  <c:v>-7.7666666666666657</c:v>
                </c:pt>
                <c:pt idx="13">
                  <c:v>-7.3666666666666663</c:v>
                </c:pt>
                <c:pt idx="14">
                  <c:v>-7.333333333333333</c:v>
                </c:pt>
                <c:pt idx="15">
                  <c:v>-7.2</c:v>
                </c:pt>
                <c:pt idx="16">
                  <c:v>-6.8</c:v>
                </c:pt>
                <c:pt idx="17">
                  <c:v>-6.666666666666667</c:v>
                </c:pt>
                <c:pt idx="18">
                  <c:v>-6.5666666666666664</c:v>
                </c:pt>
                <c:pt idx="19">
                  <c:v>-6.5</c:v>
                </c:pt>
                <c:pt idx="20">
                  <c:v>-6.4333333333333336</c:v>
                </c:pt>
                <c:pt idx="21">
                  <c:v>-5.9666666666666659</c:v>
                </c:pt>
                <c:pt idx="22">
                  <c:v>-5.8666666666666671</c:v>
                </c:pt>
                <c:pt idx="23">
                  <c:v>-5.8</c:v>
                </c:pt>
                <c:pt idx="24">
                  <c:v>-5.7333333333333334</c:v>
                </c:pt>
                <c:pt idx="25">
                  <c:v>-5.166666666666667</c:v>
                </c:pt>
                <c:pt idx="26">
                  <c:v>-4.9666666666666668</c:v>
                </c:pt>
                <c:pt idx="27">
                  <c:v>-4.833333333333333</c:v>
                </c:pt>
                <c:pt idx="28">
                  <c:v>-4.833333333333333</c:v>
                </c:pt>
                <c:pt idx="29">
                  <c:v>-4.8</c:v>
                </c:pt>
                <c:pt idx="30">
                  <c:v>-4.666666666666667</c:v>
                </c:pt>
                <c:pt idx="31">
                  <c:v>-4.2333333333333334</c:v>
                </c:pt>
                <c:pt idx="32">
                  <c:v>-4.2</c:v>
                </c:pt>
                <c:pt idx="33">
                  <c:v>-2.9333333333333336</c:v>
                </c:pt>
                <c:pt idx="34">
                  <c:v>-2.6666666666666665</c:v>
                </c:pt>
                <c:pt idx="35">
                  <c:v>-2.6666666666666665</c:v>
                </c:pt>
                <c:pt idx="36">
                  <c:v>2.8333333333333335</c:v>
                </c:pt>
                <c:pt idx="37">
                  <c:v>4.1333333333333337</c:v>
                </c:pt>
              </c:numCache>
            </c:numRef>
          </c:xVal>
          <c:yVal>
            <c:numRef>
              <c:f>'Unilateral landing DescStata'!$F$1:$F$38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96-4D5D-98B7-0C690147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3712"/>
        <c:axId val="634015024"/>
      </c:scatterChart>
      <c:valAx>
        <c:axId val="634013712"/>
        <c:scaling>
          <c:orientation val="minMax"/>
          <c:min val="-13.3"/>
        </c:scaling>
        <c:delete val="0"/>
        <c:axPos val="b"/>
        <c:numFmt formatCode="General" sourceLinked="1"/>
        <c:majorTickMark val="out"/>
        <c:minorTickMark val="none"/>
        <c:tickLblPos val="nextTo"/>
        <c:crossAx val="634015024"/>
        <c:crossesAt val="-3"/>
        <c:crossBetween val="midCat"/>
      </c:valAx>
      <c:valAx>
        <c:axId val="634015024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3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'DESCR DescStat'!$J$27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'DESCR DescStat'!$K$27:$K$29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-22.647432237562178</c:v>
                </c:pt>
                <c:pt idx="2">
                  <c:v>9.9302392551060379</c:v>
                </c:pt>
              </c:numCache>
            </c:numRef>
          </c:xVal>
          <c:yVal>
            <c:numRef>
              <c:f>'DESCR DescStat'!$L$27:$L$29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B3-4E20-B8D0-FBEEFC9CD82A}"/>
            </c:ext>
          </c:extLst>
        </c:ser>
        <c:ser>
          <c:idx val="1"/>
          <c:order val="1"/>
          <c:tx>
            <c:strRef>
              <c:f>'DESCR DescStat'!$J$30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'DESCR DescStat'!$K$30:$K$32</c:f>
              <c:numCache>
                <c:formatCode>0.000</c:formatCode>
                <c:ptCount val="3"/>
                <c:pt idx="0">
                  <c:v>-6.3585964912280701</c:v>
                </c:pt>
                <c:pt idx="1">
                  <c:v>-19.866666666666667</c:v>
                </c:pt>
                <c:pt idx="2">
                  <c:v>-7.2666666666666666</c:v>
                </c:pt>
              </c:numCache>
            </c:numRef>
          </c:xVal>
          <c:yVal>
            <c:numRef>
              <c:f>'DESCR DescStat'!$L$30:$L$32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5B3-4E20-B8D0-FBEEFC9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60728"/>
        <c:axId val="649861384"/>
      </c:scatterChart>
      <c:valAx>
        <c:axId val="649860728"/>
        <c:scaling>
          <c:orientation val="minMax"/>
          <c:min val="-28.1"/>
        </c:scaling>
        <c:delete val="0"/>
        <c:axPos val="b"/>
        <c:numFmt formatCode="0.000" sourceLinked="1"/>
        <c:majorTickMark val="out"/>
        <c:minorTickMark val="none"/>
        <c:tickLblPos val="nextTo"/>
        <c:crossAx val="649861384"/>
        <c:crosses val="autoZero"/>
        <c:crossBetween val="midCat"/>
      </c:valAx>
      <c:valAx>
        <c:axId val="64986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4986072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Plot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'DESCR DescStat'!$H$1:$H$38</c:f>
              <c:numCache>
                <c:formatCode>General</c:formatCode>
                <c:ptCount val="38"/>
                <c:pt idx="1">
                  <c:v>-19.866666666666667</c:v>
                </c:pt>
                <c:pt idx="2">
                  <c:v>-18.700000000000003</c:v>
                </c:pt>
                <c:pt idx="3">
                  <c:v>-17.666666666666668</c:v>
                </c:pt>
                <c:pt idx="4">
                  <c:v>-14.6</c:v>
                </c:pt>
                <c:pt idx="5">
                  <c:v>-12.233333333333334</c:v>
                </c:pt>
                <c:pt idx="6">
                  <c:v>-11.266666666666666</c:v>
                </c:pt>
                <c:pt idx="7">
                  <c:v>-11.166666666666666</c:v>
                </c:pt>
                <c:pt idx="8">
                  <c:v>-10.9</c:v>
                </c:pt>
                <c:pt idx="9">
                  <c:v>-10.766666666666666</c:v>
                </c:pt>
                <c:pt idx="10">
                  <c:v>-10.726666666666667</c:v>
                </c:pt>
                <c:pt idx="11">
                  <c:v>-9.8333333333333339</c:v>
                </c:pt>
                <c:pt idx="12">
                  <c:v>-9.6</c:v>
                </c:pt>
                <c:pt idx="13">
                  <c:v>-9.5666666666666664</c:v>
                </c:pt>
                <c:pt idx="14">
                  <c:v>-8.5666666666666647</c:v>
                </c:pt>
                <c:pt idx="15">
                  <c:v>-8.5333333333333332</c:v>
                </c:pt>
                <c:pt idx="16">
                  <c:v>-8.4999999999999982</c:v>
                </c:pt>
                <c:pt idx="17">
                  <c:v>-8.1666666666666661</c:v>
                </c:pt>
                <c:pt idx="18">
                  <c:v>-7.3666666666666671</c:v>
                </c:pt>
                <c:pt idx="19">
                  <c:v>-7.2666666666666666</c:v>
                </c:pt>
                <c:pt idx="20">
                  <c:v>-6.9666666666666659</c:v>
                </c:pt>
                <c:pt idx="21">
                  <c:v>-6.9333333333333327</c:v>
                </c:pt>
                <c:pt idx="22">
                  <c:v>-6.2</c:v>
                </c:pt>
                <c:pt idx="23">
                  <c:v>-6.0999999999999988</c:v>
                </c:pt>
                <c:pt idx="24">
                  <c:v>-5.9666666666666659</c:v>
                </c:pt>
                <c:pt idx="25">
                  <c:v>-5.5</c:v>
                </c:pt>
                <c:pt idx="26">
                  <c:v>-4.8666666666666671</c:v>
                </c:pt>
                <c:pt idx="27">
                  <c:v>-4.7</c:v>
                </c:pt>
                <c:pt idx="28">
                  <c:v>-4.4333333333333336</c:v>
                </c:pt>
                <c:pt idx="29">
                  <c:v>-2.5666666666666669</c:v>
                </c:pt>
                <c:pt idx="30">
                  <c:v>-2.0333333333333332</c:v>
                </c:pt>
                <c:pt idx="31">
                  <c:v>-1.0999999999999999</c:v>
                </c:pt>
                <c:pt idx="32">
                  <c:v>2.9</c:v>
                </c:pt>
                <c:pt idx="33">
                  <c:v>3.3666666666666667</c:v>
                </c:pt>
                <c:pt idx="34">
                  <c:v>3.6666666666666665</c:v>
                </c:pt>
                <c:pt idx="35">
                  <c:v>3.6999999999999997</c:v>
                </c:pt>
                <c:pt idx="36">
                  <c:v>5.7333333333333334</c:v>
                </c:pt>
                <c:pt idx="37">
                  <c:v>5.7666666666666657</c:v>
                </c:pt>
              </c:numCache>
            </c:numRef>
          </c:xVal>
          <c:yVal>
            <c:numRef>
              <c:f>'DESCR DescStat'!$F$1:$F$38</c:f>
              <c:numCache>
                <c:formatCode>General</c:formatCode>
                <c:ptCount val="38"/>
                <c:pt idx="1">
                  <c:v>-2.2215195883378365</c:v>
                </c:pt>
                <c:pt idx="2">
                  <c:v>-1.7568266072519048</c:v>
                </c:pt>
                <c:pt idx="3">
                  <c:v>-1.5079045914405589</c:v>
                </c:pt>
                <c:pt idx="4">
                  <c:v>-1.3279018717558333</c:v>
                </c:pt>
                <c:pt idx="5">
                  <c:v>-1.1829168441908862</c:v>
                </c:pt>
                <c:pt idx="6">
                  <c:v>-1.0592769170824312</c:v>
                </c:pt>
                <c:pt idx="7">
                  <c:v>-0.95001375566931956</c:v>
                </c:pt>
                <c:pt idx="8">
                  <c:v>-0.85105852683856875</c:v>
                </c:pt>
                <c:pt idx="9">
                  <c:v>-0.75980957100991864</c:v>
                </c:pt>
                <c:pt idx="10">
                  <c:v>-0.67448975019608193</c:v>
                </c:pt>
                <c:pt idx="11">
                  <c:v>-0.59382139299351966</c:v>
                </c:pt>
                <c:pt idx="12">
                  <c:v>-0.51684672765260964</c:v>
                </c:pt>
                <c:pt idx="13">
                  <c:v>-0.44282165759651121</c:v>
                </c:pt>
                <c:pt idx="14">
                  <c:v>-0.37114932320228394</c:v>
                </c:pt>
                <c:pt idx="15">
                  <c:v>-0.30133652085957613</c:v>
                </c:pt>
                <c:pt idx="16">
                  <c:v>-0.23296385427137245</c:v>
                </c:pt>
                <c:pt idx="17">
                  <c:v>-0.1656644138685531</c:v>
                </c:pt>
                <c:pt idx="18">
                  <c:v>-9.9107859822899172E-2</c:v>
                </c:pt>
                <c:pt idx="19">
                  <c:v>-3.2987932937402764E-2</c:v>
                </c:pt>
                <c:pt idx="20">
                  <c:v>3.2987932937402903E-2</c:v>
                </c:pt>
                <c:pt idx="21">
                  <c:v>9.9107859822899172E-2</c:v>
                </c:pt>
                <c:pt idx="22">
                  <c:v>0.1656644138685531</c:v>
                </c:pt>
                <c:pt idx="23">
                  <c:v>0.23296385427137234</c:v>
                </c:pt>
                <c:pt idx="24">
                  <c:v>0.3013365208595763</c:v>
                </c:pt>
                <c:pt idx="25">
                  <c:v>0.37114932320228394</c:v>
                </c:pt>
                <c:pt idx="26">
                  <c:v>0.44282165759651121</c:v>
                </c:pt>
                <c:pt idx="27">
                  <c:v>0.51684672765260953</c:v>
                </c:pt>
                <c:pt idx="28">
                  <c:v>0.59382139299351988</c:v>
                </c:pt>
                <c:pt idx="29">
                  <c:v>0.67448975019608193</c:v>
                </c:pt>
                <c:pt idx="30">
                  <c:v>0.75980957100991864</c:v>
                </c:pt>
                <c:pt idx="31">
                  <c:v>0.85105852683856942</c:v>
                </c:pt>
                <c:pt idx="32">
                  <c:v>0.95001375566931956</c:v>
                </c:pt>
                <c:pt idx="33">
                  <c:v>1.0592769170824312</c:v>
                </c:pt>
                <c:pt idx="34">
                  <c:v>1.1829168441908862</c:v>
                </c:pt>
                <c:pt idx="35">
                  <c:v>1.3279018717558344</c:v>
                </c:pt>
                <c:pt idx="36">
                  <c:v>1.5079045914405591</c:v>
                </c:pt>
                <c:pt idx="37">
                  <c:v>1.7568266072519048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2F-425F-BCA3-F84F0FF7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70568"/>
        <c:axId val="649874176"/>
      </c:scatterChart>
      <c:valAx>
        <c:axId val="649870568"/>
        <c:scaling>
          <c:orientation val="minMax"/>
          <c:min val="-23.1"/>
        </c:scaling>
        <c:delete val="0"/>
        <c:axPos val="b"/>
        <c:numFmt formatCode="General" sourceLinked="1"/>
        <c:majorTickMark val="out"/>
        <c:minorTickMark val="none"/>
        <c:tickLblPos val="nextTo"/>
        <c:crossAx val="649874176"/>
        <c:crossesAt val="-3"/>
        <c:crossBetween val="midCat"/>
      </c:valAx>
      <c:valAx>
        <c:axId val="649874176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70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'DESCR DescStata'!$J$33:$J$40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-6.8</c:v>
                </c:pt>
                <c:pt idx="2">
                  <c:v>-1.5999999999999996</c:v>
                </c:pt>
                <c:pt idx="3">
                  <c:v>3.6000000000000005</c:v>
                </c:pt>
                <c:pt idx="4">
                  <c:v>8.8000000000000007</c:v>
                </c:pt>
                <c:pt idx="5">
                  <c:v>14</c:v>
                </c:pt>
                <c:pt idx="6">
                  <c:v>19.2</c:v>
                </c:pt>
                <c:pt idx="7">
                  <c:v>24.4</c:v>
                </c:pt>
              </c:numCache>
            </c:numRef>
          </c:cat>
          <c:val>
            <c:numRef>
              <c:f>'DESCR DescStata'!$K$33:$K$40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5-4567-845B-5C5F31F4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3209184"/>
        <c:axId val="6532108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'DESCR DescStata'!$J$33:$J$40</c:f>
              <c:numCache>
                <c:formatCode>General</c:formatCode>
                <c:ptCount val="8"/>
                <c:pt idx="0">
                  <c:v>-12</c:v>
                </c:pt>
                <c:pt idx="1">
                  <c:v>-6.8</c:v>
                </c:pt>
                <c:pt idx="2">
                  <c:v>-1.5999999999999996</c:v>
                </c:pt>
                <c:pt idx="3">
                  <c:v>3.6000000000000005</c:v>
                </c:pt>
                <c:pt idx="4">
                  <c:v>8.8000000000000007</c:v>
                </c:pt>
                <c:pt idx="5">
                  <c:v>14</c:v>
                </c:pt>
                <c:pt idx="6">
                  <c:v>19.2</c:v>
                </c:pt>
                <c:pt idx="7">
                  <c:v>24.4</c:v>
                </c:pt>
              </c:numCache>
            </c:numRef>
          </c:cat>
          <c:val>
            <c:numRef>
              <c:f>'DESCR DescStata'!$L$33:$L$40</c:f>
              <c:numCache>
                <c:formatCode>General</c:formatCode>
                <c:ptCount val="8"/>
                <c:pt idx="0">
                  <c:v>0.42131289161783997</c:v>
                </c:pt>
                <c:pt idx="1">
                  <c:v>1.5922181249948115</c:v>
                </c:pt>
                <c:pt idx="2">
                  <c:v>4.1311864425676985</c:v>
                </c:pt>
                <c:pt idx="3">
                  <c:v>7.3590447529614558</c:v>
                </c:pt>
                <c:pt idx="4">
                  <c:v>9</c:v>
                </c:pt>
                <c:pt idx="5">
                  <c:v>7.5568011021066566</c:v>
                </c:pt>
                <c:pt idx="6">
                  <c:v>4.3562007998778345</c:v>
                </c:pt>
                <c:pt idx="7">
                  <c:v>1.724059325650537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E5-4567-845B-5C5F31F4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18192"/>
        <c:axId val="652112616"/>
      </c:lineChart>
      <c:catAx>
        <c:axId val="6532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53210824"/>
        <c:crosses val="autoZero"/>
        <c:auto val="0"/>
        <c:lblAlgn val="ctr"/>
        <c:lblOffset val="100"/>
        <c:noMultiLvlLbl val="0"/>
      </c:catAx>
      <c:valAx>
        <c:axId val="65321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209184"/>
        <c:crosses val="autoZero"/>
        <c:crossBetween val="between"/>
      </c:valAx>
      <c:valAx>
        <c:axId val="65211261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52118192"/>
        <c:crosses val="max"/>
        <c:crossBetween val="between"/>
      </c:valAx>
      <c:catAx>
        <c:axId val="65211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1126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0555555555555556"/>
          <c:y val="0.10185185185185185"/>
          <c:w val="0.89444444444444449"/>
          <c:h val="0.7962962962962962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90-424C-8A35-2D653E6C5985}"/>
              </c:ext>
            </c:extLst>
          </c:dPt>
          <c:errBars>
            <c:errBarType val="both"/>
            <c:errValType val="cust"/>
            <c:noEndCap val="1"/>
            <c:plus>
              <c:numRef>
                <c:f>'DESCR DescStata'!$K$10:$K$10</c:f>
                <c:numCache>
                  <c:formatCode>General</c:formatCode>
                  <c:ptCount val="1"/>
                </c:numCache>
              </c:numRef>
            </c:plus>
            <c:minus>
              <c:numRef>
                <c:f>'DESCR DescStata'!$K$14:$K$14</c:f>
                <c:numCache>
                  <c:formatCode>General</c:formatCode>
                  <c:ptCount val="1"/>
                  <c:pt idx="0">
                    <c:v>10.391666666666666</c:v>
                  </c:pt>
                </c:numCache>
              </c:numRef>
            </c:minus>
          </c:errBars>
          <c:val>
            <c:numRef>
              <c:f>'DESCR DescStata'!$K$15</c:f>
              <c:numCache>
                <c:formatCode>General</c:formatCode>
                <c:ptCount val="1"/>
                <c:pt idx="0">
                  <c:v>-1.1416666666666666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0-424C-8A35-2D653E6C5985}"/>
            </c:ext>
          </c:extLst>
        </c:ser>
        <c:ser>
          <c:idx val="1"/>
          <c:order val="1"/>
          <c:invertIfNegative val="0"/>
          <c:val>
            <c:numRef>
              <c:f>'DESCR DescStata'!$K$16</c:f>
              <c:numCache>
                <c:formatCode>General</c:formatCode>
                <c:ptCount val="1"/>
                <c:pt idx="0">
                  <c:v>8.2916666666666661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24C-8A35-2D653E6C5985}"/>
            </c:ext>
          </c:extLst>
        </c:ser>
        <c:ser>
          <c:idx val="2"/>
          <c:order val="2"/>
          <c:invertIfNegative val="0"/>
          <c:errBars>
            <c:errBarType val="plus"/>
            <c:errValType val="cust"/>
            <c:noEndCap val="1"/>
            <c:plus>
              <c:numRef>
                <c:f>'DESCR DescStata'!$K$18:$K$18</c:f>
                <c:numCache>
                  <c:formatCode>General</c:formatCode>
                  <c:ptCount val="1"/>
                  <c:pt idx="0">
                    <c:v>6.7416666666666671</c:v>
                  </c:pt>
                </c:numCache>
              </c:numRef>
            </c:plus>
          </c:errBars>
          <c:val>
            <c:numRef>
              <c:f>'DESCR DescStata'!$K$17</c:f>
              <c:numCache>
                <c:formatCode>General</c:formatCode>
                <c:ptCount val="1"/>
                <c:pt idx="0">
                  <c:v>5.9750000000000005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0-424C-8A35-2D653E6C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25408"/>
        <c:axId val="652124752"/>
      </c:barChart>
      <c:scatterChart>
        <c:scatterStyle val="lineMarker"/>
        <c:varyColors val="0"/>
        <c:ser>
          <c:idx val="3"/>
          <c:order val="3"/>
          <c:spPr>
            <a:ln w="19050">
              <a:noFill/>
            </a:ln>
          </c:spPr>
          <c:xVal>
            <c:numRef>
              <c:f>'DESCR DescStata'!$K$13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'DESCR DescStata'!$L$13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90-424C-8A35-2D653E6C5985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'DESCR DescStata'!$K$19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xVal>
          <c:yVal>
            <c:numRef>
              <c:f>'DESCR DescStata'!$L$19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90-424C-8A35-2D653E6C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84344"/>
        <c:axId val="649878768"/>
      </c:scatterChart>
      <c:catAx>
        <c:axId val="6521254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/>
                  <a:t>BoxPlot</a:t>
                </a:r>
              </a:p>
            </c:rich>
          </c:tx>
          <c:overlay val="0"/>
        </c:title>
        <c:majorTickMark val="out"/>
        <c:minorTickMark val="none"/>
        <c:tickLblPos val="none"/>
        <c:crossAx val="652124752"/>
        <c:crossesAt val="0"/>
        <c:auto val="1"/>
        <c:lblAlgn val="ctr"/>
        <c:lblOffset val="100"/>
        <c:noMultiLvlLbl val="0"/>
      </c:catAx>
      <c:valAx>
        <c:axId val="65212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52125408"/>
        <c:crosses val="autoZero"/>
        <c:crossBetween val="between"/>
      </c:valAx>
      <c:valAx>
        <c:axId val="649878768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49884344"/>
        <c:crosses val="max"/>
        <c:crossBetween val="midCat"/>
        <c:majorUnit val="1"/>
      </c:valAx>
      <c:valAx>
        <c:axId val="649884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87876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Confidence Intervals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700043744531933"/>
          <c:y val="0.12962962962962962"/>
          <c:w val="0.75244400699912506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'DESCR DescStata'!$J$21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'DESCR DescStata'!$K$21:$K$23</c:f>
              <c:numCache>
                <c:formatCode>0.000</c:formatCode>
                <c:ptCount val="3"/>
                <c:pt idx="0">
                  <c:v>6.3833333333333337</c:v>
                </c:pt>
                <c:pt idx="1">
                  <c:v>3.5962029377557436</c:v>
                </c:pt>
                <c:pt idx="2">
                  <c:v>9.1704637289109243</c:v>
                </c:pt>
              </c:numCache>
            </c:numRef>
          </c:xVal>
          <c:yVal>
            <c:numRef>
              <c:f>'DESCR DescStata'!$L$21:$L$23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E-41F4-99CD-45706057477A}"/>
            </c:ext>
          </c:extLst>
        </c:ser>
        <c:ser>
          <c:idx val="1"/>
          <c:order val="1"/>
          <c:tx>
            <c:strRef>
              <c:f>'DESCR DescStata'!$J$24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circle"/>
            <c:size val="3"/>
          </c:marker>
          <c:xVal>
            <c:numRef>
              <c:f>'DESCR DescStata'!$K$24:$K$26</c:f>
              <c:numCache>
                <c:formatCode>0.000</c:formatCode>
                <c:ptCount val="3"/>
                <c:pt idx="0">
                  <c:v>7.1499999999999995</c:v>
                </c:pt>
                <c:pt idx="1">
                  <c:v>8.5666666666666682</c:v>
                </c:pt>
                <c:pt idx="2">
                  <c:v>-2.1333333333333333</c:v>
                </c:pt>
              </c:numCache>
            </c:numRef>
          </c:xVal>
          <c:yVal>
            <c:numRef>
              <c:f>'DESCR DescStata'!$L$24:$L$26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E-41F4-99CD-45706057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77784"/>
        <c:axId val="649883688"/>
      </c:scatterChart>
      <c:valAx>
        <c:axId val="649877784"/>
        <c:scaling>
          <c:orientation val="minMax"/>
          <c:min val="-4"/>
        </c:scaling>
        <c:delete val="0"/>
        <c:axPos val="b"/>
        <c:numFmt formatCode="0" sourceLinked="0"/>
        <c:majorTickMark val="out"/>
        <c:minorTickMark val="none"/>
        <c:tickLblPos val="nextTo"/>
        <c:crossAx val="649883688"/>
        <c:crosses val="autoZero"/>
        <c:crossBetween val="midCat"/>
      </c:valAx>
      <c:valAx>
        <c:axId val="64988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4987778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Tolerance Limits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175087489063868"/>
          <c:y val="0.12962962962962962"/>
          <c:w val="0.66769356955380577"/>
          <c:h val="0.87037037037037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'DESCR DescStata'!$J$27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'DESCR DescStata'!$K$27:$K$29</c:f>
              <c:numCache>
                <c:formatCode>0.000</c:formatCode>
                <c:ptCount val="3"/>
                <c:pt idx="0">
                  <c:v>6.3833333333333337</c:v>
                </c:pt>
                <c:pt idx="1">
                  <c:v>-14.489202669947453</c:v>
                </c:pt>
                <c:pt idx="2">
                  <c:v>27.255869336614118</c:v>
                </c:pt>
              </c:numCache>
            </c:numRef>
          </c:xVal>
          <c:yVal>
            <c:numRef>
              <c:f>'DESCR DescStata'!$L$27:$L$29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4F-4100-B90D-822E24C7BCBC}"/>
            </c:ext>
          </c:extLst>
        </c:ser>
        <c:ser>
          <c:idx val="1"/>
          <c:order val="1"/>
          <c:tx>
            <c:strRef>
              <c:f>'DESCR DescStata'!$J$30</c:f>
              <c:strCache>
                <c:ptCount val="1"/>
                <c:pt idx="0">
                  <c:v>Nonparametric</c:v>
                </c:pt>
              </c:strCache>
            </c:strRef>
          </c:tx>
          <c:marker>
            <c:symbol val="circle"/>
            <c:size val="3"/>
          </c:marker>
          <c:xVal>
            <c:numRef>
              <c:f>'DESCR DescStata'!$K$30:$K$32</c:f>
              <c:numCache>
                <c:formatCode>0.000</c:formatCode>
                <c:ptCount val="3"/>
                <c:pt idx="0">
                  <c:v>6.3833333333333337</c:v>
                </c:pt>
                <c:pt idx="1">
                  <c:v>-11.533333333333333</c:v>
                </c:pt>
                <c:pt idx="2">
                  <c:v>4.9666666666666659</c:v>
                </c:pt>
              </c:numCache>
            </c:numRef>
          </c:xVal>
          <c:yVal>
            <c:numRef>
              <c:f>'DESCR DescStata'!$L$30:$L$32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4F-4100-B90D-822E24C7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80080"/>
        <c:axId val="649875816"/>
      </c:scatterChart>
      <c:valAx>
        <c:axId val="649880080"/>
        <c:scaling>
          <c:orientation val="minMax"/>
          <c:min val="-21.4"/>
        </c:scaling>
        <c:delete val="0"/>
        <c:axPos val="b"/>
        <c:numFmt formatCode="0" sourceLinked="0"/>
        <c:majorTickMark val="out"/>
        <c:minorTickMark val="none"/>
        <c:tickLblPos val="nextTo"/>
        <c:crossAx val="649875816"/>
        <c:crosses val="autoZero"/>
        <c:crossBetween val="midCat"/>
      </c:valAx>
      <c:valAx>
        <c:axId val="64987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64988008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121596</xdr:colOff>
      <xdr:row>0</xdr:row>
      <xdr:rowOff>344522</xdr:rowOff>
    </xdr:from>
    <xdr:to>
      <xdr:col>17</xdr:col>
      <xdr:colOff>183205</xdr:colOff>
      <xdr:row>14</xdr:row>
      <xdr:rowOff>15403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1A49-00DE-5F12-C244-E6B73B2E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76200</xdr:rowOff>
    </xdr:from>
    <xdr:to>
      <xdr:col>12</xdr:col>
      <xdr:colOff>304800</xdr:colOff>
      <xdr:row>20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6BE3C84-A11B-6AC7-9432-CEE7A884E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114300</xdr:rowOff>
    </xdr:from>
    <xdr:to>
      <xdr:col>12</xdr:col>
      <xdr:colOff>304800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C158B-9FC1-495E-3C07-045BC89B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152400</xdr:rowOff>
    </xdr:from>
    <xdr:to>
      <xdr:col>12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93D4F-E57B-6CF2-4BD5-6197C935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A93F4-972C-94AD-9786-490F7DFF3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48DD-E9B7-35B9-FA34-0360375FD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76200</xdr:rowOff>
    </xdr:from>
    <xdr:to>
      <xdr:col>12</xdr:col>
      <xdr:colOff>304800</xdr:colOff>
      <xdr:row>20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1128C5-02A7-AF26-0C40-3C490211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114300</xdr:rowOff>
    </xdr:from>
    <xdr:to>
      <xdr:col>12</xdr:col>
      <xdr:colOff>304800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C39DB-070B-51A4-EE53-74A868A2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152400</xdr:rowOff>
    </xdr:from>
    <xdr:to>
      <xdr:col>12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57FDC-8F55-0B13-E4E7-6F8F52F13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CBEE03-63C8-68F5-8041-ABEE8880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3C705-D926-A326-7D98-E936C4344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66675</xdr:rowOff>
    </xdr:from>
    <xdr:to>
      <xdr:col>12</xdr:col>
      <xdr:colOff>304800</xdr:colOff>
      <xdr:row>20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45C117-2B85-19EA-A477-277C019C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104775</xdr:rowOff>
    </xdr:from>
    <xdr:to>
      <xdr:col>12</xdr:col>
      <xdr:colOff>304800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BA87B-EFD0-2089-EC61-8F2C4920D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142875</xdr:rowOff>
    </xdr:from>
    <xdr:to>
      <xdr:col>12</xdr:col>
      <xdr:colOff>304800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032B4D-32A3-616E-2114-02606582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34</xdr:row>
      <xdr:rowOff>180975</xdr:rowOff>
    </xdr:from>
    <xdr:to>
      <xdr:col>12</xdr:col>
      <xdr:colOff>304800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53A2F-A6D4-A368-14EE-13DC6143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10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F829B-77EF-C681-4098-0156EF01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209550</xdr:rowOff>
    </xdr:from>
    <xdr:to>
      <xdr:col>12</xdr:col>
      <xdr:colOff>304800</xdr:colOff>
      <xdr:row>16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203747-0277-9AC0-D457-4FD5C262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152400</xdr:rowOff>
    </xdr:from>
    <xdr:to>
      <xdr:col>12</xdr:col>
      <xdr:colOff>304800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CAABB-EC23-4507-7A08-154D37EA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22</xdr:row>
      <xdr:rowOff>95250</xdr:rowOff>
    </xdr:from>
    <xdr:to>
      <xdr:col>12</xdr:col>
      <xdr:colOff>304800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38A9D-31FF-D56C-D53B-8D777306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28</xdr:row>
      <xdr:rowOff>38100</xdr:rowOff>
    </xdr:from>
    <xdr:to>
      <xdr:col>12</xdr:col>
      <xdr:colOff>304800</xdr:colOff>
      <xdr:row>39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CF3D9-1B31-A99B-ADC2-0AD68E51B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51486</xdr:colOff>
      <xdr:row>0</xdr:row>
      <xdr:rowOff>25742</xdr:rowOff>
    </xdr:from>
    <xdr:to>
      <xdr:col>12</xdr:col>
      <xdr:colOff>304800</xdr:colOff>
      <xdr:row>10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FA4C2-6466-E836-9A3B-8C709EAC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19050</xdr:rowOff>
    </xdr:from>
    <xdr:to>
      <xdr:col>12</xdr:col>
      <xdr:colOff>304800</xdr:colOff>
      <xdr:row>15</xdr:row>
      <xdr:rowOff>200025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54A239E-3BD8-04FC-33CC-0798669D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200025</xdr:rowOff>
    </xdr:from>
    <xdr:to>
      <xdr:col>12</xdr:col>
      <xdr:colOff>304800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D499A-7638-E6DE-F8CF-BDCDC4FB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21</xdr:row>
      <xdr:rowOff>142875</xdr:rowOff>
    </xdr:from>
    <xdr:to>
      <xdr:col>12</xdr:col>
      <xdr:colOff>304800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FCEAD-658E-F835-4F39-B5F2FE92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27</xdr:row>
      <xdr:rowOff>85725</xdr:rowOff>
    </xdr:from>
    <xdr:to>
      <xdr:col>12</xdr:col>
      <xdr:colOff>304800</xdr:colOff>
      <xdr:row>38</xdr:row>
      <xdr:rowOff>209550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0C026-EF23-C440-503E-5519F840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104775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2D275-2ED2-A7FA-2023-C5DCD3D74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76200</xdr:rowOff>
    </xdr:from>
    <xdr:to>
      <xdr:col>13</xdr:col>
      <xdr:colOff>104775</xdr:colOff>
      <xdr:row>18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124DC2-C92C-33CB-DE2B-B5E5CBDE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114300</xdr:rowOff>
    </xdr:from>
    <xdr:to>
      <xdr:col>13</xdr:col>
      <xdr:colOff>104775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EA534-3BAE-1B5C-A91B-9894BDD5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152400</xdr:rowOff>
    </xdr:from>
    <xdr:to>
      <xdr:col>13</xdr:col>
      <xdr:colOff>104775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7C656-7951-338A-1223-A07DA207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13</xdr:col>
      <xdr:colOff>104775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F00A8F-14E4-063B-4C61-993CB4788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B5701-58A0-D85E-F9CC-E0C9BF43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19050</xdr:rowOff>
    </xdr:from>
    <xdr:to>
      <xdr:col>12</xdr:col>
      <xdr:colOff>304800</xdr:colOff>
      <xdr:row>15</xdr:row>
      <xdr:rowOff>200025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BE906A-81CB-002A-1517-4E5BB8D62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200025</xdr:rowOff>
    </xdr:from>
    <xdr:to>
      <xdr:col>12</xdr:col>
      <xdr:colOff>304800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42813-2CEE-5BAD-4F4D-D447131C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21</xdr:row>
      <xdr:rowOff>142875</xdr:rowOff>
    </xdr:from>
    <xdr:to>
      <xdr:col>12</xdr:col>
      <xdr:colOff>304800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65FC1-4B8A-91A5-50DE-FEE35F06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27</xdr:row>
      <xdr:rowOff>85725</xdr:rowOff>
    </xdr:from>
    <xdr:to>
      <xdr:col>12</xdr:col>
      <xdr:colOff>304800</xdr:colOff>
      <xdr:row>38</xdr:row>
      <xdr:rowOff>209550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C2B58-29CC-E00E-52A7-1DED9876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D4FF-44BE-4282-9C86-F44EA9670A65}">
  <sheetPr>
    <tabColor rgb="FF66FF66"/>
    <pageSetUpPr fitToPage="1"/>
  </sheetPr>
  <dimension ref="A1:M42"/>
  <sheetViews>
    <sheetView zoomScale="47" zoomScaleNormal="47" workbookViewId="0">
      <selection activeCell="C53" sqref="C53"/>
    </sheetView>
  </sheetViews>
  <sheetFormatPr defaultRowHeight="31.5"/>
  <cols>
    <col min="1" max="1" width="43.42578125" style="14" customWidth="1"/>
    <col min="2" max="2" width="32.140625" style="14" customWidth="1"/>
    <col min="3" max="3" width="37.85546875" style="14" customWidth="1"/>
    <col min="4" max="4" width="62.5703125" style="14" customWidth="1"/>
    <col min="5" max="5" width="15.7109375" style="17" bestFit="1" customWidth="1"/>
    <col min="6" max="10" width="9.28515625" style="14" bestFit="1" customWidth="1"/>
    <col min="11" max="11" width="15.7109375" style="14" bestFit="1" customWidth="1"/>
    <col min="12" max="12" width="9.28515625" style="14" bestFit="1" customWidth="1"/>
    <col min="13" max="13" width="4.85546875" style="14" customWidth="1"/>
    <col min="14" max="16384" width="9.140625" style="14"/>
  </cols>
  <sheetData>
    <row r="1" spans="1:12" ht="82.5" customHeight="1">
      <c r="A1" s="14" t="s">
        <v>68</v>
      </c>
      <c r="B1" s="14" t="s">
        <v>70</v>
      </c>
      <c r="D1" s="14" t="s">
        <v>71</v>
      </c>
      <c r="E1" s="15" t="str">
        <f>IF(E2&gt;E5,"Non-Normal at 0.01",IF(E2&gt;E4,"Non-Normal at 0.05","Data is Normal"))</f>
        <v>Data is Normal</v>
      </c>
      <c r="K1" s="14" t="s">
        <v>98</v>
      </c>
    </row>
    <row r="2" spans="1:12">
      <c r="A2" s="16">
        <v>-19.866666666666667</v>
      </c>
      <c r="B2" s="16">
        <f>_xlfn.RANK.EQ(C2,$C:$C,1)+COUNTIF($C$2:C2,C2)-1</f>
        <v>1</v>
      </c>
      <c r="C2" s="16">
        <f t="shared" ref="C2:C39" si="0">A2</f>
        <v>-19.866666666666667</v>
      </c>
      <c r="D2" s="16" t="s">
        <v>72</v>
      </c>
      <c r="E2" s="17">
        <f>ABS(E12-ABS(SUM(I:I)))</f>
        <v>0.70848879862289493</v>
      </c>
      <c r="F2" s="14">
        <f t="shared" ref="F2:F39" si="1">_xlfn.NORM.S.INV((G2-0.5)/E$12)</f>
        <v>-2.2215195883378365</v>
      </c>
      <c r="G2" s="14">
        <f t="shared" ref="G2:G39" si="2">ROW(G2)-1</f>
        <v>1</v>
      </c>
      <c r="H2" s="14">
        <f t="shared" ref="H2:H39" si="3">VLOOKUP(G2,$B:$C,2,FALSE)</f>
        <v>-19.866666666666667</v>
      </c>
      <c r="I2" s="14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-0.19275584366243151</v>
      </c>
      <c r="K2" s="14">
        <f>E2*(1+0.75/E12+2.25/E12^2)</f>
        <v>0.72357607740243357</v>
      </c>
    </row>
    <row r="3" spans="1:12">
      <c r="A3" s="16">
        <v>-5.9666666666666659</v>
      </c>
      <c r="B3" s="16">
        <f>_xlfn.RANK.EQ(C3,$C:$C,1)+COUNTIF($C$2:C3,C3)-1</f>
        <v>24</v>
      </c>
      <c r="C3" s="16">
        <f t="shared" si="0"/>
        <v>-5.9666666666666659</v>
      </c>
      <c r="D3" s="18" t="s">
        <v>97</v>
      </c>
      <c r="E3" s="17">
        <f>IF(K2&lt;0.2,K6,IF(K2&lt;0.34,K5,IF(K2&lt;0.6,K4,IF(K2&lt;13,K3,0))))</f>
        <v>5.9163080823557188E-2</v>
      </c>
      <c r="F3" s="14">
        <f t="shared" si="1"/>
        <v>-1.7568266072519048</v>
      </c>
      <c r="G3" s="14">
        <f t="shared" si="2"/>
        <v>2</v>
      </c>
      <c r="H3" s="14">
        <f t="shared" si="3"/>
        <v>-18.700000000000003</v>
      </c>
      <c r="I3" s="14">
        <f t="shared" si="4"/>
        <v>-0.54225633852462862</v>
      </c>
      <c r="K3" s="14">
        <f>EXP(1.2937-5.709*K2+0.0186*K2^2)</f>
        <v>5.9163080823557188E-2</v>
      </c>
    </row>
    <row r="4" spans="1:12">
      <c r="A4" s="16">
        <v>-5.5</v>
      </c>
      <c r="B4" s="16">
        <f>_xlfn.RANK.EQ(C4,$C:$C,1)+COUNTIF($C$2:C4,C4)-1</f>
        <v>25</v>
      </c>
      <c r="C4" s="16">
        <f t="shared" si="0"/>
        <v>-5.5</v>
      </c>
      <c r="D4" s="16" t="s">
        <v>73</v>
      </c>
      <c r="E4" s="17">
        <v>0.78700000000000003</v>
      </c>
      <c r="F4" s="14">
        <f t="shared" si="1"/>
        <v>-1.5079045914405589</v>
      </c>
      <c r="G4" s="14">
        <f t="shared" si="2"/>
        <v>3</v>
      </c>
      <c r="H4" s="14">
        <f t="shared" si="3"/>
        <v>-17.666666666666668</v>
      </c>
      <c r="I4" s="14">
        <f t="shared" si="4"/>
        <v>-0.85737205810625849</v>
      </c>
      <c r="K4" s="14">
        <f>EXP(0.9177-4.279*K2-1.38*K2^2)</f>
        <v>5.4968330751113702E-2</v>
      </c>
    </row>
    <row r="5" spans="1:12">
      <c r="A5" s="16">
        <v>2.9</v>
      </c>
      <c r="B5" s="16">
        <f>_xlfn.RANK.EQ(C5,$C:$C,1)+COUNTIF($C$2:C5,C5)-1</f>
        <v>32</v>
      </c>
      <c r="C5" s="16">
        <f t="shared" si="0"/>
        <v>2.9</v>
      </c>
      <c r="D5" s="16" t="s">
        <v>74</v>
      </c>
      <c r="E5" s="17">
        <v>1.0920000000000001</v>
      </c>
      <c r="F5" s="14">
        <f t="shared" si="1"/>
        <v>-1.3279018717558333</v>
      </c>
      <c r="G5" s="14">
        <f t="shared" si="2"/>
        <v>4</v>
      </c>
      <c r="H5" s="14">
        <f t="shared" si="3"/>
        <v>-14.6</v>
      </c>
      <c r="I5" s="14">
        <f t="shared" si="4"/>
        <v>-0.91823190511800601</v>
      </c>
      <c r="K5" s="14">
        <f>1-EXP(-8.318+42.796*K2-59.938*K2^2)</f>
        <v>0.99983884077616447</v>
      </c>
    </row>
    <row r="6" spans="1:12">
      <c r="A6" s="16">
        <v>5.7333333333333334</v>
      </c>
      <c r="B6" s="16">
        <f>_xlfn.RANK.EQ(C6,$C:$C,1)+COUNTIF($C$2:C6,C6)-1</f>
        <v>36</v>
      </c>
      <c r="C6" s="16">
        <f t="shared" si="0"/>
        <v>5.7333333333333334</v>
      </c>
      <c r="D6" s="16" t="s">
        <v>75</v>
      </c>
      <c r="E6" s="17">
        <f>AVERAGE($A:$A)</f>
        <v>-6.3585964912280701</v>
      </c>
      <c r="F6" s="14">
        <f t="shared" si="1"/>
        <v>-1.1829168441908862</v>
      </c>
      <c r="G6" s="14">
        <f t="shared" si="2"/>
        <v>5</v>
      </c>
      <c r="H6" s="14">
        <f t="shared" si="3"/>
        <v>-12.233333333333334</v>
      </c>
      <c r="I6" s="14">
        <f t="shared" si="4"/>
        <v>-1.0444749335987367</v>
      </c>
      <c r="J6" s="14">
        <f>AVERAGE(H:H)</f>
        <v>-6.358596491228071</v>
      </c>
      <c r="K6" s="14">
        <f>1-EXP(-13.436+101.14*K2-223.73*K2^2)</f>
        <v>1</v>
      </c>
    </row>
    <row r="7" spans="1:12">
      <c r="A7" s="16">
        <v>-17.666666666666668</v>
      </c>
      <c r="B7" s="16">
        <f>_xlfn.RANK.EQ(C7,$C:$C,1)+COUNTIF($C$2:C7,C7)-1</f>
        <v>3</v>
      </c>
      <c r="C7" s="16">
        <f t="shared" si="0"/>
        <v>-17.666666666666668</v>
      </c>
      <c r="D7" s="16" t="s">
        <v>76</v>
      </c>
      <c r="E7" s="17" t="e">
        <f ca="1">_xlfn.MODE.SNGL(OFFSET($A$2,0,0,COUNT($A:$A),1))</f>
        <v>#N/A</v>
      </c>
      <c r="F7" s="14">
        <f t="shared" si="1"/>
        <v>-1.0592769170824312</v>
      </c>
      <c r="G7" s="14">
        <f t="shared" si="2"/>
        <v>6</v>
      </c>
      <c r="H7" s="14">
        <f t="shared" si="3"/>
        <v>-11.266666666666666</v>
      </c>
      <c r="I7" s="14">
        <f t="shared" si="4"/>
        <v>-1.192911908039237</v>
      </c>
    </row>
    <row r="8" spans="1:12">
      <c r="A8" s="16">
        <v>-12.233333333333334</v>
      </c>
      <c r="B8" s="16">
        <f>_xlfn.RANK.EQ(C8,$C:$C,1)+COUNTIF($C$2:C8,C8)-1</f>
        <v>5</v>
      </c>
      <c r="C8" s="16">
        <f t="shared" si="0"/>
        <v>-12.233333333333334</v>
      </c>
      <c r="D8" s="16" t="s">
        <v>77</v>
      </c>
      <c r="E8" s="17">
        <f>_xlfn.STDEV.S($A:$A)</f>
        <v>6.6173364370015104</v>
      </c>
      <c r="F8" s="14">
        <f t="shared" si="1"/>
        <v>-0.95001375566931956</v>
      </c>
      <c r="G8" s="14">
        <f t="shared" si="2"/>
        <v>7</v>
      </c>
      <c r="H8" s="14">
        <f t="shared" si="3"/>
        <v>-11.166666666666666</v>
      </c>
      <c r="I8" s="14">
        <f t="shared" si="4"/>
        <v>-1.3575671538563163</v>
      </c>
      <c r="J8" s="14">
        <f>_xlfn.STDEV.S(H:H)</f>
        <v>6.6173364370015078</v>
      </c>
    </row>
    <row r="9" spans="1:12">
      <c r="A9" s="16">
        <v>-11.266666666666666</v>
      </c>
      <c r="B9" s="16">
        <f>_xlfn.RANK.EQ(C9,$C:$C,1)+COUNTIF($C$2:C9,C9)-1</f>
        <v>6</v>
      </c>
      <c r="C9" s="16">
        <f t="shared" si="0"/>
        <v>-11.266666666666666</v>
      </c>
      <c r="D9" s="16" t="s">
        <v>78</v>
      </c>
      <c r="E9" s="17">
        <f>_xlfn.VAR.S($A:$A)</f>
        <v>43.789141520467844</v>
      </c>
      <c r="F9" s="14">
        <f t="shared" si="1"/>
        <v>-0.85105852683856875</v>
      </c>
      <c r="G9" s="14">
        <f t="shared" si="2"/>
        <v>8</v>
      </c>
      <c r="H9" s="14">
        <f t="shared" si="3"/>
        <v>-10.9</v>
      </c>
      <c r="I9" s="14">
        <f t="shared" si="4"/>
        <v>-1.162862597986976</v>
      </c>
    </row>
    <row r="10" spans="1:12">
      <c r="A10" s="16">
        <v>-11.166666666666666</v>
      </c>
      <c r="B10" s="16">
        <f>_xlfn.RANK.EQ(C10,$C:$C,1)+COUNTIF($C$2:C10,C10)-1</f>
        <v>7</v>
      </c>
      <c r="C10" s="16">
        <f t="shared" si="0"/>
        <v>-11.166666666666666</v>
      </c>
      <c r="D10" s="16" t="s">
        <v>79</v>
      </c>
      <c r="E10" s="17">
        <f>SKEW($A:$A)</f>
        <v>0.22005631312695959</v>
      </c>
      <c r="F10" s="14">
        <f t="shared" si="1"/>
        <v>-0.75980957100991864</v>
      </c>
      <c r="G10" s="14">
        <f t="shared" si="2"/>
        <v>9</v>
      </c>
      <c r="H10" s="14">
        <f t="shared" si="3"/>
        <v>-10.766666666666666</v>
      </c>
      <c r="I10" s="14">
        <f t="shared" si="4"/>
        <v>-1.2238416649158046</v>
      </c>
    </row>
    <row r="11" spans="1:12">
      <c r="A11" s="16">
        <v>3.3666666666666667</v>
      </c>
      <c r="B11" s="16">
        <f>_xlfn.RANK.EQ(C11,$C:$C,1)+COUNTIF($C$2:C11,C11)-1</f>
        <v>33</v>
      </c>
      <c r="C11" s="16">
        <f t="shared" si="0"/>
        <v>3.3666666666666667</v>
      </c>
      <c r="D11" s="16" t="s">
        <v>80</v>
      </c>
      <c r="E11" s="17">
        <f>KURT($A:$A)</f>
        <v>-0.19370419565381747</v>
      </c>
      <c r="F11" s="14">
        <f t="shared" si="1"/>
        <v>-0.67448975019608193</v>
      </c>
      <c r="G11" s="14">
        <f t="shared" si="2"/>
        <v>10</v>
      </c>
      <c r="H11" s="14">
        <f t="shared" si="3"/>
        <v>-10.726666666666667</v>
      </c>
      <c r="I11" s="14">
        <f t="shared" si="4"/>
        <v>-1.3146404484713883</v>
      </c>
      <c r="J11" s="14">
        <f>COUNT($A:$A)</f>
        <v>38</v>
      </c>
    </row>
    <row r="12" spans="1:12">
      <c r="A12" s="16">
        <v>-1.0999999999999999</v>
      </c>
      <c r="B12" s="16">
        <f>_xlfn.RANK.EQ(C12,$C:$C,1)+COUNTIF($C$2:C12,C12)-1</f>
        <v>31</v>
      </c>
      <c r="C12" s="16">
        <f t="shared" si="0"/>
        <v>-1.0999999999999999</v>
      </c>
      <c r="D12" s="16" t="s">
        <v>81</v>
      </c>
      <c r="E12" s="17">
        <f>COUNT($A:$A)</f>
        <v>38</v>
      </c>
      <c r="F12" s="14">
        <f t="shared" si="1"/>
        <v>-0.59382139299351966</v>
      </c>
      <c r="G12" s="14">
        <f t="shared" si="2"/>
        <v>11</v>
      </c>
      <c r="H12" s="14">
        <f t="shared" si="3"/>
        <v>-9.8333333333333339</v>
      </c>
      <c r="I12" s="14">
        <f t="shared" si="4"/>
        <v>-1.1925067357897061</v>
      </c>
      <c r="K12" s="14" t="e">
        <f>NA()</f>
        <v>#N/A</v>
      </c>
    </row>
    <row r="13" spans="1:12">
      <c r="A13" s="16">
        <v>-9.6</v>
      </c>
      <c r="B13" s="16">
        <f>_xlfn.RANK.EQ(C13,$C:$C,1)+COUNTIF($C$2:C13,C13)-1</f>
        <v>12</v>
      </c>
      <c r="C13" s="16">
        <f t="shared" si="0"/>
        <v>-9.6</v>
      </c>
      <c r="D13" s="16" t="s">
        <v>82</v>
      </c>
      <c r="E13" s="17">
        <f>E8/SQRT(E12)</f>
        <v>1.0734737209107619</v>
      </c>
      <c r="F13" s="14">
        <f t="shared" si="1"/>
        <v>-0.51684672765260964</v>
      </c>
      <c r="G13" s="14">
        <f t="shared" si="2"/>
        <v>12</v>
      </c>
      <c r="H13" s="14">
        <f t="shared" si="3"/>
        <v>-9.6</v>
      </c>
      <c r="I13" s="14">
        <f t="shared" si="4"/>
        <v>-1.2577568847698928</v>
      </c>
      <c r="J13" s="14">
        <v>1</v>
      </c>
      <c r="K13" s="14" t="e">
        <f>IF(E15-E14&gt;1.5*(E17-E15),E14,NA())</f>
        <v>#N/A</v>
      </c>
      <c r="L13" s="14">
        <v>1</v>
      </c>
    </row>
    <row r="14" spans="1:12">
      <c r="A14" s="16">
        <v>-7.2666666666666666</v>
      </c>
      <c r="B14" s="16">
        <f>_xlfn.RANK.EQ(C14,$C:$C,1)+COUNTIF($C$2:C14,C14)-1</f>
        <v>19</v>
      </c>
      <c r="C14" s="16">
        <f t="shared" si="0"/>
        <v>-7.2666666666666666</v>
      </c>
      <c r="D14" s="16" t="s">
        <v>83</v>
      </c>
      <c r="E14" s="17">
        <f>MIN($A:$A)</f>
        <v>-19.866666666666667</v>
      </c>
      <c r="F14" s="14">
        <f t="shared" si="1"/>
        <v>-0.44282165759651121</v>
      </c>
      <c r="G14" s="14">
        <f t="shared" si="2"/>
        <v>13</v>
      </c>
      <c r="H14" s="14">
        <f t="shared" si="3"/>
        <v>-9.5666666666666664</v>
      </c>
      <c r="I14" s="14">
        <f t="shared" si="4"/>
        <v>-1.3475459803253367</v>
      </c>
      <c r="K14" s="17">
        <f>MIN(E15-E14,(E17-E15))</f>
        <v>7.4700000000000006</v>
      </c>
    </row>
    <row r="15" spans="1:12">
      <c r="A15" s="16">
        <v>-6.0999999999999988</v>
      </c>
      <c r="B15" s="16">
        <f>_xlfn.RANK.EQ(C15,$C:$C,1)+COUNTIF($C$2:C15,C15)-1</f>
        <v>23</v>
      </c>
      <c r="C15" s="16">
        <f t="shared" si="0"/>
        <v>-6.0999999999999988</v>
      </c>
      <c r="D15" s="16" t="s">
        <v>84</v>
      </c>
      <c r="E15" s="17">
        <f>_xlfn.QUARTILE.INC($A:$A,1)</f>
        <v>-10.503333333333334</v>
      </c>
      <c r="F15" s="14">
        <f t="shared" si="1"/>
        <v>-0.37114932320228394</v>
      </c>
      <c r="G15" s="14">
        <f t="shared" si="2"/>
        <v>14</v>
      </c>
      <c r="H15" s="14">
        <f t="shared" si="3"/>
        <v>-8.5666666666666647</v>
      </c>
      <c r="I15" s="14">
        <f t="shared" si="4"/>
        <v>-1.2776870035887113</v>
      </c>
      <c r="K15" s="14">
        <v>-10.503333333333334</v>
      </c>
    </row>
    <row r="16" spans="1:12">
      <c r="A16" s="16">
        <v>-9.5666666666666664</v>
      </c>
      <c r="B16" s="16">
        <f>_xlfn.RANK.EQ(C16,$C:$C,1)+COUNTIF($C$2:C16,C16)-1</f>
        <v>13</v>
      </c>
      <c r="C16" s="16">
        <f t="shared" si="0"/>
        <v>-9.5666666666666664</v>
      </c>
      <c r="D16" s="16" t="s">
        <v>85</v>
      </c>
      <c r="E16" s="17">
        <f>MEDIAN($A:$A)</f>
        <v>-7.1166666666666663</v>
      </c>
      <c r="F16" s="14">
        <f t="shared" si="1"/>
        <v>-0.30133652085957613</v>
      </c>
      <c r="G16" s="14">
        <f t="shared" si="2"/>
        <v>15</v>
      </c>
      <c r="H16" s="14">
        <f t="shared" si="3"/>
        <v>-8.5333333333333332</v>
      </c>
      <c r="I16" s="14">
        <f t="shared" si="4"/>
        <v>-1.3221766679737894</v>
      </c>
      <c r="K16" s="14">
        <v>3.3866666666666676</v>
      </c>
    </row>
    <row r="17" spans="1:12">
      <c r="A17" s="16">
        <v>-6.2</v>
      </c>
      <c r="B17" s="16">
        <f>_xlfn.RANK.EQ(C17,$C:$C,1)+COUNTIF($C$2:C17,C17)-1</f>
        <v>22</v>
      </c>
      <c r="C17" s="16">
        <f t="shared" si="0"/>
        <v>-6.2</v>
      </c>
      <c r="D17" s="16" t="s">
        <v>86</v>
      </c>
      <c r="E17" s="17">
        <f>_xlfn.QUARTILE.INC($A:$A,3)</f>
        <v>-3.0333333333333337</v>
      </c>
      <c r="F17" s="14">
        <f t="shared" si="1"/>
        <v>-0.23296385427137245</v>
      </c>
      <c r="G17" s="14">
        <f t="shared" si="2"/>
        <v>16</v>
      </c>
      <c r="H17" s="14">
        <f t="shared" si="3"/>
        <v>-8.4999999999999982</v>
      </c>
      <c r="I17" s="14">
        <f t="shared" si="4"/>
        <v>-1.3955505074076597</v>
      </c>
      <c r="K17" s="14">
        <v>4.0833333333333321</v>
      </c>
    </row>
    <row r="18" spans="1:12">
      <c r="A18" s="16">
        <v>-4.4333333333333336</v>
      </c>
      <c r="B18" s="16">
        <f>_xlfn.RANK.EQ(C18,$C:$C,1)+COUNTIF($C$2:C18,C18)-1</f>
        <v>28</v>
      </c>
      <c r="C18" s="16">
        <f t="shared" si="0"/>
        <v>-4.4333333333333336</v>
      </c>
      <c r="D18" s="16" t="s">
        <v>87</v>
      </c>
      <c r="E18" s="17">
        <f>MAX($A:$A)</f>
        <v>5.8999999999999995</v>
      </c>
      <c r="F18" s="14">
        <f t="shared" si="1"/>
        <v>-0.1656644138685531</v>
      </c>
      <c r="G18" s="14">
        <f t="shared" si="2"/>
        <v>17</v>
      </c>
      <c r="H18" s="14">
        <f t="shared" si="3"/>
        <v>-8.1666666666666661</v>
      </c>
      <c r="I18" s="14">
        <f t="shared" si="4"/>
        <v>-1.4312330768151569</v>
      </c>
      <c r="K18" s="17">
        <f>MIN(E18-E17,(E17-E15))</f>
        <v>7.4700000000000006</v>
      </c>
    </row>
    <row r="19" spans="1:12">
      <c r="A19" s="16">
        <v>3.6999999999999997</v>
      </c>
      <c r="B19" s="16">
        <f>_xlfn.RANK.EQ(C19,$C:$C,1)+COUNTIF($C$2:C19,C19)-1</f>
        <v>35</v>
      </c>
      <c r="C19" s="16">
        <f t="shared" si="0"/>
        <v>3.6999999999999997</v>
      </c>
      <c r="D19" s="16" t="s">
        <v>88</v>
      </c>
      <c r="E19" s="17">
        <f>E18-E14</f>
        <v>25.766666666666666</v>
      </c>
      <c r="F19" s="14">
        <f t="shared" si="1"/>
        <v>-9.9107859822899172E-2</v>
      </c>
      <c r="G19" s="14">
        <f t="shared" si="2"/>
        <v>18</v>
      </c>
      <c r="H19" s="14">
        <f t="shared" si="3"/>
        <v>-7.3666666666666671</v>
      </c>
      <c r="I19" s="14">
        <f t="shared" si="4"/>
        <v>-1.3340833890467818</v>
      </c>
      <c r="J19" s="14">
        <v>1</v>
      </c>
      <c r="K19" s="14" t="e">
        <f>IF(E18-E17&gt;1.5*(E17-E15),E18,NA())</f>
        <v>#N/A</v>
      </c>
      <c r="L19" s="14">
        <v>1</v>
      </c>
    </row>
    <row r="20" spans="1:12">
      <c r="A20" s="16">
        <v>5.7666666666666657</v>
      </c>
      <c r="B20" s="16">
        <f>_xlfn.RANK.EQ(C20,$C:$C,1)+COUNTIF($C$2:C20,C20)-1</f>
        <v>37</v>
      </c>
      <c r="C20" s="16">
        <f t="shared" si="0"/>
        <v>5.7666666666666657</v>
      </c>
      <c r="D20" s="16" t="s">
        <v>89</v>
      </c>
      <c r="E20" s="17">
        <f>_xlfn.T.INV.2T((1-D22),E12-1)*E8/SQRT(E12)</f>
        <v>2.1750643625691986</v>
      </c>
      <c r="F20" s="14">
        <f t="shared" si="1"/>
        <v>-3.2987932937402764E-2</v>
      </c>
      <c r="G20" s="14">
        <f t="shared" si="2"/>
        <v>19</v>
      </c>
      <c r="H20" s="14">
        <f t="shared" si="3"/>
        <v>-7.2666666666666666</v>
      </c>
      <c r="I20" s="14">
        <f t="shared" si="4"/>
        <v>-1.393548851614856</v>
      </c>
      <c r="K20" s="14" t="e">
        <f>NA()</f>
        <v>#N/A</v>
      </c>
    </row>
    <row r="21" spans="1:12">
      <c r="A21" s="16">
        <v>-8.5333333333333332</v>
      </c>
      <c r="B21" s="16">
        <f>_xlfn.RANK.EQ(C21,$C:$C,1)+COUNTIF($C$2:C21,C21)-1</f>
        <v>15</v>
      </c>
      <c r="C21" s="16">
        <f t="shared" si="0"/>
        <v>-8.5333333333333332</v>
      </c>
      <c r="D21" s="16" t="s">
        <v>90</v>
      </c>
      <c r="E21" s="17">
        <f>E$6-E20</f>
        <v>-8.5336608537972687</v>
      </c>
      <c r="F21" s="14">
        <f t="shared" si="1"/>
        <v>3.2987932937402903E-2</v>
      </c>
      <c r="G21" s="14">
        <f t="shared" si="2"/>
        <v>20</v>
      </c>
      <c r="H21" s="14">
        <f t="shared" si="3"/>
        <v>-6.9666666666666659</v>
      </c>
      <c r="I21" s="14">
        <f t="shared" si="4"/>
        <v>-1.3944922156677553</v>
      </c>
      <c r="J21" s="16" t="str">
        <f>$D$6</f>
        <v>Mean</v>
      </c>
      <c r="K21" s="17">
        <f>$E$6</f>
        <v>-6.3585964912280701</v>
      </c>
      <c r="L21" s="14">
        <v>2</v>
      </c>
    </row>
    <row r="22" spans="1:12">
      <c r="A22" s="16">
        <v>-2.5666666666666669</v>
      </c>
      <c r="B22" s="16">
        <f>_xlfn.RANK.EQ(C22,$C:$C,1)+COUNTIF($C$2:C22,C22)-1</f>
        <v>29</v>
      </c>
      <c r="C22" s="16">
        <f t="shared" si="0"/>
        <v>-2.5666666666666669</v>
      </c>
      <c r="D22" s="16">
        <v>0.95</v>
      </c>
      <c r="E22" s="17">
        <f>E$6+E20</f>
        <v>-4.1835321286588716</v>
      </c>
      <c r="F22" s="14">
        <f t="shared" si="1"/>
        <v>9.9107859822899172E-2</v>
      </c>
      <c r="G22" s="14">
        <f t="shared" si="2"/>
        <v>21</v>
      </c>
      <c r="H22" s="14">
        <f t="shared" si="3"/>
        <v>-6.9333333333333327</v>
      </c>
      <c r="I22" s="14">
        <f t="shared" si="4"/>
        <v>-1.4498094897606109</v>
      </c>
      <c r="K22" s="17">
        <f>$E$21</f>
        <v>-8.5336608537972687</v>
      </c>
      <c r="L22" s="14">
        <v>2</v>
      </c>
    </row>
    <row r="23" spans="1:12">
      <c r="A23" s="16">
        <v>-10.9</v>
      </c>
      <c r="B23" s="16">
        <f>_xlfn.RANK.EQ(C23,$C:$C,1)+COUNTIF($C$2:C23,C23)-1</f>
        <v>8</v>
      </c>
      <c r="C23" s="16">
        <f t="shared" si="0"/>
        <v>-10.9</v>
      </c>
      <c r="D23" s="16">
        <v>-7.5666666666666673</v>
      </c>
      <c r="F23" s="14">
        <f t="shared" si="1"/>
        <v>0.1656644138685531</v>
      </c>
      <c r="G23" s="14">
        <f t="shared" si="2"/>
        <v>22</v>
      </c>
      <c r="H23" s="14">
        <f t="shared" si="3"/>
        <v>-6.2</v>
      </c>
      <c r="I23" s="14">
        <f t="shared" si="4"/>
        <v>-1.3265976594858353</v>
      </c>
      <c r="K23" s="17">
        <f>$E$22</f>
        <v>-4.1835321286588716</v>
      </c>
      <c r="L23" s="14">
        <v>2</v>
      </c>
    </row>
    <row r="24" spans="1:12">
      <c r="A24" s="16">
        <v>-6.9333333333333327</v>
      </c>
      <c r="B24" s="16">
        <f>_xlfn.RANK.EQ(C24,$C:$C,1)+COUNTIF($C$2:C24,C24)-1</f>
        <v>21</v>
      </c>
      <c r="C24" s="16">
        <f t="shared" si="0"/>
        <v>-6.9333333333333327</v>
      </c>
      <c r="D24" s="16" t="s">
        <v>91</v>
      </c>
      <c r="E24" s="17">
        <f>SQRT((E12-1)*E9/_xlfn.CHISQ.INV.RT((1-D22)/2,E12-1))</f>
        <v>5.3948748269148412</v>
      </c>
      <c r="F24" s="14">
        <f t="shared" si="1"/>
        <v>0.23296385427137234</v>
      </c>
      <c r="G24" s="14">
        <f t="shared" si="2"/>
        <v>23</v>
      </c>
      <c r="H24" s="14">
        <f t="shared" si="3"/>
        <v>-6.0999999999999988</v>
      </c>
      <c r="I24" s="14">
        <f t="shared" si="4"/>
        <v>-1.3375049968677082</v>
      </c>
      <c r="J24" s="16" t="str">
        <f>$D$16</f>
        <v>Median</v>
      </c>
      <c r="K24" s="17">
        <f>$E$16</f>
        <v>-7.1166666666666663</v>
      </c>
      <c r="L24" s="14">
        <v>1</v>
      </c>
    </row>
    <row r="25" spans="1:12">
      <c r="A25" s="16">
        <v>-6.9666666666666659</v>
      </c>
      <c r="B25" s="16">
        <f>_xlfn.RANK.EQ(C25,$C:$C,1)+COUNTIF($C$2:C25,C25)-1</f>
        <v>20</v>
      </c>
      <c r="C25" s="16">
        <f t="shared" si="0"/>
        <v>-6.9666666666666659</v>
      </c>
      <c r="D25" s="16">
        <v>-2.4333333333333331</v>
      </c>
      <c r="E25" s="17">
        <f>SQRT((E12-1)*E9/_xlfn.CHISQ.INV.RT(1-(1-D22)/2,E12-1))</f>
        <v>8.5611608562343378</v>
      </c>
      <c r="F25" s="14">
        <f t="shared" si="1"/>
        <v>0.3013365208595763</v>
      </c>
      <c r="G25" s="14">
        <f t="shared" si="2"/>
        <v>24</v>
      </c>
      <c r="H25" s="14">
        <f t="shared" si="3"/>
        <v>-5.9666666666666659</v>
      </c>
      <c r="I25" s="14">
        <f t="shared" si="4"/>
        <v>-1.3740846288613573</v>
      </c>
      <c r="K25" s="17">
        <f>$E$27</f>
        <v>-9.6</v>
      </c>
      <c r="L25" s="14">
        <v>1</v>
      </c>
    </row>
    <row r="26" spans="1:12">
      <c r="A26" s="16">
        <v>-10.766666666666666</v>
      </c>
      <c r="B26" s="16">
        <f>_xlfn.RANK.EQ(C26,$C:$C,1)+COUNTIF($C$2:C26,C26)-1</f>
        <v>9</v>
      </c>
      <c r="C26" s="16">
        <f t="shared" si="0"/>
        <v>-10.766666666666666</v>
      </c>
      <c r="D26" s="16">
        <v>-8.2000000000000011</v>
      </c>
      <c r="F26" s="14">
        <f t="shared" si="1"/>
        <v>0.37114932320228394</v>
      </c>
      <c r="G26" s="14">
        <f t="shared" si="2"/>
        <v>25</v>
      </c>
      <c r="H26" s="14">
        <f t="shared" si="3"/>
        <v>-5.5</v>
      </c>
      <c r="I26" s="14">
        <f t="shared" si="4"/>
        <v>-1.3614803520629823</v>
      </c>
      <c r="K26" s="17">
        <f>$E$28</f>
        <v>-6.9666666666666659</v>
      </c>
      <c r="L26" s="14">
        <v>1</v>
      </c>
    </row>
    <row r="27" spans="1:12">
      <c r="A27" s="16">
        <v>-8.5666666666666647</v>
      </c>
      <c r="B27" s="16">
        <f>_xlfn.RANK.EQ(C27,$C:$C,1)+COUNTIF($C$2:C27,C27)-1</f>
        <v>14</v>
      </c>
      <c r="C27" s="16">
        <f t="shared" si="0"/>
        <v>-8.5666666666666647</v>
      </c>
      <c r="D27" s="16" t="s">
        <v>92</v>
      </c>
      <c r="E27" s="17">
        <f>INDEX($A:$A,_xlfn.BINOM.INV(E12,0.5,(1-D22)/2))</f>
        <v>-9.6</v>
      </c>
      <c r="F27" s="14">
        <f t="shared" si="1"/>
        <v>0.44282165759651121</v>
      </c>
      <c r="G27" s="14">
        <f t="shared" si="2"/>
        <v>26</v>
      </c>
      <c r="H27" s="14">
        <f t="shared" si="3"/>
        <v>-4.8666666666666671</v>
      </c>
      <c r="I27" s="14">
        <f t="shared" si="4"/>
        <v>-1.2156193231467944</v>
      </c>
      <c r="J27" s="16" t="str">
        <f>$D$30</f>
        <v>Normal</v>
      </c>
      <c r="K27" s="17">
        <f>$E$6</f>
        <v>-6.3585964912280701</v>
      </c>
      <c r="L27" s="14">
        <v>2</v>
      </c>
    </row>
    <row r="28" spans="1:12">
      <c r="A28" s="16">
        <v>3.6666666666666665</v>
      </c>
      <c r="B28" s="16">
        <f>_xlfn.RANK.EQ(C28,$C:$C,1)+COUNTIF($C$2:C28,C28)-1</f>
        <v>34</v>
      </c>
      <c r="C28" s="16">
        <f t="shared" si="0"/>
        <v>3.6666666666666665</v>
      </c>
      <c r="D28" s="16">
        <v>-6.0666666666666664</v>
      </c>
      <c r="E28" s="17">
        <f>INDEX($A:$A,_xlfn.BINOM.INV(E12,0.5,(1-(1-D22)/2)))</f>
        <v>-6.9666666666666659</v>
      </c>
      <c r="F28" s="14">
        <f t="shared" si="1"/>
        <v>0.51684672765260953</v>
      </c>
      <c r="G28" s="14">
        <f t="shared" si="2"/>
        <v>27</v>
      </c>
      <c r="H28" s="14">
        <f t="shared" si="3"/>
        <v>-4.7</v>
      </c>
      <c r="I28" s="14">
        <f t="shared" si="4"/>
        <v>-1.2367365609972132</v>
      </c>
      <c r="K28" s="17">
        <f>$E$30</f>
        <v>-22.647432237562178</v>
      </c>
      <c r="L28" s="14">
        <v>2</v>
      </c>
    </row>
    <row r="29" spans="1:12">
      <c r="A29" s="16">
        <v>-8.1666666666666661</v>
      </c>
      <c r="B29" s="16">
        <f>_xlfn.RANK.EQ(C29,$C:$C,1)+COUNTIF($C$2:C29,C29)-1</f>
        <v>17</v>
      </c>
      <c r="C29" s="16">
        <f t="shared" si="0"/>
        <v>-8.1666666666666661</v>
      </c>
      <c r="D29" s="16">
        <v>-6.5</v>
      </c>
      <c r="F29" s="14">
        <f t="shared" si="1"/>
        <v>0.59382139299351988</v>
      </c>
      <c r="G29" s="14">
        <f t="shared" si="2"/>
        <v>28</v>
      </c>
      <c r="H29" s="14">
        <f t="shared" si="3"/>
        <v>-4.4333333333333336</v>
      </c>
      <c r="I29" s="14">
        <f t="shared" si="4"/>
        <v>-1.2206434109820332</v>
      </c>
      <c r="K29" s="17">
        <f>$E$31</f>
        <v>9.9302392551060379</v>
      </c>
      <c r="L29" s="14">
        <v>2</v>
      </c>
    </row>
    <row r="30" spans="1:12">
      <c r="A30" s="16">
        <v>-14.6</v>
      </c>
      <c r="B30" s="16">
        <f>_xlfn.RANK.EQ(C30,$C:$C,1)+COUNTIF($C$2:C30,C30)-1</f>
        <v>4</v>
      </c>
      <c r="C30" s="16">
        <f t="shared" si="0"/>
        <v>-14.6</v>
      </c>
      <c r="D30" s="16" t="s">
        <v>67</v>
      </c>
      <c r="E30" s="17">
        <f>E6-E8*E36</f>
        <v>-22.647432237562178</v>
      </c>
      <c r="F30" s="14">
        <f t="shared" si="1"/>
        <v>0.67448975019608193</v>
      </c>
      <c r="G30" s="14">
        <f t="shared" si="2"/>
        <v>29</v>
      </c>
      <c r="H30" s="14">
        <f t="shared" si="3"/>
        <v>-2.5666666666666669</v>
      </c>
      <c r="I30" s="14">
        <f t="shared" si="4"/>
        <v>-0.94041699523938982</v>
      </c>
      <c r="J30" s="16" t="str">
        <f>$D$39</f>
        <v>Nonparametric</v>
      </c>
      <c r="K30" s="17">
        <f>$E$6</f>
        <v>-6.3585964912280701</v>
      </c>
      <c r="L30" s="14">
        <v>1</v>
      </c>
    </row>
    <row r="31" spans="1:12">
      <c r="A31" s="16">
        <v>-10.726666666666667</v>
      </c>
      <c r="B31" s="16">
        <f>_xlfn.RANK.EQ(C31,$C:$C,1)+COUNTIF($C$2:C31,C31)-1</f>
        <v>10</v>
      </c>
      <c r="C31" s="16">
        <f t="shared" si="0"/>
        <v>-10.726666666666667</v>
      </c>
      <c r="D31" s="16">
        <v>0.95</v>
      </c>
      <c r="E31" s="17">
        <f>E6+E8*E36</f>
        <v>9.9302392551060379</v>
      </c>
      <c r="F31" s="14">
        <f t="shared" si="1"/>
        <v>0.75980957100991864</v>
      </c>
      <c r="G31" s="14">
        <f t="shared" si="2"/>
        <v>30</v>
      </c>
      <c r="H31" s="14">
        <f t="shared" si="3"/>
        <v>-2.0333333333333332</v>
      </c>
      <c r="I31" s="14">
        <f t="shared" si="4"/>
        <v>-0.91273010264039978</v>
      </c>
      <c r="K31" s="17">
        <f>$E$39</f>
        <v>-19.866666666666667</v>
      </c>
      <c r="L31" s="14">
        <v>1</v>
      </c>
    </row>
    <row r="32" spans="1:12">
      <c r="A32" s="16">
        <v>-7.3666666666666671</v>
      </c>
      <c r="B32" s="16">
        <f>_xlfn.RANK.EQ(C32,$C:$C,1)+COUNTIF($C$2:C32,C32)-1</f>
        <v>18</v>
      </c>
      <c r="C32" s="16">
        <f t="shared" si="0"/>
        <v>-7.3666666666666671</v>
      </c>
      <c r="D32" s="16">
        <v>-1.8</v>
      </c>
      <c r="F32" s="14">
        <f t="shared" si="1"/>
        <v>0.85105852683856942</v>
      </c>
      <c r="G32" s="14">
        <f t="shared" si="2"/>
        <v>31</v>
      </c>
      <c r="H32" s="14">
        <f t="shared" si="3"/>
        <v>-1.0999999999999999</v>
      </c>
      <c r="I32" s="14">
        <f t="shared" si="4"/>
        <v>-0.83915799154148829</v>
      </c>
      <c r="K32" s="17">
        <f>$E$40</f>
        <v>-7.2666666666666666</v>
      </c>
      <c r="L32" s="14">
        <v>1</v>
      </c>
    </row>
    <row r="33" spans="1:13">
      <c r="A33" s="16">
        <v>-2.0333333333333332</v>
      </c>
      <c r="B33" s="16">
        <f>_xlfn.RANK.EQ(C33,$C:$C,1)+COUNTIF($C$2:C33,C33)-1</f>
        <v>30</v>
      </c>
      <c r="C33" s="16">
        <f t="shared" si="0"/>
        <v>-2.0333333333333332</v>
      </c>
      <c r="D33" s="16" t="s">
        <v>95</v>
      </c>
      <c r="E33" s="17">
        <f>E6-E8*E37</f>
        <v>-20.467355888925283</v>
      </c>
      <c r="F33" s="14">
        <f t="shared" si="1"/>
        <v>0.95001375566931956</v>
      </c>
      <c r="G33" s="14">
        <f t="shared" si="2"/>
        <v>32</v>
      </c>
      <c r="H33" s="14">
        <f t="shared" si="3"/>
        <v>2.9</v>
      </c>
      <c r="I33" s="14">
        <f t="shared" si="4"/>
        <v>-0.58122023325443384</v>
      </c>
      <c r="J33" s="14">
        <v>-20</v>
      </c>
      <c r="K33" s="14">
        <f>COUNTIF($C$2:$C$39,"&lt;="&amp;J33)</f>
        <v>0</v>
      </c>
      <c r="L33" s="14">
        <f t="shared" ref="L33:L40" si="5">IF(4.3&lt;&gt;0,M$33/M$34*_xlfn.NORM.DIST(J33-4.3/2,AVERAGE($C$2:$C$39),_xlfn.STDEV.S($C$2:$C$39),FALSE),K33)</f>
        <v>0.83055226682750749</v>
      </c>
      <c r="M33" s="14">
        <f>MAX($K$33:$K$40)</f>
        <v>14</v>
      </c>
    </row>
    <row r="34" spans="1:13">
      <c r="A34" s="16">
        <v>-4.8666666666666671</v>
      </c>
      <c r="B34" s="16">
        <f>_xlfn.RANK.EQ(C34,$C:$C,1)+COUNTIF($C$2:C34,C34)-1</f>
        <v>26</v>
      </c>
      <c r="C34" s="16">
        <f t="shared" si="0"/>
        <v>-4.8666666666666671</v>
      </c>
      <c r="D34" s="16">
        <v>-4.1333333333333329</v>
      </c>
      <c r="E34" s="17">
        <f>E6+E8*E37</f>
        <v>7.7501629064691429</v>
      </c>
      <c r="F34" s="14">
        <f t="shared" si="1"/>
        <v>1.0592769170824312</v>
      </c>
      <c r="G34" s="14">
        <f t="shared" si="2"/>
        <v>33</v>
      </c>
      <c r="H34" s="14">
        <f t="shared" si="3"/>
        <v>3.3666666666666667</v>
      </c>
      <c r="I34" s="14">
        <f t="shared" si="4"/>
        <v>-0.5708053189946205</v>
      </c>
      <c r="J34" s="14">
        <f t="shared" ref="J34:J40" si="6">J33 + 4.3</f>
        <v>-15.7</v>
      </c>
      <c r="K34" s="14">
        <f t="shared" ref="K34:K40" si="7">COUNTIF($C$2:$C$39,"&lt;="&amp;J34)-COUNTIF($C$2:$C$39,"&lt;="&amp;J33)</f>
        <v>3</v>
      </c>
      <c r="L34" s="14">
        <f t="shared" si="5"/>
        <v>3.1705092376708301</v>
      </c>
      <c r="M34" s="14">
        <v>5.8936945059480592E-2</v>
      </c>
    </row>
    <row r="35" spans="1:13">
      <c r="A35" s="16">
        <v>-18.700000000000003</v>
      </c>
      <c r="B35" s="16">
        <f>_xlfn.RANK.EQ(C35,$C:$C,1)+COUNTIF($C$2:C35,C35)-1</f>
        <v>2</v>
      </c>
      <c r="C35" s="16">
        <f t="shared" si="0"/>
        <v>-18.700000000000003</v>
      </c>
      <c r="D35" s="16">
        <v>-6.9666666666666659</v>
      </c>
      <c r="F35" s="14">
        <f t="shared" si="1"/>
        <v>1.1829168441908862</v>
      </c>
      <c r="G35" s="14">
        <f t="shared" si="2"/>
        <v>34</v>
      </c>
      <c r="H35" s="14">
        <f t="shared" si="3"/>
        <v>3.6666666666666665</v>
      </c>
      <c r="I35" s="14">
        <f t="shared" si="4"/>
        <v>-0.48401644343728545</v>
      </c>
      <c r="J35" s="14">
        <f t="shared" si="6"/>
        <v>-11.399999999999999</v>
      </c>
      <c r="K35" s="14">
        <f t="shared" si="7"/>
        <v>2</v>
      </c>
      <c r="L35" s="14">
        <f t="shared" si="5"/>
        <v>7.9343231750223397</v>
      </c>
    </row>
    <row r="36" spans="1:13">
      <c r="A36" s="16">
        <v>5.8999999999999995</v>
      </c>
      <c r="B36" s="16">
        <f>_xlfn.RANK.EQ(C36,$C:$C,1)+COUNTIF($C$2:C36,C36)-1</f>
        <v>38</v>
      </c>
      <c r="C36" s="16">
        <f t="shared" si="0"/>
        <v>5.8999999999999995</v>
      </c>
      <c r="D36" s="16" t="s">
        <v>93</v>
      </c>
      <c r="E36" s="17">
        <f>-NORMSINV((1-D22)/2)*SQRT((E12-1)*(1+1/E12)/CHIINV(D31,E12-1))</f>
        <v>2.4615396090870374</v>
      </c>
      <c r="F36" s="14">
        <f t="shared" si="1"/>
        <v>1.3279018717558344</v>
      </c>
      <c r="G36" s="14">
        <f t="shared" si="2"/>
        <v>35</v>
      </c>
      <c r="H36" s="14">
        <f t="shared" si="3"/>
        <v>3.6999999999999997</v>
      </c>
      <c r="I36" s="14">
        <f t="shared" si="4"/>
        <v>-0.32503152583315392</v>
      </c>
      <c r="J36" s="14">
        <f t="shared" si="6"/>
        <v>-7.0999999999999988</v>
      </c>
      <c r="K36" s="14">
        <f t="shared" si="7"/>
        <v>14</v>
      </c>
      <c r="L36" s="14">
        <f t="shared" si="5"/>
        <v>13.01695959502303</v>
      </c>
    </row>
    <row r="37" spans="1:13">
      <c r="A37" s="16">
        <v>-4.7</v>
      </c>
      <c r="B37" s="16">
        <f>_xlfn.RANK.EQ(C37,$C:$C,1)+COUNTIF($C$2:C37,C37)-1</f>
        <v>27</v>
      </c>
      <c r="C37" s="16">
        <f t="shared" si="0"/>
        <v>-4.7</v>
      </c>
      <c r="D37" s="16" t="s">
        <v>94</v>
      </c>
      <c r="E37" s="17">
        <f>(-NORMSINV(1-D22)+SQRT((NORMSINV(1-D22))^2-(1-(NORMSINV(1-D31))^2/(2*(E12-1)))*((-NORMSINV(1-D22))^2--NORMSINV(1-D31)^2/E12)))/(1-(NORMSINV(1-D31))^2/(2*(E12-1)))</f>
        <v>2.1320903859151921</v>
      </c>
      <c r="F37" s="14">
        <f t="shared" si="1"/>
        <v>1.5079045914405591</v>
      </c>
      <c r="G37" s="14">
        <f t="shared" si="2"/>
        <v>36</v>
      </c>
      <c r="H37" s="14">
        <f t="shared" si="3"/>
        <v>5.7333333333333334</v>
      </c>
      <c r="I37" s="14">
        <f t="shared" si="4"/>
        <v>-0.1478596570554889</v>
      </c>
      <c r="J37" s="14">
        <f t="shared" si="6"/>
        <v>-2.7999999999999989</v>
      </c>
      <c r="K37" s="14">
        <f t="shared" si="7"/>
        <v>9</v>
      </c>
      <c r="L37" s="14">
        <f t="shared" si="5"/>
        <v>14</v>
      </c>
    </row>
    <row r="38" spans="1:13">
      <c r="A38" s="16">
        <v>-9.8333333333333339</v>
      </c>
      <c r="B38" s="16">
        <f>_xlfn.RANK.EQ(C38,$C:$C,1)+COUNTIF($C$2:C38,C38)-1</f>
        <v>11</v>
      </c>
      <c r="C38" s="16">
        <f t="shared" si="0"/>
        <v>-9.8333333333333339</v>
      </c>
      <c r="D38" s="16">
        <v>-8.0666666666666664</v>
      </c>
      <c r="F38" s="14">
        <f t="shared" si="1"/>
        <v>1.7568266072519048</v>
      </c>
      <c r="G38" s="14">
        <f t="shared" si="2"/>
        <v>37</v>
      </c>
      <c r="H38" s="14">
        <f t="shared" si="3"/>
        <v>5.7666666666666657</v>
      </c>
      <c r="I38" s="14">
        <f t="shared" si="4"/>
        <v>-0.12603168657677571</v>
      </c>
      <c r="J38" s="14">
        <f t="shared" si="6"/>
        <v>1.5000000000000009</v>
      </c>
      <c r="K38" s="14">
        <f t="shared" si="7"/>
        <v>3</v>
      </c>
      <c r="L38" s="14">
        <f t="shared" si="5"/>
        <v>9.8710947937081279</v>
      </c>
    </row>
    <row r="39" spans="1:13">
      <c r="A39" s="16">
        <v>-8.4999999999999982</v>
      </c>
      <c r="B39" s="16">
        <f>_xlfn.RANK.EQ(C39,$C:$C,1)+COUNTIF($C$2:C39,C39)-1</f>
        <v>16</v>
      </c>
      <c r="C39" s="16">
        <f t="shared" si="0"/>
        <v>-8.4999999999999982</v>
      </c>
      <c r="D39" s="16" t="s">
        <v>96</v>
      </c>
      <c r="E39" s="17">
        <f>SMALL($A:C,MAX(1,INT((E$12-_xlfn.BINOM.INV(E$12,D$40,D$31))/2)))</f>
        <v>-19.866666666666667</v>
      </c>
      <c r="F39" s="14">
        <f t="shared" si="1"/>
        <v>2.2215195883378365</v>
      </c>
      <c r="G39" s="14">
        <f t="shared" si="2"/>
        <v>38</v>
      </c>
      <c r="H39" s="14">
        <f t="shared" si="3"/>
        <v>5.8999999999999995</v>
      </c>
      <c r="I39" s="14">
        <f t="shared" si="4"/>
        <v>-0.1052462566058799</v>
      </c>
      <c r="J39" s="14">
        <f t="shared" si="6"/>
        <v>5.8000000000000007</v>
      </c>
      <c r="K39" s="14">
        <f t="shared" si="7"/>
        <v>6</v>
      </c>
      <c r="L39" s="14">
        <f t="shared" si="5"/>
        <v>4.5626947756230738</v>
      </c>
    </row>
    <row r="40" spans="1:13">
      <c r="D40" s="14">
        <v>0.95</v>
      </c>
      <c r="E40" s="17">
        <f>SMALL($A:C,MIN(E$12,INT(E$12+1-(E$12-_xlfn.BINOM.INV(E$12,D$40,D$31))/2)))</f>
        <v>-7.2666666666666666</v>
      </c>
      <c r="J40" s="14">
        <f t="shared" si="6"/>
        <v>10.100000000000001</v>
      </c>
      <c r="K40" s="14">
        <f t="shared" si="7"/>
        <v>1</v>
      </c>
      <c r="L40" s="14">
        <f t="shared" si="5"/>
        <v>1.3825992600240249</v>
      </c>
    </row>
    <row r="42" spans="1:13">
      <c r="D42" s="14" t="s">
        <v>69</v>
      </c>
      <c r="E42" s="17">
        <v>0.5</v>
      </c>
    </row>
  </sheetData>
  <pageMargins left="0.7" right="0.7" top="0.75" bottom="0.75" header="0.3" footer="0.3"/>
  <pageSetup scale="4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6037-3A97-47C4-A5B6-2DA0C06177D8}">
  <sheetPr>
    <tabColor rgb="FF66FF66"/>
  </sheetPr>
  <dimension ref="A1:A48"/>
  <sheetViews>
    <sheetView workbookViewId="0">
      <selection activeCell="A2" sqref="A2"/>
    </sheetView>
  </sheetViews>
  <sheetFormatPr defaultRowHeight="15"/>
  <sheetData>
    <row r="1" spans="1:1" ht="18.75">
      <c r="A1" s="33"/>
    </row>
    <row r="2" spans="1:1" ht="18.75">
      <c r="A2" s="34"/>
    </row>
    <row r="3" spans="1:1" ht="18.75">
      <c r="A3" s="34"/>
    </row>
    <row r="4" spans="1:1" ht="18.75">
      <c r="A4" s="34"/>
    </row>
    <row r="5" spans="1:1" ht="18.75">
      <c r="A5" s="35"/>
    </row>
    <row r="6" spans="1:1" ht="18.75">
      <c r="A6" s="34"/>
    </row>
    <row r="7" spans="1:1" ht="18.75">
      <c r="A7" s="34"/>
    </row>
    <row r="8" spans="1:1" ht="18.75">
      <c r="A8" s="34"/>
    </row>
    <row r="9" spans="1:1" ht="18.75">
      <c r="A9" s="34"/>
    </row>
    <row r="10" spans="1:1" ht="18.75">
      <c r="A10" s="34"/>
    </row>
    <row r="11" spans="1:1" ht="18.75">
      <c r="A11" s="34"/>
    </row>
    <row r="12" spans="1:1" ht="18.75">
      <c r="A12" s="34"/>
    </row>
    <row r="13" spans="1:1" ht="18.75">
      <c r="A13" s="34"/>
    </row>
    <row r="14" spans="1:1" ht="18.75">
      <c r="A14" s="34"/>
    </row>
    <row r="15" spans="1:1" ht="18.75">
      <c r="A15" s="34"/>
    </row>
    <row r="16" spans="1:1" ht="18.75">
      <c r="A16" s="34"/>
    </row>
    <row r="17" spans="1:1" ht="18.75">
      <c r="A17" s="34"/>
    </row>
    <row r="18" spans="1:1" ht="18.75">
      <c r="A18" s="34"/>
    </row>
    <row r="19" spans="1:1" ht="18.75">
      <c r="A19" s="34"/>
    </row>
    <row r="20" spans="1:1" ht="18.75">
      <c r="A20" s="34"/>
    </row>
    <row r="21" spans="1:1" ht="18.75">
      <c r="A21" s="34"/>
    </row>
    <row r="22" spans="1:1" ht="18.75">
      <c r="A22" s="34"/>
    </row>
    <row r="23" spans="1:1" ht="18.75">
      <c r="A23" s="34"/>
    </row>
    <row r="24" spans="1:1" ht="18.75">
      <c r="A24" s="34"/>
    </row>
    <row r="25" spans="1:1" ht="18.75">
      <c r="A25" s="34"/>
    </row>
    <row r="26" spans="1:1" ht="18.75">
      <c r="A26" s="34"/>
    </row>
    <row r="27" spans="1:1" ht="18.75">
      <c r="A27" s="34"/>
    </row>
    <row r="28" spans="1:1" ht="18.75">
      <c r="A28" s="34"/>
    </row>
    <row r="29" spans="1:1" ht="18.75">
      <c r="A29" s="34"/>
    </row>
    <row r="30" spans="1:1" ht="18.75">
      <c r="A30" s="34"/>
    </row>
    <row r="31" spans="1:1" ht="18.75">
      <c r="A31" s="34"/>
    </row>
    <row r="32" spans="1:1" ht="18.75">
      <c r="A32" s="34"/>
    </row>
    <row r="33" spans="1:1" ht="18.75">
      <c r="A33" s="34"/>
    </row>
    <row r="34" spans="1:1" ht="18.75">
      <c r="A34" s="34"/>
    </row>
    <row r="35" spans="1:1" ht="18.75">
      <c r="A35" s="34"/>
    </row>
    <row r="36" spans="1:1" ht="18.75">
      <c r="A36" s="34"/>
    </row>
    <row r="37" spans="1:1" ht="18.75">
      <c r="A37" s="34"/>
    </row>
    <row r="38" spans="1:1" ht="18.75">
      <c r="A38" s="34"/>
    </row>
    <row r="39" spans="1:1" ht="18.75">
      <c r="A39" s="34"/>
    </row>
    <row r="40" spans="1:1" ht="18.75">
      <c r="A40" s="46"/>
    </row>
    <row r="41" spans="1:1" ht="18.75">
      <c r="A41" s="47"/>
    </row>
    <row r="42" spans="1:1" ht="18.75">
      <c r="A42" s="47"/>
    </row>
    <row r="43" spans="1:1" ht="18.75">
      <c r="A43" s="46"/>
    </row>
    <row r="44" spans="1:1" ht="18.75">
      <c r="A44" s="47"/>
    </row>
    <row r="45" spans="1:1" ht="18.75">
      <c r="A45" s="47"/>
    </row>
    <row r="46" spans="1:1" ht="18.75">
      <c r="A46" s="46"/>
    </row>
    <row r="47" spans="1:1" ht="18.75">
      <c r="A47" s="47"/>
    </row>
    <row r="48" spans="1:1" ht="18.75">
      <c r="A48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5CAC-70DD-411C-A953-580E5CD5EFEB}">
  <sheetPr>
    <tabColor rgb="FF66FF66"/>
  </sheetPr>
  <dimension ref="A1:A100"/>
  <sheetViews>
    <sheetView workbookViewId="0">
      <selection sqref="A1:A48"/>
    </sheetView>
  </sheetViews>
  <sheetFormatPr defaultRowHeight="15"/>
  <cols>
    <col min="1" max="1" width="8.85546875" customWidth="1"/>
  </cols>
  <sheetData>
    <row r="1" spans="1:1" ht="18.75">
      <c r="A1" s="33" t="s">
        <v>18</v>
      </c>
    </row>
    <row r="2" spans="1:1" ht="18.75">
      <c r="A2" s="34">
        <v>-7.7666666666666657</v>
      </c>
    </row>
    <row r="3" spans="1:1" ht="18.75">
      <c r="A3" s="34">
        <v>-4.8</v>
      </c>
    </row>
    <row r="4" spans="1:1" ht="18.75">
      <c r="A4" s="34">
        <v>-4.833333333333333</v>
      </c>
    </row>
    <row r="5" spans="1:1" ht="18.75">
      <c r="A5" s="35">
        <v>4.1333333333333337</v>
      </c>
    </row>
    <row r="6" spans="1:1" ht="18.75">
      <c r="A6" s="34">
        <v>-2.6666666666666665</v>
      </c>
    </row>
    <row r="7" spans="1:1" ht="18.75">
      <c r="A7" s="34">
        <v>-7.2</v>
      </c>
    </row>
    <row r="8" spans="1:1" ht="18.75">
      <c r="A8" s="34">
        <v>-8.6333333333333346</v>
      </c>
    </row>
    <row r="9" spans="1:1" ht="18.75">
      <c r="A9" s="34">
        <v>-10.899999999999999</v>
      </c>
    </row>
    <row r="10" spans="1:1" ht="18.75">
      <c r="A10" s="34">
        <v>-5.8</v>
      </c>
    </row>
    <row r="11" spans="1:1" ht="18.75">
      <c r="A11" s="34">
        <v>-8.6666666666666661</v>
      </c>
    </row>
    <row r="12" spans="1:1" ht="18.75">
      <c r="A12" s="34">
        <v>-4.666666666666667</v>
      </c>
    </row>
    <row r="13" spans="1:1" ht="18.75">
      <c r="A13" s="34">
        <v>-9.7999999999999989</v>
      </c>
    </row>
    <row r="14" spans="1:1" ht="18.75">
      <c r="A14" s="34">
        <v>-5.9666666666666659</v>
      </c>
    </row>
    <row r="15" spans="1:1" ht="18.75">
      <c r="A15" s="34">
        <v>-6.4333333333333336</v>
      </c>
    </row>
    <row r="16" spans="1:1" ht="18.75">
      <c r="A16" s="34">
        <v>-11.6</v>
      </c>
    </row>
    <row r="17" spans="1:1" ht="18.75">
      <c r="A17" s="34">
        <v>-9.5333333333333332</v>
      </c>
    </row>
    <row r="18" spans="1:1" ht="18.75">
      <c r="A18" s="34">
        <v>-6.5666666666666664</v>
      </c>
    </row>
    <row r="19" spans="1:1" ht="18.75">
      <c r="A19" s="34">
        <v>2.8333333333333335</v>
      </c>
    </row>
    <row r="20" spans="1:1" ht="18.75">
      <c r="A20" s="34">
        <v>-4.2333333333333334</v>
      </c>
    </row>
    <row r="21" spans="1:1" ht="18.75">
      <c r="A21" s="34">
        <v>-11.633333333333333</v>
      </c>
    </row>
    <row r="22" spans="1:1" ht="18.75">
      <c r="A22" s="34">
        <v>-4.833333333333333</v>
      </c>
    </row>
    <row r="23" spans="1:1" ht="18.75">
      <c r="A23" s="34">
        <v>-8.4</v>
      </c>
    </row>
    <row r="24" spans="1:1" ht="18.75">
      <c r="A24" s="34">
        <v>-2.9333333333333336</v>
      </c>
    </row>
    <row r="25" spans="1:1" ht="18.75">
      <c r="A25" s="34">
        <v>-5.166666666666667</v>
      </c>
    </row>
    <row r="26" spans="1:1" ht="18.75">
      <c r="A26" s="34">
        <v>-5.8666666666666671</v>
      </c>
    </row>
    <row r="27" spans="1:1" ht="18.75">
      <c r="A27" s="34">
        <v>-6.666666666666667</v>
      </c>
    </row>
    <row r="28" spans="1:1" ht="18.75">
      <c r="A28" s="34">
        <v>-4.9666666666666668</v>
      </c>
    </row>
    <row r="29" spans="1:1" ht="18.75">
      <c r="A29" s="34">
        <v>-8.2666666666666675</v>
      </c>
    </row>
    <row r="30" spans="1:1" ht="18.75">
      <c r="A30" s="34">
        <v>-5.7333333333333334</v>
      </c>
    </row>
    <row r="31" spans="1:1" ht="18.75">
      <c r="A31" s="34">
        <v>-6.5</v>
      </c>
    </row>
    <row r="32" spans="1:1" ht="18.75">
      <c r="A32" s="34">
        <v>-4.2</v>
      </c>
    </row>
    <row r="33" spans="1:1" ht="18.75">
      <c r="A33" s="34">
        <v>-2.6666666666666665</v>
      </c>
    </row>
    <row r="34" spans="1:1" ht="18.75">
      <c r="A34" s="34">
        <v>-7.3666666666666663</v>
      </c>
    </row>
    <row r="35" spans="1:1" ht="18.75">
      <c r="A35" s="34">
        <v>-6.8</v>
      </c>
    </row>
    <row r="36" spans="1:1" ht="18.75">
      <c r="A36" s="34">
        <v>4.6333333333333329</v>
      </c>
    </row>
    <row r="37" spans="1:1" ht="18.75">
      <c r="A37" s="34">
        <v>-8.8933333333333326</v>
      </c>
    </row>
    <row r="38" spans="1:1" ht="18.75">
      <c r="A38" s="34">
        <v>-8.4</v>
      </c>
    </row>
    <row r="39" spans="1:1" ht="18.75">
      <c r="A39" s="34">
        <v>-7.333333333333333</v>
      </c>
    </row>
    <row r="40" spans="1:1" ht="18.75">
      <c r="A40" s="46"/>
    </row>
    <row r="41" spans="1:1" ht="18.75">
      <c r="A41" s="47">
        <v>-5.9526315789473685</v>
      </c>
    </row>
    <row r="42" spans="1:1" ht="18.75">
      <c r="A42" s="47">
        <v>-5.4604166666666671</v>
      </c>
    </row>
    <row r="43" spans="1:1" ht="18.75">
      <c r="A43" s="46"/>
    </row>
    <row r="44" spans="1:1" ht="18.75">
      <c r="A44" s="47">
        <v>-4.3133333333333335</v>
      </c>
    </row>
    <row r="45" spans="1:1" ht="18.75">
      <c r="A45" s="47">
        <v>-7.7740740740740728</v>
      </c>
    </row>
    <row r="46" spans="1:1" ht="18.75">
      <c r="A46" s="46"/>
    </row>
    <row r="47" spans="1:1" ht="18.75">
      <c r="A47" s="47">
        <v>-4.511111111111112</v>
      </c>
    </row>
    <row r="48" spans="1:1" ht="18.75">
      <c r="A48" s="47">
        <v>-7.1393333333333331</v>
      </c>
    </row>
    <row r="49" spans="1:1" ht="18.75">
      <c r="A49" s="46"/>
    </row>
    <row r="50" spans="1:1" ht="18.75">
      <c r="A50" s="46"/>
    </row>
    <row r="51" spans="1:1" ht="18.75">
      <c r="A51" s="46"/>
    </row>
    <row r="52" spans="1:1" ht="18.75">
      <c r="A52" s="46"/>
    </row>
    <row r="53" spans="1:1" ht="18.75">
      <c r="A53" s="46"/>
    </row>
    <row r="54" spans="1:1" ht="18.75">
      <c r="A54" s="46"/>
    </row>
    <row r="55" spans="1:1" ht="18.75">
      <c r="A55" s="46"/>
    </row>
    <row r="56" spans="1:1" ht="18.75">
      <c r="A56" s="46"/>
    </row>
    <row r="57" spans="1:1" ht="18.75">
      <c r="A57" s="46"/>
    </row>
    <row r="58" spans="1:1" ht="18.75">
      <c r="A58" s="46"/>
    </row>
    <row r="59" spans="1:1" ht="18.75">
      <c r="A59" s="46"/>
    </row>
    <row r="60" spans="1:1" ht="18.75">
      <c r="A60" s="46"/>
    </row>
    <row r="61" spans="1:1" ht="18.75">
      <c r="A61" s="46"/>
    </row>
    <row r="62" spans="1:1" ht="18.75">
      <c r="A62" s="46"/>
    </row>
    <row r="63" spans="1:1" ht="18.75">
      <c r="A63" s="46"/>
    </row>
    <row r="64" spans="1:1" ht="18.75">
      <c r="A64" s="46"/>
    </row>
    <row r="65" spans="1:1" ht="18.75">
      <c r="A65" s="46"/>
    </row>
    <row r="66" spans="1:1" ht="18.75">
      <c r="A66" s="46"/>
    </row>
    <row r="67" spans="1:1" ht="18.75">
      <c r="A67" s="46"/>
    </row>
    <row r="68" spans="1:1" ht="18.75">
      <c r="A68" s="46"/>
    </row>
    <row r="69" spans="1:1" ht="18.75">
      <c r="A69" s="46"/>
    </row>
    <row r="70" spans="1:1" ht="18.75">
      <c r="A70" s="46"/>
    </row>
    <row r="71" spans="1:1" ht="18.75">
      <c r="A71" s="46"/>
    </row>
    <row r="72" spans="1:1" ht="18.75">
      <c r="A72" s="46"/>
    </row>
    <row r="73" spans="1:1" ht="18.75">
      <c r="A73" s="46"/>
    </row>
    <row r="74" spans="1:1" ht="18.75">
      <c r="A74" s="46"/>
    </row>
    <row r="75" spans="1:1" ht="18.75">
      <c r="A75" s="46"/>
    </row>
    <row r="76" spans="1:1" ht="18.75">
      <c r="A76" s="46"/>
    </row>
    <row r="77" spans="1:1" ht="18.75">
      <c r="A77" s="46"/>
    </row>
    <row r="78" spans="1:1" ht="18.75">
      <c r="A78" s="46"/>
    </row>
    <row r="79" spans="1:1" ht="18.75">
      <c r="A79" s="46"/>
    </row>
    <row r="80" spans="1:1" ht="18.75">
      <c r="A80" s="46"/>
    </row>
    <row r="81" spans="1:1" ht="18.75">
      <c r="A81" s="46"/>
    </row>
    <row r="82" spans="1:1" ht="18.75">
      <c r="A82" s="46"/>
    </row>
    <row r="83" spans="1:1" ht="18.75">
      <c r="A83" s="46"/>
    </row>
    <row r="84" spans="1:1" ht="18.75">
      <c r="A84" s="46"/>
    </row>
    <row r="85" spans="1:1" ht="18.75">
      <c r="A85" s="46"/>
    </row>
    <row r="86" spans="1:1" ht="18.75">
      <c r="A86" s="46"/>
    </row>
    <row r="87" spans="1:1" ht="18.75">
      <c r="A87" s="46"/>
    </row>
    <row r="88" spans="1:1" ht="18.75">
      <c r="A88" s="46"/>
    </row>
    <row r="89" spans="1:1" ht="18.75">
      <c r="A89" s="46"/>
    </row>
    <row r="90" spans="1:1" ht="18.75">
      <c r="A90" s="46"/>
    </row>
    <row r="91" spans="1:1" ht="18.75">
      <c r="A91" s="46"/>
    </row>
    <row r="92" spans="1:1" ht="18.75">
      <c r="A92" s="46"/>
    </row>
    <row r="93" spans="1:1" ht="18.75">
      <c r="A93" s="46"/>
    </row>
    <row r="94" spans="1:1" ht="18.75">
      <c r="A94" s="46"/>
    </row>
    <row r="95" spans="1:1" ht="18.75">
      <c r="A95" s="46"/>
    </row>
    <row r="96" spans="1:1" ht="18.75">
      <c r="A96" s="46"/>
    </row>
    <row r="97" spans="1:1" ht="18.75">
      <c r="A97" s="46"/>
    </row>
    <row r="98" spans="1:1" ht="18.75">
      <c r="A98" s="46"/>
    </row>
    <row r="99" spans="1:1" ht="18.75">
      <c r="A99" s="46"/>
    </row>
    <row r="100" spans="1:1" ht="18.75">
      <c r="A100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8C61-559F-4CC3-A524-E096EF06DBC8}">
  <dimension ref="A1:F39"/>
  <sheetViews>
    <sheetView workbookViewId="0">
      <selection activeCell="C5" sqref="C5"/>
    </sheetView>
  </sheetViews>
  <sheetFormatPr defaultRowHeight="15"/>
  <sheetData>
    <row r="1" spans="1:6">
      <c r="A1" s="54" t="s">
        <v>106</v>
      </c>
      <c r="B1" s="54" t="s">
        <v>107</v>
      </c>
      <c r="C1" s="54" t="s">
        <v>70</v>
      </c>
      <c r="D1" s="54" t="s">
        <v>108</v>
      </c>
    </row>
    <row r="2" spans="1:6">
      <c r="A2" s="48">
        <v>35</v>
      </c>
      <c r="B2" s="49">
        <v>4.6333333333333329</v>
      </c>
      <c r="C2" s="48">
        <v>1</v>
      </c>
      <c r="D2" s="50">
        <v>1</v>
      </c>
      <c r="F2">
        <f>_xlfn.PERCENTILE.INC(Sheet1!T2:T39,0.01)</f>
        <v>-11.621</v>
      </c>
    </row>
    <row r="3" spans="1:6">
      <c r="A3" s="48">
        <v>4</v>
      </c>
      <c r="B3" s="49">
        <v>4.1333333333333337</v>
      </c>
      <c r="C3" s="48">
        <v>2</v>
      </c>
      <c r="D3" s="50">
        <v>0.97199999999999998</v>
      </c>
    </row>
    <row r="4" spans="1:6">
      <c r="A4" s="48">
        <v>18</v>
      </c>
      <c r="B4" s="49">
        <v>2.8333333333333335</v>
      </c>
      <c r="C4" s="48">
        <v>3</v>
      </c>
      <c r="D4" s="50">
        <v>0.94499999999999995</v>
      </c>
    </row>
    <row r="5" spans="1:6">
      <c r="A5" s="48">
        <v>5</v>
      </c>
      <c r="B5" s="49">
        <v>-2.6666666666666665</v>
      </c>
      <c r="C5" s="48">
        <v>4</v>
      </c>
      <c r="D5" s="50">
        <v>0.89100000000000001</v>
      </c>
    </row>
    <row r="6" spans="1:6">
      <c r="A6" s="48">
        <v>32</v>
      </c>
      <c r="B6" s="49">
        <v>-2.6666666666666665</v>
      </c>
      <c r="C6" s="48">
        <v>4</v>
      </c>
      <c r="D6" s="50">
        <v>0.89100000000000001</v>
      </c>
    </row>
    <row r="7" spans="1:6">
      <c r="A7" s="48">
        <v>23</v>
      </c>
      <c r="B7" s="49">
        <v>-2.9333333333333336</v>
      </c>
      <c r="C7" s="48">
        <v>6</v>
      </c>
      <c r="D7" s="50">
        <v>0.86399999999999999</v>
      </c>
    </row>
    <row r="8" spans="1:6">
      <c r="A8" s="48">
        <v>31</v>
      </c>
      <c r="B8" s="49">
        <v>-4.2</v>
      </c>
      <c r="C8" s="48">
        <v>7</v>
      </c>
      <c r="D8" s="50">
        <v>0.83699999999999997</v>
      </c>
    </row>
    <row r="9" spans="1:6">
      <c r="A9" s="48">
        <v>19</v>
      </c>
      <c r="B9" s="49">
        <v>-4.2333333333333334</v>
      </c>
      <c r="C9" s="48">
        <v>8</v>
      </c>
      <c r="D9" s="50">
        <v>0.81</v>
      </c>
    </row>
    <row r="10" spans="1:6">
      <c r="A10" s="48">
        <v>11</v>
      </c>
      <c r="B10" s="49">
        <v>-4.666666666666667</v>
      </c>
      <c r="C10" s="48">
        <v>9</v>
      </c>
      <c r="D10" s="50">
        <v>0.78300000000000003</v>
      </c>
    </row>
    <row r="11" spans="1:6">
      <c r="A11" s="48">
        <v>2</v>
      </c>
      <c r="B11" s="49">
        <v>-4.8</v>
      </c>
      <c r="C11" s="48">
        <v>10</v>
      </c>
      <c r="D11" s="50">
        <v>0.75600000000000001</v>
      </c>
    </row>
    <row r="12" spans="1:6">
      <c r="A12" s="48">
        <v>3</v>
      </c>
      <c r="B12" s="49">
        <v>-4.833333333333333</v>
      </c>
      <c r="C12" s="48">
        <v>11</v>
      </c>
      <c r="D12" s="50">
        <v>0.70199999999999996</v>
      </c>
    </row>
    <row r="13" spans="1:6">
      <c r="A13" s="48">
        <v>21</v>
      </c>
      <c r="B13" s="49">
        <v>-4.833333333333333</v>
      </c>
      <c r="C13" s="48">
        <v>11</v>
      </c>
      <c r="D13" s="50">
        <v>0.70199999999999996</v>
      </c>
    </row>
    <row r="14" spans="1:6">
      <c r="A14" s="48">
        <v>27</v>
      </c>
      <c r="B14" s="49">
        <v>-4.9666666666666668</v>
      </c>
      <c r="C14" s="48">
        <v>13</v>
      </c>
      <c r="D14" s="50">
        <v>0.67500000000000004</v>
      </c>
    </row>
    <row r="15" spans="1:6">
      <c r="A15" s="48">
        <v>24</v>
      </c>
      <c r="B15" s="49">
        <v>-5.166666666666667</v>
      </c>
      <c r="C15" s="48">
        <v>14</v>
      </c>
      <c r="D15" s="50">
        <v>0.64800000000000002</v>
      </c>
    </row>
    <row r="16" spans="1:6">
      <c r="A16" s="48">
        <v>29</v>
      </c>
      <c r="B16" s="49">
        <v>-5.7333333333333334</v>
      </c>
      <c r="C16" s="48">
        <v>15</v>
      </c>
      <c r="D16" s="50">
        <v>0.621</v>
      </c>
    </row>
    <row r="17" spans="1:4">
      <c r="A17" s="48">
        <v>9</v>
      </c>
      <c r="B17" s="49">
        <v>-5.8</v>
      </c>
      <c r="C17" s="48">
        <v>16</v>
      </c>
      <c r="D17" s="50">
        <v>0.59399999999999997</v>
      </c>
    </row>
    <row r="18" spans="1:4">
      <c r="A18" s="48">
        <v>25</v>
      </c>
      <c r="B18" s="49">
        <v>-5.8666666666666671</v>
      </c>
      <c r="C18" s="48">
        <v>17</v>
      </c>
      <c r="D18" s="50">
        <v>0.56699999999999995</v>
      </c>
    </row>
    <row r="19" spans="1:4">
      <c r="A19" s="48">
        <v>13</v>
      </c>
      <c r="B19" s="49">
        <v>-5.9666666666666659</v>
      </c>
      <c r="C19" s="48">
        <v>18</v>
      </c>
      <c r="D19" s="50">
        <v>0.54</v>
      </c>
    </row>
    <row r="20" spans="1:4">
      <c r="A20" s="48">
        <v>14</v>
      </c>
      <c r="B20" s="49">
        <v>-6.4333333333333336</v>
      </c>
      <c r="C20" s="48">
        <v>19</v>
      </c>
      <c r="D20" s="50">
        <v>0.51300000000000001</v>
      </c>
    </row>
    <row r="21" spans="1:4">
      <c r="A21" s="48">
        <v>30</v>
      </c>
      <c r="B21" s="49">
        <v>-6.5</v>
      </c>
      <c r="C21" s="48">
        <v>20</v>
      </c>
      <c r="D21" s="50">
        <v>0.48599999999999999</v>
      </c>
    </row>
    <row r="22" spans="1:4">
      <c r="A22" s="48">
        <v>17</v>
      </c>
      <c r="B22" s="49">
        <v>-6.5666666666666664</v>
      </c>
      <c r="C22" s="48">
        <v>21</v>
      </c>
      <c r="D22" s="50">
        <v>0.45900000000000002</v>
      </c>
    </row>
    <row r="23" spans="1:4">
      <c r="A23" s="48">
        <v>26</v>
      </c>
      <c r="B23" s="49">
        <v>-6.666666666666667</v>
      </c>
      <c r="C23" s="48">
        <v>22</v>
      </c>
      <c r="D23" s="50">
        <v>0.432</v>
      </c>
    </row>
    <row r="24" spans="1:4">
      <c r="A24" s="48">
        <v>34</v>
      </c>
      <c r="B24" s="49">
        <v>-6.8</v>
      </c>
      <c r="C24" s="48">
        <v>23</v>
      </c>
      <c r="D24" s="50">
        <v>0.40500000000000003</v>
      </c>
    </row>
    <row r="25" spans="1:4">
      <c r="A25" s="48">
        <v>6</v>
      </c>
      <c r="B25" s="49">
        <v>-7.2</v>
      </c>
      <c r="C25" s="48">
        <v>24</v>
      </c>
      <c r="D25" s="50">
        <v>0.378</v>
      </c>
    </row>
    <row r="26" spans="1:4">
      <c r="A26" s="48">
        <v>38</v>
      </c>
      <c r="B26" s="49">
        <v>-7.333333333333333</v>
      </c>
      <c r="C26" s="48">
        <v>25</v>
      </c>
      <c r="D26" s="50">
        <v>0.35099999999999998</v>
      </c>
    </row>
    <row r="27" spans="1:4">
      <c r="A27" s="48">
        <v>33</v>
      </c>
      <c r="B27" s="49">
        <v>-7.3666666666666663</v>
      </c>
      <c r="C27" s="48">
        <v>26</v>
      </c>
      <c r="D27" s="50">
        <v>0.32400000000000001</v>
      </c>
    </row>
    <row r="28" spans="1:4">
      <c r="A28" s="48">
        <v>1</v>
      </c>
      <c r="B28" s="49">
        <v>-7.7666666666666657</v>
      </c>
      <c r="C28" s="48">
        <v>27</v>
      </c>
      <c r="D28" s="50">
        <v>0.29699999999999999</v>
      </c>
    </row>
    <row r="29" spans="1:4">
      <c r="A29" s="48">
        <v>28</v>
      </c>
      <c r="B29" s="49">
        <v>-8.2666666666666675</v>
      </c>
      <c r="C29" s="48">
        <v>28</v>
      </c>
      <c r="D29" s="50">
        <v>0.27</v>
      </c>
    </row>
    <row r="30" spans="1:4">
      <c r="A30" s="48">
        <v>22</v>
      </c>
      <c r="B30" s="49">
        <v>-8.4</v>
      </c>
      <c r="C30" s="48">
        <v>29</v>
      </c>
      <c r="D30" s="50">
        <v>0.216</v>
      </c>
    </row>
    <row r="31" spans="1:4">
      <c r="A31" s="48">
        <v>37</v>
      </c>
      <c r="B31" s="49">
        <v>-8.4</v>
      </c>
      <c r="C31" s="48">
        <v>29</v>
      </c>
      <c r="D31" s="50">
        <v>0.216</v>
      </c>
    </row>
    <row r="32" spans="1:4">
      <c r="A32" s="48">
        <v>7</v>
      </c>
      <c r="B32" s="49">
        <v>-8.6333333333333346</v>
      </c>
      <c r="C32" s="48">
        <v>31</v>
      </c>
      <c r="D32" s="50">
        <v>0.189</v>
      </c>
    </row>
    <row r="33" spans="1:4">
      <c r="A33" s="48">
        <v>10</v>
      </c>
      <c r="B33" s="49">
        <v>-8.6666666666666661</v>
      </c>
      <c r="C33" s="48">
        <v>32</v>
      </c>
      <c r="D33" s="50">
        <v>0.16200000000000001</v>
      </c>
    </row>
    <row r="34" spans="1:4">
      <c r="A34" s="48">
        <v>36</v>
      </c>
      <c r="B34" s="49">
        <v>-8.8933333333333326</v>
      </c>
      <c r="C34" s="48">
        <v>33</v>
      </c>
      <c r="D34" s="50">
        <v>0.13500000000000001</v>
      </c>
    </row>
    <row r="35" spans="1:4">
      <c r="A35" s="48">
        <v>16</v>
      </c>
      <c r="B35" s="49">
        <v>-9.5333333333333332</v>
      </c>
      <c r="C35" s="48">
        <v>34</v>
      </c>
      <c r="D35" s="50">
        <v>0.108</v>
      </c>
    </row>
    <row r="36" spans="1:4">
      <c r="A36" s="48">
        <v>12</v>
      </c>
      <c r="B36" s="49">
        <v>-9.7999999999999989</v>
      </c>
      <c r="C36" s="48">
        <v>35</v>
      </c>
      <c r="D36" s="50">
        <v>8.1000000000000003E-2</v>
      </c>
    </row>
    <row r="37" spans="1:4">
      <c r="A37" s="48">
        <v>8</v>
      </c>
      <c r="B37" s="49">
        <v>-10.899999999999999</v>
      </c>
      <c r="C37" s="48">
        <v>36</v>
      </c>
      <c r="D37" s="50">
        <v>5.3999999999999999E-2</v>
      </c>
    </row>
    <row r="38" spans="1:4">
      <c r="A38" s="48">
        <v>15</v>
      </c>
      <c r="B38" s="49">
        <v>-11.6</v>
      </c>
      <c r="C38" s="48">
        <v>37</v>
      </c>
      <c r="D38" s="50">
        <v>2.7E-2</v>
      </c>
    </row>
    <row r="39" spans="1:4" ht="15.75" thickBot="1">
      <c r="A39" s="51">
        <v>20</v>
      </c>
      <c r="B39" s="52">
        <v>-11.633333333333333</v>
      </c>
      <c r="C39" s="51">
        <v>38</v>
      </c>
      <c r="D39" s="53">
        <v>0</v>
      </c>
    </row>
  </sheetData>
  <sortState xmlns:xlrd2="http://schemas.microsoft.com/office/spreadsheetml/2017/richdata2" ref="A2:D39">
    <sortCondition ref="C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1CB4-00D9-439F-BB06-1938EBF18FF0}">
  <dimension ref="A1:D39"/>
  <sheetViews>
    <sheetView workbookViewId="0">
      <selection activeCell="E5" sqref="E5"/>
    </sheetView>
  </sheetViews>
  <sheetFormatPr defaultRowHeight="15"/>
  <sheetData>
    <row r="1" spans="1:4">
      <c r="A1" s="54" t="s">
        <v>106</v>
      </c>
      <c r="B1" s="54" t="s">
        <v>107</v>
      </c>
      <c r="C1" s="54" t="s">
        <v>70</v>
      </c>
      <c r="D1" s="54" t="s">
        <v>108</v>
      </c>
    </row>
    <row r="2" spans="1:4">
      <c r="A2" s="48">
        <v>35</v>
      </c>
      <c r="B2" s="49">
        <v>4.6333333333333329</v>
      </c>
      <c r="C2" s="48">
        <v>1</v>
      </c>
      <c r="D2" s="50">
        <v>1</v>
      </c>
    </row>
    <row r="3" spans="1:4">
      <c r="A3" s="48">
        <v>4</v>
      </c>
      <c r="B3" s="49">
        <v>4.1333333333333337</v>
      </c>
      <c r="C3" s="48">
        <v>2</v>
      </c>
      <c r="D3" s="50">
        <v>0.97199999999999998</v>
      </c>
    </row>
    <row r="4" spans="1:4">
      <c r="A4" s="48">
        <v>18</v>
      </c>
      <c r="B4" s="49">
        <v>2.8333333333333335</v>
      </c>
      <c r="C4" s="48">
        <v>3</v>
      </c>
      <c r="D4" s="50">
        <v>0.94499999999999995</v>
      </c>
    </row>
    <row r="5" spans="1:4">
      <c r="A5" s="48">
        <v>5</v>
      </c>
      <c r="B5" s="49">
        <v>-2.6666666666666665</v>
      </c>
      <c r="C5" s="48">
        <v>4</v>
      </c>
      <c r="D5" s="50">
        <v>0.89100000000000001</v>
      </c>
    </row>
    <row r="6" spans="1:4">
      <c r="A6" s="48">
        <v>32</v>
      </c>
      <c r="B6" s="49">
        <v>-2.6666666666666665</v>
      </c>
      <c r="C6" s="48">
        <v>4</v>
      </c>
      <c r="D6" s="50">
        <v>0.89100000000000001</v>
      </c>
    </row>
    <row r="7" spans="1:4">
      <c r="A7" s="48">
        <v>23</v>
      </c>
      <c r="B7" s="49">
        <v>-2.9333333333333336</v>
      </c>
      <c r="C7" s="48">
        <v>6</v>
      </c>
      <c r="D7" s="50">
        <v>0.86399999999999999</v>
      </c>
    </row>
    <row r="8" spans="1:4">
      <c r="A8" s="48">
        <v>31</v>
      </c>
      <c r="B8" s="49">
        <v>-4.2</v>
      </c>
      <c r="C8" s="48">
        <v>7</v>
      </c>
      <c r="D8" s="50">
        <v>0.83699999999999997</v>
      </c>
    </row>
    <row r="9" spans="1:4">
      <c r="A9" s="48">
        <v>19</v>
      </c>
      <c r="B9" s="49">
        <v>-4.2333333333333334</v>
      </c>
      <c r="C9" s="48">
        <v>8</v>
      </c>
      <c r="D9" s="50">
        <v>0.81</v>
      </c>
    </row>
    <row r="10" spans="1:4">
      <c r="A10" s="48">
        <v>11</v>
      </c>
      <c r="B10" s="49">
        <v>-4.666666666666667</v>
      </c>
      <c r="C10" s="48">
        <v>9</v>
      </c>
      <c r="D10" s="50">
        <v>0.78300000000000003</v>
      </c>
    </row>
    <row r="11" spans="1:4">
      <c r="A11" s="48">
        <v>2</v>
      </c>
      <c r="B11" s="49">
        <v>-4.8</v>
      </c>
      <c r="C11" s="48">
        <v>10</v>
      </c>
      <c r="D11" s="50">
        <v>0.75600000000000001</v>
      </c>
    </row>
    <row r="12" spans="1:4">
      <c r="A12" s="48">
        <v>3</v>
      </c>
      <c r="B12" s="49">
        <v>-4.833333333333333</v>
      </c>
      <c r="C12" s="48">
        <v>11</v>
      </c>
      <c r="D12" s="50">
        <v>0.70199999999999996</v>
      </c>
    </row>
    <row r="13" spans="1:4">
      <c r="A13" s="48">
        <v>21</v>
      </c>
      <c r="B13" s="49">
        <v>-4.833333333333333</v>
      </c>
      <c r="C13" s="48">
        <v>11</v>
      </c>
      <c r="D13" s="50">
        <v>0.70199999999999996</v>
      </c>
    </row>
    <row r="14" spans="1:4">
      <c r="A14" s="48">
        <v>27</v>
      </c>
      <c r="B14" s="49">
        <v>-4.9666666666666668</v>
      </c>
      <c r="C14" s="48">
        <v>13</v>
      </c>
      <c r="D14" s="50">
        <v>0.67500000000000004</v>
      </c>
    </row>
    <row r="15" spans="1:4">
      <c r="A15" s="48">
        <v>24</v>
      </c>
      <c r="B15" s="49">
        <v>-5.166666666666667</v>
      </c>
      <c r="C15" s="48">
        <v>14</v>
      </c>
      <c r="D15" s="50">
        <v>0.64800000000000002</v>
      </c>
    </row>
    <row r="16" spans="1:4">
      <c r="A16" s="48">
        <v>29</v>
      </c>
      <c r="B16" s="49">
        <v>-5.7333333333333334</v>
      </c>
      <c r="C16" s="48">
        <v>15</v>
      </c>
      <c r="D16" s="50">
        <v>0.621</v>
      </c>
    </row>
    <row r="17" spans="1:4">
      <c r="A17" s="48">
        <v>9</v>
      </c>
      <c r="B17" s="49">
        <v>-5.8</v>
      </c>
      <c r="C17" s="48">
        <v>16</v>
      </c>
      <c r="D17" s="50">
        <v>0.59399999999999997</v>
      </c>
    </row>
    <row r="18" spans="1:4">
      <c r="A18" s="48">
        <v>25</v>
      </c>
      <c r="B18" s="49">
        <v>-5.8666666666666671</v>
      </c>
      <c r="C18" s="48">
        <v>17</v>
      </c>
      <c r="D18" s="50">
        <v>0.56699999999999995</v>
      </c>
    </row>
    <row r="19" spans="1:4">
      <c r="A19" s="48">
        <v>13</v>
      </c>
      <c r="B19" s="49">
        <v>-5.9666666666666659</v>
      </c>
      <c r="C19" s="48">
        <v>18</v>
      </c>
      <c r="D19" s="50">
        <v>0.54</v>
      </c>
    </row>
    <row r="20" spans="1:4">
      <c r="A20" s="48">
        <v>14</v>
      </c>
      <c r="B20" s="49">
        <v>-6.4333333333333336</v>
      </c>
      <c r="C20" s="48">
        <v>19</v>
      </c>
      <c r="D20" s="50">
        <v>0.51300000000000001</v>
      </c>
    </row>
    <row r="21" spans="1:4">
      <c r="A21" s="48">
        <v>30</v>
      </c>
      <c r="B21" s="49">
        <v>-6.5</v>
      </c>
      <c r="C21" s="48">
        <v>20</v>
      </c>
      <c r="D21" s="50">
        <v>0.48599999999999999</v>
      </c>
    </row>
    <row r="22" spans="1:4">
      <c r="A22" s="48">
        <v>17</v>
      </c>
      <c r="B22" s="49">
        <v>-6.5666666666666664</v>
      </c>
      <c r="C22" s="48">
        <v>21</v>
      </c>
      <c r="D22" s="50">
        <v>0.45900000000000002</v>
      </c>
    </row>
    <row r="23" spans="1:4">
      <c r="A23" s="48">
        <v>26</v>
      </c>
      <c r="B23" s="49">
        <v>-6.666666666666667</v>
      </c>
      <c r="C23" s="48">
        <v>22</v>
      </c>
      <c r="D23" s="50">
        <v>0.432</v>
      </c>
    </row>
    <row r="24" spans="1:4">
      <c r="A24" s="48">
        <v>34</v>
      </c>
      <c r="B24" s="49">
        <v>-6.8</v>
      </c>
      <c r="C24" s="48">
        <v>23</v>
      </c>
      <c r="D24" s="50">
        <v>0.40500000000000003</v>
      </c>
    </row>
    <row r="25" spans="1:4">
      <c r="A25" s="48">
        <v>6</v>
      </c>
      <c r="B25" s="49">
        <v>-7.2</v>
      </c>
      <c r="C25" s="48">
        <v>24</v>
      </c>
      <c r="D25" s="50">
        <v>0.378</v>
      </c>
    </row>
    <row r="26" spans="1:4">
      <c r="A26" s="48">
        <v>38</v>
      </c>
      <c r="B26" s="49">
        <v>-7.333333333333333</v>
      </c>
      <c r="C26" s="48">
        <v>25</v>
      </c>
      <c r="D26" s="50">
        <v>0.35099999999999998</v>
      </c>
    </row>
    <row r="27" spans="1:4">
      <c r="A27" s="48">
        <v>33</v>
      </c>
      <c r="B27" s="49">
        <v>-7.3666666666666663</v>
      </c>
      <c r="C27" s="48">
        <v>26</v>
      </c>
      <c r="D27" s="50">
        <v>0.32400000000000001</v>
      </c>
    </row>
    <row r="28" spans="1:4">
      <c r="A28" s="48">
        <v>1</v>
      </c>
      <c r="B28" s="49">
        <v>-7.7666666666666657</v>
      </c>
      <c r="C28" s="48">
        <v>27</v>
      </c>
      <c r="D28" s="50">
        <v>0.29699999999999999</v>
      </c>
    </row>
    <row r="29" spans="1:4">
      <c r="A29" s="48">
        <v>28</v>
      </c>
      <c r="B29" s="49">
        <v>-8.2666666666666675</v>
      </c>
      <c r="C29" s="48">
        <v>28</v>
      </c>
      <c r="D29" s="50">
        <v>0.27</v>
      </c>
    </row>
    <row r="30" spans="1:4">
      <c r="A30" s="48">
        <v>22</v>
      </c>
      <c r="B30" s="49">
        <v>-8.4</v>
      </c>
      <c r="C30" s="48">
        <v>29</v>
      </c>
      <c r="D30" s="50">
        <v>0.216</v>
      </c>
    </row>
    <row r="31" spans="1:4">
      <c r="A31" s="48">
        <v>37</v>
      </c>
      <c r="B31" s="49">
        <v>-8.4</v>
      </c>
      <c r="C31" s="48">
        <v>29</v>
      </c>
      <c r="D31" s="50">
        <v>0.216</v>
      </c>
    </row>
    <row r="32" spans="1:4">
      <c r="A32" s="48">
        <v>7</v>
      </c>
      <c r="B32" s="49">
        <v>-8.6333333333333346</v>
      </c>
      <c r="C32" s="48">
        <v>31</v>
      </c>
      <c r="D32" s="50">
        <v>0.189</v>
      </c>
    </row>
    <row r="33" spans="1:4">
      <c r="A33" s="48">
        <v>10</v>
      </c>
      <c r="B33" s="49">
        <v>-8.6666666666666661</v>
      </c>
      <c r="C33" s="48">
        <v>32</v>
      </c>
      <c r="D33" s="50">
        <v>0.16200000000000001</v>
      </c>
    </row>
    <row r="34" spans="1:4">
      <c r="A34" s="48">
        <v>36</v>
      </c>
      <c r="B34" s="49">
        <v>-8.8933333333333326</v>
      </c>
      <c r="C34" s="48">
        <v>33</v>
      </c>
      <c r="D34" s="50">
        <v>0.13500000000000001</v>
      </c>
    </row>
    <row r="35" spans="1:4">
      <c r="A35" s="48">
        <v>16</v>
      </c>
      <c r="B35" s="49">
        <v>-9.5333333333333332</v>
      </c>
      <c r="C35" s="48">
        <v>34</v>
      </c>
      <c r="D35" s="50">
        <v>0.108</v>
      </c>
    </row>
    <row r="36" spans="1:4">
      <c r="A36" s="48">
        <v>12</v>
      </c>
      <c r="B36" s="49">
        <v>-9.7999999999999989</v>
      </c>
      <c r="C36" s="48">
        <v>35</v>
      </c>
      <c r="D36" s="50">
        <v>8.1000000000000003E-2</v>
      </c>
    </row>
    <row r="37" spans="1:4">
      <c r="A37" s="48">
        <v>8</v>
      </c>
      <c r="B37" s="49">
        <v>-10.899999999999999</v>
      </c>
      <c r="C37" s="48">
        <v>36</v>
      </c>
      <c r="D37" s="50">
        <v>5.3999999999999999E-2</v>
      </c>
    </row>
    <row r="38" spans="1:4">
      <c r="A38" s="48">
        <v>15</v>
      </c>
      <c r="B38" s="49">
        <v>-11.6</v>
      </c>
      <c r="C38" s="48">
        <v>37</v>
      </c>
      <c r="D38" s="50">
        <v>2.7E-2</v>
      </c>
    </row>
    <row r="39" spans="1:4" ht="15.75" thickBot="1">
      <c r="A39" s="51">
        <v>20</v>
      </c>
      <c r="B39" s="52">
        <v>-11.633333333333333</v>
      </c>
      <c r="C39" s="51">
        <v>38</v>
      </c>
      <c r="D39" s="53">
        <v>0</v>
      </c>
    </row>
  </sheetData>
  <sortState xmlns:xlrd2="http://schemas.microsoft.com/office/spreadsheetml/2017/richdata2" ref="A2:D39">
    <sortCondition ref="C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"/>
  <sheetViews>
    <sheetView tabSelected="1" topLeftCell="L1" workbookViewId="0">
      <selection activeCell="AD7" sqref="AD7"/>
    </sheetView>
  </sheetViews>
  <sheetFormatPr defaultColWidth="14.42578125" defaultRowHeight="15" customHeight="1"/>
  <cols>
    <col min="1" max="1" width="7.5703125" hidden="1" customWidth="1"/>
    <col min="2" max="11" width="8.85546875" hidden="1" customWidth="1"/>
    <col min="12" max="12" width="24.28515625" customWidth="1"/>
    <col min="13" max="14" width="8.85546875" hidden="1" customWidth="1"/>
    <col min="15" max="15" width="0.42578125" customWidth="1"/>
    <col min="16" max="16" width="25.7109375" customWidth="1"/>
    <col min="17" max="18" width="8.85546875" hidden="1" customWidth="1"/>
    <col min="19" max="19" width="0.42578125" customWidth="1"/>
    <col min="20" max="20" width="21.28515625" customWidth="1"/>
    <col min="21" max="23" width="8.85546875" hidden="1" customWidth="1"/>
    <col min="24" max="24" width="15.140625" customWidth="1"/>
    <col min="25" max="25" width="15.7109375" hidden="1" customWidth="1"/>
    <col min="26" max="26" width="14.42578125" hidden="1" customWidth="1"/>
    <col min="27" max="27" width="21.28515625" hidden="1" customWidth="1"/>
    <col min="28" max="29" width="14.42578125" hidden="1" customWidth="1"/>
  </cols>
  <sheetData>
    <row r="1" spans="1:29" ht="30" customHeight="1">
      <c r="B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1" t="s">
        <v>5</v>
      </c>
      <c r="H1" s="1" t="s">
        <v>6</v>
      </c>
      <c r="I1" t="s">
        <v>7</v>
      </c>
      <c r="J1" s="4" t="s">
        <v>8</v>
      </c>
      <c r="K1" s="4" t="s">
        <v>9</v>
      </c>
      <c r="L1" s="21" t="s">
        <v>10</v>
      </c>
      <c r="M1" t="s">
        <v>11</v>
      </c>
      <c r="N1" t="s">
        <v>12</v>
      </c>
      <c r="O1" t="s">
        <v>13</v>
      </c>
      <c r="P1" s="5" t="s">
        <v>14</v>
      </c>
      <c r="Q1" t="s">
        <v>15</v>
      </c>
      <c r="R1" t="s">
        <v>16</v>
      </c>
      <c r="S1" t="s">
        <v>17</v>
      </c>
      <c r="T1" s="24" t="s">
        <v>18</v>
      </c>
      <c r="U1" t="s">
        <v>19</v>
      </c>
      <c r="V1" t="s">
        <v>20</v>
      </c>
      <c r="W1" t="s">
        <v>21</v>
      </c>
      <c r="X1" s="5" t="s">
        <v>22</v>
      </c>
      <c r="Y1" s="42" t="s">
        <v>10</v>
      </c>
      <c r="Z1" s="42" t="s">
        <v>103</v>
      </c>
      <c r="AA1" s="42" t="s">
        <v>101</v>
      </c>
      <c r="AB1" s="42" t="s">
        <v>105</v>
      </c>
      <c r="AC1" s="42" t="s">
        <v>102</v>
      </c>
    </row>
    <row r="2" spans="1:29" ht="18.75" customHeight="1">
      <c r="A2" t="s">
        <v>23</v>
      </c>
      <c r="B2">
        <v>1</v>
      </c>
      <c r="C2" s="1">
        <v>74</v>
      </c>
      <c r="D2" s="1">
        <v>170</v>
      </c>
      <c r="E2" s="2">
        <v>0.36</v>
      </c>
      <c r="F2">
        <v>10</v>
      </c>
      <c r="G2" s="1" t="s">
        <v>24</v>
      </c>
      <c r="H2" s="1" t="s">
        <v>25</v>
      </c>
      <c r="I2">
        <v>-19.600000000000001</v>
      </c>
      <c r="J2">
        <v>-18.5</v>
      </c>
      <c r="K2">
        <v>-21.5</v>
      </c>
      <c r="L2" s="5">
        <f t="shared" ref="L2:L39" si="0">AVERAGE(I2:K2)</f>
        <v>-19.866666666666667</v>
      </c>
      <c r="M2">
        <v>-4.4000000000000004</v>
      </c>
      <c r="N2">
        <v>-4.7</v>
      </c>
      <c r="O2">
        <v>-4.3</v>
      </c>
      <c r="P2" s="5">
        <f t="shared" ref="P2:P39" si="1">AVERAGE(M2:O2)</f>
        <v>-4.4666666666666677</v>
      </c>
      <c r="Q2">
        <v>-8.1999999999999993</v>
      </c>
      <c r="R2">
        <v>-9.5</v>
      </c>
      <c r="S2">
        <v>-5.6</v>
      </c>
      <c r="T2" s="5">
        <f t="shared" ref="T2:T39" si="2">AVERAGE(Q2:S2)</f>
        <v>-7.7666666666666657</v>
      </c>
      <c r="U2">
        <v>-6.8</v>
      </c>
      <c r="V2">
        <v>-6.2</v>
      </c>
      <c r="W2">
        <v>-6.5</v>
      </c>
      <c r="X2" s="5">
        <f t="shared" ref="X2:X39" si="3">AVERAGE(U2:W2)</f>
        <v>-6.5</v>
      </c>
      <c r="Y2" s="43">
        <v>-19.87</v>
      </c>
      <c r="Z2">
        <f>(Y2 - Y40)^2</f>
        <v>182.54143220221613</v>
      </c>
      <c r="AA2" s="44">
        <f>Y39-Y2</f>
        <v>25.770000000000003</v>
      </c>
      <c r="AB2" s="45">
        <v>0.40150000000000002</v>
      </c>
    </row>
    <row r="3" spans="1:29" ht="18.75" customHeight="1">
      <c r="A3" t="s">
        <v>26</v>
      </c>
      <c r="B3">
        <v>3</v>
      </c>
      <c r="C3" s="1">
        <v>85</v>
      </c>
      <c r="D3" s="1">
        <v>185</v>
      </c>
      <c r="E3" s="2">
        <v>0.4</v>
      </c>
      <c r="F3">
        <v>11</v>
      </c>
      <c r="G3" s="1" t="s">
        <v>24</v>
      </c>
      <c r="H3" s="1" t="s">
        <v>27</v>
      </c>
      <c r="I3">
        <v>-5.0999999999999996</v>
      </c>
      <c r="J3">
        <v>-6.7</v>
      </c>
      <c r="K3">
        <v>-6.1</v>
      </c>
      <c r="L3" s="41">
        <f t="shared" si="0"/>
        <v>-5.9666666666666659</v>
      </c>
      <c r="M3">
        <v>8</v>
      </c>
      <c r="N3">
        <v>5.7</v>
      </c>
      <c r="O3">
        <v>7.6</v>
      </c>
      <c r="P3" s="5">
        <f t="shared" si="1"/>
        <v>7.0999999999999988</v>
      </c>
      <c r="Q3">
        <v>-3.4</v>
      </c>
      <c r="R3">
        <v>-5.0999999999999996</v>
      </c>
      <c r="S3">
        <v>-5.9</v>
      </c>
      <c r="T3" s="5">
        <f t="shared" si="2"/>
        <v>-4.8</v>
      </c>
      <c r="U3">
        <v>-5.0999999999999996</v>
      </c>
      <c r="V3">
        <v>-3</v>
      </c>
      <c r="W3">
        <v>-4.2</v>
      </c>
      <c r="X3" s="5">
        <f t="shared" si="3"/>
        <v>-4.1000000000000005</v>
      </c>
      <c r="Y3" s="43">
        <v>-18.7</v>
      </c>
      <c r="Z3">
        <f>(Y3 - Y40)^2</f>
        <v>152.29508483379502</v>
      </c>
      <c r="AA3" s="44">
        <f>Y38-Y3</f>
        <v>24.47</v>
      </c>
      <c r="AB3">
        <v>0.27739999999999998</v>
      </c>
    </row>
    <row r="4" spans="1:29" ht="18.75" customHeight="1">
      <c r="A4" t="s">
        <v>28</v>
      </c>
      <c r="B4">
        <v>4</v>
      </c>
      <c r="C4" s="1">
        <v>83</v>
      </c>
      <c r="D4" s="1">
        <v>185</v>
      </c>
      <c r="E4" s="2">
        <v>0.39</v>
      </c>
      <c r="F4">
        <v>11</v>
      </c>
      <c r="G4" s="1" t="s">
        <v>24</v>
      </c>
      <c r="H4" s="1" t="s">
        <v>27</v>
      </c>
      <c r="I4">
        <v>-5.6</v>
      </c>
      <c r="J4">
        <v>-6.1</v>
      </c>
      <c r="K4">
        <v>-4.8</v>
      </c>
      <c r="L4" s="5">
        <f t="shared" si="0"/>
        <v>-5.5</v>
      </c>
      <c r="M4">
        <v>13.9</v>
      </c>
      <c r="N4">
        <v>12.4</v>
      </c>
      <c r="O4">
        <v>14.6</v>
      </c>
      <c r="P4" s="5">
        <f t="shared" si="1"/>
        <v>13.633333333333333</v>
      </c>
      <c r="Q4">
        <v>-4.0999999999999996</v>
      </c>
      <c r="R4">
        <v>-5.6</v>
      </c>
      <c r="S4">
        <v>-4.8</v>
      </c>
      <c r="T4" s="5">
        <f t="shared" si="2"/>
        <v>-4.833333333333333</v>
      </c>
      <c r="U4">
        <v>-4.8</v>
      </c>
      <c r="V4">
        <v>-6.2</v>
      </c>
      <c r="W4">
        <v>-6.6</v>
      </c>
      <c r="X4" s="5">
        <f t="shared" si="3"/>
        <v>-5.8666666666666671</v>
      </c>
      <c r="Y4" s="43">
        <v>-17.670000000000002</v>
      </c>
      <c r="Z4">
        <f>(Y4 - Y40)^2</f>
        <v>127.93395851800561</v>
      </c>
      <c r="AA4" s="44">
        <f>Y37-Y4</f>
        <v>23.400000000000002</v>
      </c>
      <c r="AB4">
        <v>0.23910000000000001</v>
      </c>
    </row>
    <row r="5" spans="1:29" ht="18.75" customHeight="1">
      <c r="A5" t="s">
        <v>29</v>
      </c>
      <c r="B5">
        <v>6</v>
      </c>
      <c r="C5" s="1">
        <v>85</v>
      </c>
      <c r="D5" s="1">
        <v>187</v>
      </c>
      <c r="E5" s="2">
        <v>0.44</v>
      </c>
      <c r="F5">
        <v>12</v>
      </c>
      <c r="G5" s="1" t="s">
        <v>24</v>
      </c>
      <c r="H5" s="1" t="s">
        <v>27</v>
      </c>
      <c r="I5">
        <v>2.6</v>
      </c>
      <c r="J5">
        <v>1.9</v>
      </c>
      <c r="K5">
        <v>4.2</v>
      </c>
      <c r="L5" s="6">
        <f t="shared" si="0"/>
        <v>2.9</v>
      </c>
      <c r="M5">
        <v>14.1</v>
      </c>
      <c r="N5">
        <v>16.600000000000001</v>
      </c>
      <c r="O5">
        <v>17.100000000000001</v>
      </c>
      <c r="P5" s="5">
        <f t="shared" si="1"/>
        <v>15.933333333333335</v>
      </c>
      <c r="Q5">
        <v>4.2</v>
      </c>
      <c r="R5">
        <v>3.5</v>
      </c>
      <c r="S5">
        <v>4.7</v>
      </c>
      <c r="T5" s="6">
        <f t="shared" si="2"/>
        <v>4.1333333333333337</v>
      </c>
      <c r="U5">
        <v>-4.0999999999999996</v>
      </c>
      <c r="V5">
        <v>-3.5</v>
      </c>
      <c r="W5">
        <v>-3.2</v>
      </c>
      <c r="X5" s="5">
        <f t="shared" si="3"/>
        <v>-3.6</v>
      </c>
      <c r="Y5" s="43">
        <v>-14.6</v>
      </c>
      <c r="Z5">
        <f>(Y5 - Y40)^2</f>
        <v>67.910611149584497</v>
      </c>
      <c r="AA5" s="44">
        <f>Y36-Y5</f>
        <v>18.3</v>
      </c>
      <c r="AB5">
        <v>0.21099999999999999</v>
      </c>
    </row>
    <row r="6" spans="1:29" ht="18.75" customHeight="1">
      <c r="A6" t="s">
        <v>30</v>
      </c>
      <c r="B6">
        <v>7</v>
      </c>
      <c r="C6" s="1">
        <v>72</v>
      </c>
      <c r="D6" s="1">
        <v>183</v>
      </c>
      <c r="E6" s="2">
        <v>0.43</v>
      </c>
      <c r="F6">
        <v>13</v>
      </c>
      <c r="G6" s="1" t="s">
        <v>24</v>
      </c>
      <c r="H6" s="1" t="s">
        <v>27</v>
      </c>
      <c r="I6">
        <v>5.8</v>
      </c>
      <c r="J6">
        <v>4.5999999999999996</v>
      </c>
      <c r="K6">
        <v>6.8</v>
      </c>
      <c r="L6" s="6">
        <f t="shared" si="0"/>
        <v>5.7333333333333334</v>
      </c>
      <c r="M6">
        <v>20.8</v>
      </c>
      <c r="N6">
        <v>21.8</v>
      </c>
      <c r="O6">
        <v>12.5</v>
      </c>
      <c r="P6" s="5">
        <f t="shared" si="1"/>
        <v>18.366666666666667</v>
      </c>
      <c r="Q6">
        <v>-3.6</v>
      </c>
      <c r="R6">
        <v>-2.5</v>
      </c>
      <c r="S6">
        <v>-1.9</v>
      </c>
      <c r="T6" s="5">
        <f t="shared" si="2"/>
        <v>-2.6666666666666665</v>
      </c>
      <c r="U6">
        <v>-9</v>
      </c>
      <c r="V6">
        <v>-8.8000000000000007</v>
      </c>
      <c r="W6">
        <v>-8.5</v>
      </c>
      <c r="X6" s="5">
        <f t="shared" si="3"/>
        <v>-8.7666666666666675</v>
      </c>
      <c r="Y6" s="43">
        <v>-12.23</v>
      </c>
      <c r="Z6">
        <f>(Y6 - Y40)^2</f>
        <v>34.466169044321347</v>
      </c>
      <c r="AA6" s="44">
        <f>Y35-Y6</f>
        <v>15.9</v>
      </c>
      <c r="AB6">
        <v>0.18809999999999999</v>
      </c>
    </row>
    <row r="7" spans="1:29" ht="18.75" customHeight="1">
      <c r="A7" t="s">
        <v>31</v>
      </c>
      <c r="B7">
        <v>12</v>
      </c>
      <c r="C7" s="1">
        <v>58</v>
      </c>
      <c r="D7" s="1">
        <v>161</v>
      </c>
      <c r="E7" s="2">
        <v>0.32</v>
      </c>
      <c r="F7">
        <v>8</v>
      </c>
      <c r="G7" s="1" t="s">
        <v>24</v>
      </c>
      <c r="H7" s="1" t="s">
        <v>25</v>
      </c>
      <c r="I7">
        <v>-17.600000000000001</v>
      </c>
      <c r="J7">
        <v>-18.100000000000001</v>
      </c>
      <c r="K7">
        <v>-17.3</v>
      </c>
      <c r="L7" s="5">
        <f t="shared" si="0"/>
        <v>-17.666666666666668</v>
      </c>
      <c r="M7">
        <v>4.5</v>
      </c>
      <c r="N7">
        <v>5.5</v>
      </c>
      <c r="O7">
        <v>7</v>
      </c>
      <c r="P7" s="5">
        <f t="shared" si="1"/>
        <v>5.666666666666667</v>
      </c>
      <c r="Q7">
        <v>-7.9</v>
      </c>
      <c r="R7">
        <v>-5.5</v>
      </c>
      <c r="S7">
        <v>-8.1999999999999993</v>
      </c>
      <c r="T7" s="5">
        <f t="shared" si="2"/>
        <v>-7.2</v>
      </c>
      <c r="U7">
        <v>-3.3</v>
      </c>
      <c r="V7">
        <v>-2.8</v>
      </c>
      <c r="W7">
        <v>-3.9</v>
      </c>
      <c r="X7" s="5">
        <f t="shared" si="3"/>
        <v>-3.3333333333333335</v>
      </c>
      <c r="Y7" s="43">
        <v>-11.27</v>
      </c>
      <c r="Z7">
        <f>(Y7 - Y40)^2</f>
        <v>24.115853254847654</v>
      </c>
      <c r="AA7" s="44">
        <f>Y34-Y7</f>
        <v>14.64</v>
      </c>
      <c r="AB7">
        <v>0.1686</v>
      </c>
    </row>
    <row r="8" spans="1:29" ht="18.75" customHeight="1">
      <c r="A8" t="s">
        <v>32</v>
      </c>
      <c r="B8">
        <v>14</v>
      </c>
      <c r="C8" s="1">
        <v>88</v>
      </c>
      <c r="D8" s="1">
        <v>178</v>
      </c>
      <c r="E8" s="2">
        <v>0.33</v>
      </c>
      <c r="F8">
        <v>9</v>
      </c>
      <c r="G8" s="1" t="s">
        <v>24</v>
      </c>
      <c r="H8" s="1" t="s">
        <v>27</v>
      </c>
      <c r="I8">
        <v>-12.6</v>
      </c>
      <c r="J8">
        <v>-10.8</v>
      </c>
      <c r="K8">
        <v>-13.3</v>
      </c>
      <c r="L8" s="5">
        <f t="shared" si="0"/>
        <v>-12.233333333333334</v>
      </c>
      <c r="M8">
        <v>-2.1</v>
      </c>
      <c r="N8">
        <v>-3.9</v>
      </c>
      <c r="O8">
        <v>-1.4</v>
      </c>
      <c r="P8" s="5">
        <f t="shared" si="1"/>
        <v>-2.4666666666666668</v>
      </c>
      <c r="Q8">
        <v>-7.9</v>
      </c>
      <c r="R8">
        <v>-8.8000000000000007</v>
      </c>
      <c r="S8">
        <v>-9.1999999999999993</v>
      </c>
      <c r="T8" s="5">
        <f t="shared" si="2"/>
        <v>-8.6333333333333346</v>
      </c>
      <c r="U8">
        <v>-6.7</v>
      </c>
      <c r="V8">
        <v>-8.1</v>
      </c>
      <c r="W8">
        <v>-5.8</v>
      </c>
      <c r="X8" s="5">
        <f t="shared" si="3"/>
        <v>-6.8666666666666671</v>
      </c>
      <c r="Y8" s="43">
        <v>-11.17</v>
      </c>
      <c r="Z8">
        <f>(Y8 - Y40)^2</f>
        <v>23.143695360110815</v>
      </c>
      <c r="AA8" s="44">
        <f>Y33-Y8</f>
        <v>14.07</v>
      </c>
      <c r="AB8">
        <v>0.15129999999999999</v>
      </c>
    </row>
    <row r="9" spans="1:29" ht="18.75" customHeight="1">
      <c r="A9" t="s">
        <v>33</v>
      </c>
      <c r="B9">
        <v>18</v>
      </c>
      <c r="C9" s="1">
        <v>51</v>
      </c>
      <c r="D9" s="1">
        <v>159</v>
      </c>
      <c r="E9" s="2">
        <v>0.28999999999999998</v>
      </c>
      <c r="F9">
        <v>7</v>
      </c>
      <c r="G9" s="1" t="s">
        <v>24</v>
      </c>
      <c r="H9" s="1" t="s">
        <v>25</v>
      </c>
      <c r="I9">
        <v>-9.8000000000000007</v>
      </c>
      <c r="J9">
        <v>-11.3</v>
      </c>
      <c r="K9">
        <v>-12.7</v>
      </c>
      <c r="L9" s="5">
        <f t="shared" si="0"/>
        <v>-11.266666666666666</v>
      </c>
      <c r="M9">
        <v>2.7</v>
      </c>
      <c r="N9">
        <v>5.5</v>
      </c>
      <c r="O9">
        <v>6.7</v>
      </c>
      <c r="P9" s="5">
        <f t="shared" si="1"/>
        <v>4.9666666666666659</v>
      </c>
      <c r="Q9">
        <v>-10.199999999999999</v>
      </c>
      <c r="R9">
        <v>-12.6</v>
      </c>
      <c r="S9">
        <v>-9.9</v>
      </c>
      <c r="T9" s="5">
        <f t="shared" si="2"/>
        <v>-10.899999999999999</v>
      </c>
      <c r="U9">
        <v>-1.5</v>
      </c>
      <c r="V9">
        <v>-0.4</v>
      </c>
      <c r="W9">
        <v>-2.5</v>
      </c>
      <c r="X9" s="5">
        <f t="shared" si="3"/>
        <v>-1.4666666666666668</v>
      </c>
      <c r="Y9" s="43">
        <v>-10.9</v>
      </c>
      <c r="Z9">
        <f>(Y9 - Y40)^2</f>
        <v>20.618769044321343</v>
      </c>
      <c r="AA9" s="44">
        <f>Y32-Y9</f>
        <v>9.8000000000000007</v>
      </c>
      <c r="AB9">
        <v>0.1356</v>
      </c>
    </row>
    <row r="10" spans="1:29" ht="18.75" customHeight="1">
      <c r="A10" t="s">
        <v>34</v>
      </c>
      <c r="B10">
        <v>20</v>
      </c>
      <c r="C10" s="1">
        <v>75</v>
      </c>
      <c r="D10" s="1">
        <v>171</v>
      </c>
      <c r="E10" s="2">
        <v>0.34</v>
      </c>
      <c r="F10">
        <v>8</v>
      </c>
      <c r="G10" s="1" t="s">
        <v>24</v>
      </c>
      <c r="H10" s="1" t="s">
        <v>25</v>
      </c>
      <c r="I10">
        <v>-12.5</v>
      </c>
      <c r="J10">
        <v>-9.3000000000000007</v>
      </c>
      <c r="K10">
        <v>-11.7</v>
      </c>
      <c r="L10" s="5">
        <f t="shared" si="0"/>
        <v>-11.166666666666666</v>
      </c>
      <c r="M10">
        <v>-5.0999999999999996</v>
      </c>
      <c r="N10">
        <v>-3.6</v>
      </c>
      <c r="O10">
        <v>-6.2</v>
      </c>
      <c r="P10" s="5">
        <f t="shared" si="1"/>
        <v>-4.9666666666666659</v>
      </c>
      <c r="Q10">
        <v>-5.6</v>
      </c>
      <c r="R10">
        <v>-7.2</v>
      </c>
      <c r="S10">
        <v>-4.5999999999999996</v>
      </c>
      <c r="T10" s="5">
        <f t="shared" si="2"/>
        <v>-5.8</v>
      </c>
      <c r="U10">
        <v>-4.0999999999999996</v>
      </c>
      <c r="V10">
        <v>-5.7</v>
      </c>
      <c r="W10">
        <v>-7.9</v>
      </c>
      <c r="X10" s="5">
        <f t="shared" si="3"/>
        <v>-5.9000000000000012</v>
      </c>
      <c r="Y10" s="43">
        <v>-10.77</v>
      </c>
      <c r="Z10">
        <f>(Y10 - Y40)^2</f>
        <v>19.455063781163442</v>
      </c>
      <c r="AA10" s="44">
        <f>Y31-Y10</f>
        <v>8.74</v>
      </c>
      <c r="AB10">
        <v>0.1211</v>
      </c>
    </row>
    <row r="11" spans="1:29" ht="18.75" customHeight="1">
      <c r="A11" t="s">
        <v>35</v>
      </c>
      <c r="B11">
        <v>22</v>
      </c>
      <c r="C11" s="1">
        <v>93</v>
      </c>
      <c r="D11" s="1">
        <v>182</v>
      </c>
      <c r="E11" s="2">
        <v>0.37</v>
      </c>
      <c r="F11">
        <v>10</v>
      </c>
      <c r="G11" s="1" t="s">
        <v>24</v>
      </c>
      <c r="H11" s="1" t="s">
        <v>27</v>
      </c>
      <c r="I11">
        <v>-10.199999999999999</v>
      </c>
      <c r="J11">
        <v>10.7</v>
      </c>
      <c r="K11">
        <v>9.6</v>
      </c>
      <c r="L11" s="41">
        <f t="shared" si="0"/>
        <v>3.3666666666666667</v>
      </c>
      <c r="M11">
        <v>-6.4</v>
      </c>
      <c r="N11">
        <v>-5.8</v>
      </c>
      <c r="O11">
        <v>-4.4000000000000004</v>
      </c>
      <c r="P11" s="5">
        <f t="shared" si="1"/>
        <v>-5.5333333333333341</v>
      </c>
      <c r="Q11">
        <v>-9.3000000000000007</v>
      </c>
      <c r="R11">
        <v>-8.8000000000000007</v>
      </c>
      <c r="S11">
        <v>-7.9</v>
      </c>
      <c r="T11" s="5">
        <f t="shared" si="2"/>
        <v>-8.6666666666666661</v>
      </c>
      <c r="U11">
        <v>-3.8</v>
      </c>
      <c r="V11">
        <v>-4.0999999999999996</v>
      </c>
      <c r="W11">
        <v>-1.3</v>
      </c>
      <c r="X11" s="5">
        <f t="shared" si="3"/>
        <v>-3.0666666666666664</v>
      </c>
      <c r="Y11" s="43">
        <v>-10.73</v>
      </c>
      <c r="Z11">
        <f>(Y11 - Y40)^2</f>
        <v>19.103800623268711</v>
      </c>
      <c r="AA11" s="44">
        <f>Y30-Y11</f>
        <v>8.16</v>
      </c>
      <c r="AB11">
        <v>0.1075</v>
      </c>
    </row>
    <row r="12" spans="1:29" ht="18.75" customHeight="1">
      <c r="A12" t="s">
        <v>36</v>
      </c>
      <c r="B12">
        <v>24</v>
      </c>
      <c r="C12" s="1">
        <v>74</v>
      </c>
      <c r="D12" s="1">
        <v>166</v>
      </c>
      <c r="E12" s="2">
        <v>0.39</v>
      </c>
      <c r="F12">
        <v>11</v>
      </c>
      <c r="G12" s="1" t="s">
        <v>24</v>
      </c>
      <c r="H12" s="1" t="s">
        <v>27</v>
      </c>
      <c r="I12">
        <v>0.7</v>
      </c>
      <c r="J12">
        <v>-2.1</v>
      </c>
      <c r="K12">
        <v>-1.9</v>
      </c>
      <c r="L12" s="5">
        <f t="shared" si="0"/>
        <v>-1.0999999999999999</v>
      </c>
      <c r="M12">
        <v>14.8</v>
      </c>
      <c r="N12">
        <v>12.2</v>
      </c>
      <c r="O12">
        <v>9.9</v>
      </c>
      <c r="P12" s="5">
        <f t="shared" si="1"/>
        <v>12.299999999999999</v>
      </c>
      <c r="Q12">
        <v>-2.9</v>
      </c>
      <c r="R12">
        <v>-6.1</v>
      </c>
      <c r="S12">
        <v>-5</v>
      </c>
      <c r="T12" s="5">
        <f t="shared" si="2"/>
        <v>-4.666666666666667</v>
      </c>
      <c r="U12">
        <v>-6.4</v>
      </c>
      <c r="V12">
        <v>-5.5</v>
      </c>
      <c r="W12">
        <v>-5.0999999999999996</v>
      </c>
      <c r="X12" s="5">
        <f t="shared" si="3"/>
        <v>-5.666666666666667</v>
      </c>
      <c r="Y12" s="43">
        <v>-9.83</v>
      </c>
      <c r="Z12">
        <f>(Y12 - Y40)^2</f>
        <v>12.046379570637127</v>
      </c>
      <c r="AA12" s="44">
        <f>Y29-Y12</f>
        <v>5.4</v>
      </c>
      <c r="AB12">
        <v>9.4700000000000006E-2</v>
      </c>
    </row>
    <row r="13" spans="1:29" ht="18.75" customHeight="1">
      <c r="A13" t="s">
        <v>37</v>
      </c>
      <c r="B13">
        <v>26</v>
      </c>
      <c r="C13" s="1">
        <v>54</v>
      </c>
      <c r="D13" s="1">
        <v>160</v>
      </c>
      <c r="E13" s="2">
        <v>0.28999999999999998</v>
      </c>
      <c r="F13">
        <v>6</v>
      </c>
      <c r="G13" s="1" t="s">
        <v>24</v>
      </c>
      <c r="H13" s="1" t="s">
        <v>25</v>
      </c>
      <c r="I13">
        <v>-7.7</v>
      </c>
      <c r="J13">
        <v>-10.199999999999999</v>
      </c>
      <c r="K13">
        <v>-10.9</v>
      </c>
      <c r="L13" s="5">
        <f t="shared" si="0"/>
        <v>-9.6</v>
      </c>
      <c r="M13">
        <v>11.9</v>
      </c>
      <c r="N13">
        <v>6.2</v>
      </c>
      <c r="O13">
        <v>7.6</v>
      </c>
      <c r="P13" s="5">
        <f t="shared" si="1"/>
        <v>8.5666666666666682</v>
      </c>
      <c r="Q13">
        <v>-8.8000000000000007</v>
      </c>
      <c r="R13">
        <v>-10.1</v>
      </c>
      <c r="S13">
        <v>-10.5</v>
      </c>
      <c r="T13" s="5">
        <f t="shared" si="2"/>
        <v>-9.7999999999999989</v>
      </c>
      <c r="U13">
        <v>-6.9</v>
      </c>
      <c r="V13">
        <v>-5.2</v>
      </c>
      <c r="W13">
        <v>-4.8</v>
      </c>
      <c r="X13" s="5">
        <f t="shared" si="3"/>
        <v>-5.6333333333333337</v>
      </c>
      <c r="Y13" s="43">
        <v>-9.6</v>
      </c>
      <c r="Z13">
        <f>(Y13 - Y40)^2</f>
        <v>10.502716412742387</v>
      </c>
      <c r="AA13" s="44">
        <f>Y28-Y13</f>
        <v>4.8999999999999995</v>
      </c>
      <c r="AB13">
        <v>8.2400000000000001E-2</v>
      </c>
    </row>
    <row r="14" spans="1:29" ht="18.75" customHeight="1">
      <c r="A14" t="s">
        <v>38</v>
      </c>
      <c r="B14">
        <v>27</v>
      </c>
      <c r="C14" s="1">
        <v>62</v>
      </c>
      <c r="D14" s="1">
        <v>166</v>
      </c>
      <c r="E14" s="2">
        <v>0.3</v>
      </c>
      <c r="F14">
        <v>7</v>
      </c>
      <c r="G14" s="1" t="s">
        <v>24</v>
      </c>
      <c r="H14" s="1" t="s">
        <v>25</v>
      </c>
      <c r="I14">
        <v>-5.2</v>
      </c>
      <c r="J14">
        <v>-7.7</v>
      </c>
      <c r="K14">
        <v>-8.9</v>
      </c>
      <c r="L14" s="5">
        <f t="shared" si="0"/>
        <v>-7.2666666666666666</v>
      </c>
      <c r="M14">
        <v>19.100000000000001</v>
      </c>
      <c r="N14">
        <v>17.899999999999999</v>
      </c>
      <c r="O14">
        <v>18.3</v>
      </c>
      <c r="P14" s="5">
        <f t="shared" si="1"/>
        <v>18.433333333333334</v>
      </c>
      <c r="Q14">
        <v>-5.2</v>
      </c>
      <c r="R14">
        <v>-6.8</v>
      </c>
      <c r="S14">
        <v>-5.9</v>
      </c>
      <c r="T14" s="5">
        <f t="shared" si="2"/>
        <v>-5.9666666666666659</v>
      </c>
      <c r="U14">
        <v>-3.7</v>
      </c>
      <c r="V14">
        <v>-5.2</v>
      </c>
      <c r="W14">
        <v>-5.9</v>
      </c>
      <c r="X14" s="5">
        <f t="shared" si="3"/>
        <v>-4.9333333333333336</v>
      </c>
      <c r="Y14" s="43">
        <v>-9.57</v>
      </c>
      <c r="Z14">
        <f>(Y14 - Y40)^2</f>
        <v>10.309169044321338</v>
      </c>
      <c r="AA14" s="44">
        <f>Y27-Y14</f>
        <v>4.7</v>
      </c>
      <c r="AB14">
        <v>7.0599999999999996E-2</v>
      </c>
    </row>
    <row r="15" spans="1:29" ht="18.75" customHeight="1">
      <c r="A15" t="s">
        <v>39</v>
      </c>
      <c r="B15">
        <v>32</v>
      </c>
      <c r="C15" s="1">
        <v>58</v>
      </c>
      <c r="D15" s="1">
        <v>164</v>
      </c>
      <c r="E15" s="2">
        <v>0.28999999999999998</v>
      </c>
      <c r="F15">
        <v>7</v>
      </c>
      <c r="G15" s="1" t="s">
        <v>24</v>
      </c>
      <c r="H15" s="1" t="s">
        <v>25</v>
      </c>
      <c r="I15">
        <v>-5.0999999999999996</v>
      </c>
      <c r="J15">
        <v>-6.3</v>
      </c>
      <c r="K15">
        <v>-6.9</v>
      </c>
      <c r="L15" s="41">
        <f t="shared" si="0"/>
        <v>-6.0999999999999988</v>
      </c>
      <c r="M15">
        <v>4.2</v>
      </c>
      <c r="N15">
        <v>3.7</v>
      </c>
      <c r="O15">
        <v>5.0999999999999996</v>
      </c>
      <c r="P15" s="5">
        <f t="shared" si="1"/>
        <v>4.333333333333333</v>
      </c>
      <c r="Q15">
        <v>-7.7</v>
      </c>
      <c r="R15">
        <v>-6.2</v>
      </c>
      <c r="S15">
        <v>-5.4</v>
      </c>
      <c r="T15" s="5">
        <f t="shared" si="2"/>
        <v>-6.4333333333333336</v>
      </c>
      <c r="U15">
        <v>-3.6</v>
      </c>
      <c r="V15">
        <v>-6.4</v>
      </c>
      <c r="W15">
        <v>-7.7</v>
      </c>
      <c r="X15" s="5">
        <f t="shared" si="3"/>
        <v>-5.8999999999999995</v>
      </c>
      <c r="Y15" s="43">
        <v>-8.57</v>
      </c>
      <c r="Z15">
        <f>(Y15 - Y40)^2</f>
        <v>4.8875900969529154</v>
      </c>
      <c r="AA15" s="44">
        <f>Y26-Y15</f>
        <v>3.0700000000000003</v>
      </c>
      <c r="AB15">
        <v>5.9200000000000003E-2</v>
      </c>
    </row>
    <row r="16" spans="1:29" ht="18.75" customHeight="1">
      <c r="A16" t="s">
        <v>40</v>
      </c>
      <c r="B16">
        <v>39</v>
      </c>
      <c r="C16" s="1">
        <v>74</v>
      </c>
      <c r="D16" s="1">
        <v>169</v>
      </c>
      <c r="E16" s="2">
        <v>0.3</v>
      </c>
      <c r="F16">
        <v>8</v>
      </c>
      <c r="G16" s="1" t="s">
        <v>24</v>
      </c>
      <c r="H16" s="1" t="s">
        <v>27</v>
      </c>
      <c r="I16">
        <v>-10.9</v>
      </c>
      <c r="J16">
        <v>-8.6</v>
      </c>
      <c r="K16">
        <v>-9.1999999999999993</v>
      </c>
      <c r="L16" s="5">
        <f t="shared" si="0"/>
        <v>-9.5666666666666664</v>
      </c>
      <c r="M16">
        <v>9.9</v>
      </c>
      <c r="N16">
        <v>8.1999999999999993</v>
      </c>
      <c r="O16">
        <v>7.1</v>
      </c>
      <c r="P16" s="5">
        <f t="shared" si="1"/>
        <v>8.4</v>
      </c>
      <c r="Q16">
        <v>-12.6</v>
      </c>
      <c r="R16">
        <v>-10.9</v>
      </c>
      <c r="S16">
        <v>-11.3</v>
      </c>
      <c r="T16" s="5">
        <f t="shared" si="2"/>
        <v>-11.6</v>
      </c>
      <c r="U16">
        <v>-7.1</v>
      </c>
      <c r="V16">
        <v>-5.8</v>
      </c>
      <c r="W16">
        <v>-6.4</v>
      </c>
      <c r="X16" s="5">
        <f t="shared" si="3"/>
        <v>-6.4333333333333327</v>
      </c>
      <c r="Y16" s="43">
        <v>-8.5299999999999994</v>
      </c>
      <c r="Z16">
        <f>(Y16 - Y40)^2</f>
        <v>4.7123269390581743</v>
      </c>
      <c r="AA16" s="44">
        <f>Y25-Y16</f>
        <v>2.5599999999999996</v>
      </c>
      <c r="AB16">
        <v>4.8099999999999997E-2</v>
      </c>
    </row>
    <row r="17" spans="1:28" ht="18.75" customHeight="1">
      <c r="A17" t="s">
        <v>41</v>
      </c>
      <c r="B17">
        <v>40</v>
      </c>
      <c r="C17" s="1">
        <v>72</v>
      </c>
      <c r="D17" s="1">
        <v>168</v>
      </c>
      <c r="E17" s="2">
        <v>0.31</v>
      </c>
      <c r="F17">
        <v>7</v>
      </c>
      <c r="G17" s="1" t="s">
        <v>24</v>
      </c>
      <c r="H17" s="1" t="s">
        <v>25</v>
      </c>
      <c r="I17">
        <v>-8.9</v>
      </c>
      <c r="J17">
        <v>-7.2</v>
      </c>
      <c r="K17">
        <f>-10/4</f>
        <v>-2.5</v>
      </c>
      <c r="L17" s="5">
        <f t="shared" si="0"/>
        <v>-6.2</v>
      </c>
      <c r="M17">
        <v>-2.5</v>
      </c>
      <c r="N17">
        <v>-5.6</v>
      </c>
      <c r="O17">
        <v>-4.8</v>
      </c>
      <c r="P17" s="5">
        <f t="shared" si="1"/>
        <v>-4.3</v>
      </c>
      <c r="Q17">
        <v>-9.1999999999999993</v>
      </c>
      <c r="R17">
        <v>-10.5</v>
      </c>
      <c r="S17">
        <v>-8.9</v>
      </c>
      <c r="T17" s="5">
        <f t="shared" si="2"/>
        <v>-9.5333333333333332</v>
      </c>
      <c r="U17">
        <v>-2.2000000000000002</v>
      </c>
      <c r="V17">
        <v>-3.1</v>
      </c>
      <c r="W17">
        <v>-4.3</v>
      </c>
      <c r="X17" s="5">
        <f t="shared" si="3"/>
        <v>-3.2000000000000006</v>
      </c>
      <c r="Y17" s="43">
        <v>-8.5</v>
      </c>
      <c r="Z17">
        <f>(Y17 - Y40)^2</f>
        <v>4.5829795706371241</v>
      </c>
      <c r="AA17" s="44">
        <f>Y24-Y17</f>
        <v>2.4000000000000004</v>
      </c>
      <c r="AB17">
        <v>3.7199999999999997E-2</v>
      </c>
    </row>
    <row r="18" spans="1:28" ht="18.75" customHeight="1">
      <c r="A18" t="s">
        <v>42</v>
      </c>
      <c r="B18">
        <v>41</v>
      </c>
      <c r="C18" s="1">
        <v>69</v>
      </c>
      <c r="D18" s="1">
        <v>165</v>
      </c>
      <c r="E18" s="2">
        <v>0.28000000000000003</v>
      </c>
      <c r="F18">
        <v>6</v>
      </c>
      <c r="G18" s="1" t="s">
        <v>24</v>
      </c>
      <c r="H18" s="1" t="s">
        <v>25</v>
      </c>
      <c r="I18">
        <v>-4.3</v>
      </c>
      <c r="J18">
        <v>-5.2</v>
      </c>
      <c r="K18">
        <v>-3.8</v>
      </c>
      <c r="L18" s="5">
        <f t="shared" si="0"/>
        <v>-4.4333333333333336</v>
      </c>
      <c r="M18">
        <v>8.5</v>
      </c>
      <c r="N18">
        <v>7.2</v>
      </c>
      <c r="O18">
        <v>5.9</v>
      </c>
      <c r="P18" s="5">
        <f t="shared" si="1"/>
        <v>7.2</v>
      </c>
      <c r="Q18">
        <v>-5.7</v>
      </c>
      <c r="R18">
        <v>-6.8</v>
      </c>
      <c r="S18">
        <v>-7.2</v>
      </c>
      <c r="T18" s="5">
        <f t="shared" si="2"/>
        <v>-6.5666666666666664</v>
      </c>
      <c r="U18">
        <v>-6.3</v>
      </c>
      <c r="V18">
        <v>-6.9</v>
      </c>
      <c r="W18">
        <v>-4.5</v>
      </c>
      <c r="X18" s="5">
        <f t="shared" si="3"/>
        <v>-5.8999999999999995</v>
      </c>
      <c r="Y18" s="43">
        <v>-8.17</v>
      </c>
      <c r="Z18">
        <f>(Y18 - Y40)^2</f>
        <v>3.2789585180055441</v>
      </c>
      <c r="AA18" s="44">
        <f>Y23-Y18</f>
        <v>1.9699999999999998</v>
      </c>
      <c r="AB18">
        <v>2.64E-2</v>
      </c>
    </row>
    <row r="19" spans="1:28" ht="18.75" customHeight="1">
      <c r="A19" t="s">
        <v>43</v>
      </c>
      <c r="B19">
        <v>31</v>
      </c>
      <c r="C19" s="1">
        <v>70</v>
      </c>
      <c r="D19" s="1">
        <v>172</v>
      </c>
      <c r="E19" s="2">
        <v>0.3</v>
      </c>
      <c r="F19">
        <v>7</v>
      </c>
      <c r="G19" s="1" t="s">
        <v>24</v>
      </c>
      <c r="H19" s="1" t="s">
        <v>27</v>
      </c>
      <c r="I19">
        <v>3.7</v>
      </c>
      <c r="J19">
        <v>2.9</v>
      </c>
      <c r="K19">
        <v>4.5</v>
      </c>
      <c r="L19" s="5">
        <f t="shared" si="0"/>
        <v>3.6999999999999997</v>
      </c>
      <c r="M19">
        <v>6.8</v>
      </c>
      <c r="N19">
        <v>9.1999999999999993</v>
      </c>
      <c r="O19">
        <v>8.8000000000000007</v>
      </c>
      <c r="P19" s="5">
        <f t="shared" si="1"/>
        <v>8.2666666666666675</v>
      </c>
      <c r="Q19">
        <v>4.0999999999999996</v>
      </c>
      <c r="R19">
        <v>2.5</v>
      </c>
      <c r="S19">
        <v>1.9</v>
      </c>
      <c r="T19" s="5">
        <f t="shared" si="2"/>
        <v>2.8333333333333335</v>
      </c>
      <c r="U19">
        <v>-4.8</v>
      </c>
      <c r="V19">
        <v>-6.5</v>
      </c>
      <c r="W19">
        <v>-5.5</v>
      </c>
      <c r="X19" s="5">
        <f t="shared" si="3"/>
        <v>-5.6000000000000005</v>
      </c>
      <c r="Y19" s="43">
        <v>-7.37</v>
      </c>
      <c r="Z19">
        <f>(Y19 - Y40)^2</f>
        <v>1.0216953601108059</v>
      </c>
      <c r="AA19" s="44">
        <f>Y22-Y19</f>
        <v>0.44000000000000039</v>
      </c>
      <c r="AB19">
        <v>1.5800000000000002E-2</v>
      </c>
    </row>
    <row r="20" spans="1:28" ht="18.75" customHeight="1">
      <c r="A20" t="s">
        <v>44</v>
      </c>
      <c r="B20">
        <v>37</v>
      </c>
      <c r="C20" s="1">
        <v>88</v>
      </c>
      <c r="D20" s="1">
        <v>178</v>
      </c>
      <c r="E20" s="2">
        <v>0.3</v>
      </c>
      <c r="F20">
        <v>7</v>
      </c>
      <c r="G20" s="1" t="s">
        <v>24</v>
      </c>
      <c r="H20" s="1" t="s">
        <v>27</v>
      </c>
      <c r="I20">
        <v>4.7</v>
      </c>
      <c r="J20">
        <v>5.5</v>
      </c>
      <c r="K20">
        <v>7.1</v>
      </c>
      <c r="L20" s="5">
        <f t="shared" si="0"/>
        <v>5.7666666666666657</v>
      </c>
      <c r="M20">
        <v>2.6</v>
      </c>
      <c r="N20">
        <v>3.5</v>
      </c>
      <c r="O20">
        <v>2.2000000000000002</v>
      </c>
      <c r="P20" s="5">
        <f t="shared" si="1"/>
        <v>2.7666666666666671</v>
      </c>
      <c r="Q20">
        <v>-3.8</v>
      </c>
      <c r="R20">
        <v>-4.2</v>
      </c>
      <c r="S20">
        <v>-4.7</v>
      </c>
      <c r="T20" s="5">
        <f t="shared" si="2"/>
        <v>-4.2333333333333334</v>
      </c>
      <c r="U20">
        <v>-0.6</v>
      </c>
      <c r="V20">
        <v>-1.1000000000000001</v>
      </c>
      <c r="W20">
        <v>-1.9</v>
      </c>
      <c r="X20" s="5">
        <f t="shared" si="3"/>
        <v>-1.2</v>
      </c>
      <c r="Y20" s="43">
        <v>-7.27</v>
      </c>
      <c r="Z20">
        <f>(Y20 - Y40)^2</f>
        <v>0.82953746537396256</v>
      </c>
      <c r="AA20" s="44">
        <f>Y21-Y20</f>
        <v>0.29999999999999982</v>
      </c>
      <c r="AB20">
        <v>5.3E-3</v>
      </c>
    </row>
    <row r="21" spans="1:28" ht="18.75" customHeight="1">
      <c r="A21" t="s">
        <v>45</v>
      </c>
      <c r="B21">
        <v>10</v>
      </c>
      <c r="C21" s="1">
        <v>65</v>
      </c>
      <c r="D21" s="1">
        <v>164</v>
      </c>
      <c r="E21" s="2">
        <v>0.28000000000000003</v>
      </c>
      <c r="F21">
        <v>5</v>
      </c>
      <c r="G21" s="1" t="s">
        <v>46</v>
      </c>
      <c r="H21" s="1" t="s">
        <v>25</v>
      </c>
      <c r="I21">
        <v>-9.6999999999999993</v>
      </c>
      <c r="J21">
        <v>-8.8000000000000007</v>
      </c>
      <c r="K21">
        <v>-7.1</v>
      </c>
      <c r="L21" s="41">
        <f t="shared" si="0"/>
        <v>-8.5333333333333332</v>
      </c>
      <c r="M21">
        <v>14.1</v>
      </c>
      <c r="N21">
        <v>10.9</v>
      </c>
      <c r="O21">
        <v>11</v>
      </c>
      <c r="P21" s="5">
        <f t="shared" si="1"/>
        <v>12</v>
      </c>
      <c r="Q21">
        <v>-10.199999999999999</v>
      </c>
      <c r="R21">
        <v>-12.1</v>
      </c>
      <c r="S21">
        <v>-12.6</v>
      </c>
      <c r="T21" s="5">
        <f t="shared" si="2"/>
        <v>-11.633333333333333</v>
      </c>
      <c r="U21">
        <v>-6.8</v>
      </c>
      <c r="V21">
        <v>-8.6</v>
      </c>
      <c r="W21">
        <v>-9.6999999999999993</v>
      </c>
      <c r="X21" s="6">
        <f t="shared" si="3"/>
        <v>-8.3666666666666654</v>
      </c>
      <c r="Y21" s="43">
        <v>-6.97</v>
      </c>
      <c r="Z21">
        <f>(Y21 - Y40)^2</f>
        <v>0.37306378116343603</v>
      </c>
    </row>
    <row r="22" spans="1:28" ht="18.75" customHeight="1">
      <c r="A22" t="s">
        <v>47</v>
      </c>
      <c r="B22">
        <v>25</v>
      </c>
      <c r="C22" s="1">
        <v>80</v>
      </c>
      <c r="D22" s="1">
        <v>180</v>
      </c>
      <c r="E22" s="2">
        <v>0.27</v>
      </c>
      <c r="F22">
        <v>5</v>
      </c>
      <c r="G22" s="1" t="s">
        <v>46</v>
      </c>
      <c r="H22" s="1" t="s">
        <v>27</v>
      </c>
      <c r="I22">
        <v>-2.9</v>
      </c>
      <c r="J22">
        <v>-3.1</v>
      </c>
      <c r="K22">
        <v>-1.7</v>
      </c>
      <c r="L22" s="5">
        <f t="shared" si="0"/>
        <v>-2.5666666666666669</v>
      </c>
      <c r="M22">
        <v>15.2</v>
      </c>
      <c r="N22">
        <v>11.8</v>
      </c>
      <c r="O22">
        <v>12.5</v>
      </c>
      <c r="P22" s="5">
        <f t="shared" si="1"/>
        <v>13.166666666666666</v>
      </c>
      <c r="Q22">
        <v>-3.9</v>
      </c>
      <c r="R22">
        <v>-4.0999999999999996</v>
      </c>
      <c r="S22">
        <v>-6.5</v>
      </c>
      <c r="T22" s="5">
        <f t="shared" si="2"/>
        <v>-4.833333333333333</v>
      </c>
      <c r="U22">
        <v>-4.2</v>
      </c>
      <c r="V22">
        <v>-4.0999999999999996</v>
      </c>
      <c r="W22">
        <v>-6.3</v>
      </c>
      <c r="X22" s="5">
        <f t="shared" si="3"/>
        <v>-4.8666666666666671</v>
      </c>
      <c r="Y22" s="43">
        <v>-6.93</v>
      </c>
      <c r="Z22">
        <f>(Y22 - Y40)^2</f>
        <v>0.32580062326869907</v>
      </c>
    </row>
    <row r="23" spans="1:28" ht="18.75" customHeight="1">
      <c r="A23" t="s">
        <v>48</v>
      </c>
      <c r="B23">
        <v>5</v>
      </c>
      <c r="C23" s="1">
        <v>75</v>
      </c>
      <c r="D23" s="1">
        <v>178</v>
      </c>
      <c r="E23" s="2">
        <v>0.27</v>
      </c>
      <c r="F23">
        <v>5</v>
      </c>
      <c r="G23" s="1" t="s">
        <v>46</v>
      </c>
      <c r="H23" s="1" t="s">
        <v>27</v>
      </c>
      <c r="I23">
        <v>-10.5</v>
      </c>
      <c r="J23">
        <v>-10.1</v>
      </c>
      <c r="K23">
        <v>-12.1</v>
      </c>
      <c r="L23" s="5">
        <f t="shared" si="0"/>
        <v>-10.9</v>
      </c>
      <c r="M23">
        <v>-10.5</v>
      </c>
      <c r="N23">
        <v>-11.2</v>
      </c>
      <c r="O23">
        <v>-12.9</v>
      </c>
      <c r="P23" s="5">
        <f t="shared" si="1"/>
        <v>-11.533333333333333</v>
      </c>
      <c r="Q23">
        <v>-8.5</v>
      </c>
      <c r="R23">
        <v>-8.9</v>
      </c>
      <c r="S23">
        <v>-7.8</v>
      </c>
      <c r="T23" s="5">
        <f t="shared" si="2"/>
        <v>-8.4</v>
      </c>
      <c r="U23">
        <v>-9.1</v>
      </c>
      <c r="V23">
        <v>-6.7</v>
      </c>
      <c r="W23">
        <v>-6.9</v>
      </c>
      <c r="X23" s="5">
        <f t="shared" si="3"/>
        <v>-7.5666666666666673</v>
      </c>
      <c r="Y23" s="43">
        <v>-6.2</v>
      </c>
      <c r="Z23">
        <f>(Y23 - Y40)^2</f>
        <v>2.5347991689750268E-2</v>
      </c>
    </row>
    <row r="24" spans="1:28" ht="18.75" customHeight="1">
      <c r="A24" t="s">
        <v>49</v>
      </c>
      <c r="B24">
        <v>13</v>
      </c>
      <c r="C24" s="1">
        <v>97</v>
      </c>
      <c r="D24" s="1">
        <v>194</v>
      </c>
      <c r="E24" s="2">
        <v>0.26</v>
      </c>
      <c r="F24">
        <v>4</v>
      </c>
      <c r="G24" s="1" t="s">
        <v>46</v>
      </c>
      <c r="H24" s="1" t="s">
        <v>27</v>
      </c>
      <c r="I24">
        <v>-7.5</v>
      </c>
      <c r="J24">
        <v>-5.0999999999999996</v>
      </c>
      <c r="K24">
        <v>-8.1999999999999993</v>
      </c>
      <c r="L24" s="5">
        <f t="shared" si="0"/>
        <v>-6.9333333333333327</v>
      </c>
      <c r="M24">
        <v>19.600000000000001</v>
      </c>
      <c r="N24">
        <v>20.8</v>
      </c>
      <c r="O24">
        <v>18.399999999999999</v>
      </c>
      <c r="P24" s="5">
        <f t="shared" si="1"/>
        <v>19.600000000000001</v>
      </c>
      <c r="Q24">
        <v>-5.5</v>
      </c>
      <c r="R24">
        <v>-1.2</v>
      </c>
      <c r="S24">
        <v>-2.1</v>
      </c>
      <c r="T24" s="5">
        <f t="shared" si="2"/>
        <v>-2.9333333333333336</v>
      </c>
      <c r="U24">
        <v>-1.5</v>
      </c>
      <c r="V24">
        <v>-0.7</v>
      </c>
      <c r="W24">
        <v>-1.9</v>
      </c>
      <c r="X24" s="5">
        <f t="shared" si="3"/>
        <v>-1.3666666666666665</v>
      </c>
      <c r="Y24" s="43">
        <v>-6.1</v>
      </c>
      <c r="Z24">
        <f>(Y24 - Y40)^2</f>
        <v>6.7190096952908174E-2</v>
      </c>
    </row>
    <row r="25" spans="1:28" ht="18.75" customHeight="1">
      <c r="A25" t="s">
        <v>50</v>
      </c>
      <c r="B25">
        <v>15</v>
      </c>
      <c r="C25" s="1">
        <v>61</v>
      </c>
      <c r="D25" s="1">
        <v>170</v>
      </c>
      <c r="E25" s="2">
        <v>0.22</v>
      </c>
      <c r="F25">
        <v>1</v>
      </c>
      <c r="G25" s="1" t="s">
        <v>46</v>
      </c>
      <c r="H25" s="1" t="s">
        <v>25</v>
      </c>
      <c r="I25">
        <v>-6.8</v>
      </c>
      <c r="J25">
        <v>-8.1</v>
      </c>
      <c r="K25">
        <v>-6</v>
      </c>
      <c r="L25" s="41">
        <f t="shared" si="0"/>
        <v>-6.9666666666666659</v>
      </c>
      <c r="M25">
        <v>-1.6</v>
      </c>
      <c r="N25">
        <v>-2.7</v>
      </c>
      <c r="O25">
        <v>-2.1</v>
      </c>
      <c r="P25" s="5">
        <f t="shared" si="1"/>
        <v>-2.1333333333333333</v>
      </c>
      <c r="Q25">
        <v>-4.7</v>
      </c>
      <c r="R25">
        <v>-3.7</v>
      </c>
      <c r="S25">
        <v>-7.1</v>
      </c>
      <c r="T25" s="5">
        <f t="shared" si="2"/>
        <v>-5.166666666666667</v>
      </c>
      <c r="U25">
        <v>-2.1</v>
      </c>
      <c r="V25">
        <v>-3.9</v>
      </c>
      <c r="W25">
        <v>-1.3</v>
      </c>
      <c r="X25" s="5">
        <f t="shared" si="3"/>
        <v>-2.4333333333333331</v>
      </c>
      <c r="Y25" s="43">
        <v>-5.97</v>
      </c>
      <c r="Z25">
        <f>(Y25 - Y40)^2</f>
        <v>0.15148483379501315</v>
      </c>
    </row>
    <row r="26" spans="1:28" ht="18.75" customHeight="1">
      <c r="A26" t="s">
        <v>51</v>
      </c>
      <c r="B26">
        <v>17</v>
      </c>
      <c r="C26" s="1">
        <v>94</v>
      </c>
      <c r="D26" s="1">
        <v>188</v>
      </c>
      <c r="E26" s="2">
        <v>0.25</v>
      </c>
      <c r="F26">
        <v>4</v>
      </c>
      <c r="G26" s="1" t="s">
        <v>46</v>
      </c>
      <c r="H26" s="1" t="s">
        <v>27</v>
      </c>
      <c r="I26">
        <v>-11.6</v>
      </c>
      <c r="J26">
        <v>-10.9</v>
      </c>
      <c r="K26">
        <v>-9.8000000000000007</v>
      </c>
      <c r="L26" s="5">
        <f t="shared" si="0"/>
        <v>-10.766666666666666</v>
      </c>
      <c r="M26">
        <v>16.100000000000001</v>
      </c>
      <c r="N26">
        <v>14.2</v>
      </c>
      <c r="O26">
        <v>10.8</v>
      </c>
      <c r="P26" s="5">
        <f t="shared" si="1"/>
        <v>13.700000000000001</v>
      </c>
      <c r="Q26">
        <v>-4.7</v>
      </c>
      <c r="R26">
        <v>-5.8</v>
      </c>
      <c r="S26">
        <v>-7.1</v>
      </c>
      <c r="T26" s="5">
        <f t="shared" si="2"/>
        <v>-5.8666666666666671</v>
      </c>
      <c r="U26">
        <v>-8.3000000000000007</v>
      </c>
      <c r="V26">
        <v>-7.1</v>
      </c>
      <c r="W26">
        <v>-9.1999999999999993</v>
      </c>
      <c r="X26" s="5">
        <f t="shared" si="3"/>
        <v>-8.2000000000000011</v>
      </c>
      <c r="Y26" s="43">
        <v>-5.5</v>
      </c>
      <c r="Z26">
        <f>(Y26 - Y40)^2</f>
        <v>0.73824272853185391</v>
      </c>
    </row>
    <row r="27" spans="1:28" ht="18.75" customHeight="1">
      <c r="A27" t="s">
        <v>52</v>
      </c>
      <c r="B27">
        <v>19</v>
      </c>
      <c r="C27" s="1">
        <v>73</v>
      </c>
      <c r="D27" s="1">
        <v>169</v>
      </c>
      <c r="E27" s="2">
        <v>0.23</v>
      </c>
      <c r="F27">
        <v>2</v>
      </c>
      <c r="G27" s="1" t="s">
        <v>46</v>
      </c>
      <c r="H27" s="1" t="s">
        <v>27</v>
      </c>
      <c r="I27">
        <v>-8.6</v>
      </c>
      <c r="J27">
        <v>-10.199999999999999</v>
      </c>
      <c r="K27">
        <v>-6.9</v>
      </c>
      <c r="L27" s="41">
        <f t="shared" si="0"/>
        <v>-8.5666666666666647</v>
      </c>
      <c r="M27">
        <v>4.0999999999999996</v>
      </c>
      <c r="N27">
        <v>3.8</v>
      </c>
      <c r="O27">
        <v>-2.4</v>
      </c>
      <c r="P27" s="5">
        <f t="shared" si="1"/>
        <v>1.8333333333333333</v>
      </c>
      <c r="Q27">
        <v>-5.3</v>
      </c>
      <c r="R27">
        <v>-8.1</v>
      </c>
      <c r="S27">
        <v>-6.6</v>
      </c>
      <c r="T27" s="5">
        <f t="shared" si="2"/>
        <v>-6.666666666666667</v>
      </c>
      <c r="U27">
        <v>-3.9</v>
      </c>
      <c r="V27">
        <v>-5.2</v>
      </c>
      <c r="W27">
        <v>-5.7</v>
      </c>
      <c r="X27" s="5">
        <f t="shared" si="3"/>
        <v>-4.9333333333333336</v>
      </c>
      <c r="Y27" s="43">
        <v>-4.87</v>
      </c>
      <c r="Z27">
        <f>(Y27 - Y40)^2</f>
        <v>2.2177479916897469</v>
      </c>
    </row>
    <row r="28" spans="1:28" ht="18.75" customHeight="1">
      <c r="A28" t="s">
        <v>53</v>
      </c>
      <c r="B28">
        <v>21</v>
      </c>
      <c r="C28" s="1">
        <v>61</v>
      </c>
      <c r="D28" s="1">
        <v>165</v>
      </c>
      <c r="E28" s="2">
        <v>0.23</v>
      </c>
      <c r="F28">
        <v>3</v>
      </c>
      <c r="G28" s="1" t="s">
        <v>46</v>
      </c>
      <c r="H28" s="1" t="s">
        <v>27</v>
      </c>
      <c r="I28">
        <v>3.5</v>
      </c>
      <c r="J28">
        <v>4.7</v>
      </c>
      <c r="K28">
        <v>2.8</v>
      </c>
      <c r="L28" s="41">
        <f t="shared" si="0"/>
        <v>3.6666666666666665</v>
      </c>
      <c r="M28">
        <v>21.3</v>
      </c>
      <c r="N28">
        <v>18.899999999999999</v>
      </c>
      <c r="O28">
        <v>19.399999999999999</v>
      </c>
      <c r="P28" s="5">
        <f t="shared" si="1"/>
        <v>19.866666666666667</v>
      </c>
      <c r="Q28">
        <v>-3.6</v>
      </c>
      <c r="R28">
        <v>-5.2</v>
      </c>
      <c r="S28">
        <v>-6.1</v>
      </c>
      <c r="T28" s="5">
        <f t="shared" si="2"/>
        <v>-4.9666666666666668</v>
      </c>
      <c r="U28">
        <v>-6.1</v>
      </c>
      <c r="V28">
        <v>-4.8</v>
      </c>
      <c r="W28">
        <v>-7.3</v>
      </c>
      <c r="X28" s="5">
        <f t="shared" si="3"/>
        <v>-6.0666666666666664</v>
      </c>
      <c r="Y28" s="43">
        <v>-4.7</v>
      </c>
      <c r="Z28">
        <f>(Y28 - Y40)^2</f>
        <v>2.7529795706371147</v>
      </c>
    </row>
    <row r="29" spans="1:28" ht="18.75" customHeight="1">
      <c r="A29" t="s">
        <v>54</v>
      </c>
      <c r="B29">
        <v>23</v>
      </c>
      <c r="C29" s="1">
        <v>62</v>
      </c>
      <c r="D29" s="1">
        <v>176</v>
      </c>
      <c r="E29" s="2">
        <v>0.27</v>
      </c>
      <c r="F29">
        <v>5</v>
      </c>
      <c r="G29" s="1" t="s">
        <v>46</v>
      </c>
      <c r="H29" s="1" t="s">
        <v>25</v>
      </c>
      <c r="I29">
        <v>-8.6</v>
      </c>
      <c r="J29">
        <v>-6.2</v>
      </c>
      <c r="K29">
        <v>-9.6999999999999993</v>
      </c>
      <c r="L29" s="5">
        <f t="shared" si="0"/>
        <v>-8.1666666666666661</v>
      </c>
      <c r="M29">
        <v>2.7</v>
      </c>
      <c r="N29">
        <v>0.9</v>
      </c>
      <c r="O29">
        <v>3.1</v>
      </c>
      <c r="P29" s="5">
        <f t="shared" si="1"/>
        <v>2.2333333333333334</v>
      </c>
      <c r="Q29">
        <v>-6.2</v>
      </c>
      <c r="R29">
        <v>-7.9</v>
      </c>
      <c r="S29">
        <v>-10.7</v>
      </c>
      <c r="T29" s="5">
        <f t="shared" si="2"/>
        <v>-8.2666666666666675</v>
      </c>
      <c r="U29">
        <v>-5.9</v>
      </c>
      <c r="V29">
        <v>-7.1</v>
      </c>
      <c r="W29">
        <v>-6.5</v>
      </c>
      <c r="X29" s="5">
        <f t="shared" si="3"/>
        <v>-6.5</v>
      </c>
      <c r="Y29" s="43">
        <v>-4.43</v>
      </c>
      <c r="Z29">
        <f>(Y29 - Y40)^2</f>
        <v>3.721853254847642</v>
      </c>
    </row>
    <row r="30" spans="1:28" ht="18.75" customHeight="1">
      <c r="A30" t="s">
        <v>55</v>
      </c>
      <c r="B30">
        <v>28</v>
      </c>
      <c r="C30" s="1">
        <v>52</v>
      </c>
      <c r="D30" s="1">
        <v>162</v>
      </c>
      <c r="E30" s="2">
        <v>0.23</v>
      </c>
      <c r="F30">
        <v>2</v>
      </c>
      <c r="G30" s="1" t="s">
        <v>46</v>
      </c>
      <c r="H30" s="1" t="s">
        <v>25</v>
      </c>
      <c r="I30">
        <v>-14.2</v>
      </c>
      <c r="J30">
        <v>-15.7</v>
      </c>
      <c r="K30">
        <v>-13.9</v>
      </c>
      <c r="L30" s="5">
        <f t="shared" si="0"/>
        <v>-14.6</v>
      </c>
      <c r="M30">
        <v>-4.7</v>
      </c>
      <c r="N30">
        <v>-3.9</v>
      </c>
      <c r="O30">
        <v>-5.5</v>
      </c>
      <c r="P30" s="5">
        <f t="shared" si="1"/>
        <v>-4.7</v>
      </c>
      <c r="Q30">
        <v>-7.1</v>
      </c>
      <c r="R30">
        <v>-6.2</v>
      </c>
      <c r="S30">
        <v>-3.9</v>
      </c>
      <c r="T30" s="5">
        <f t="shared" si="2"/>
        <v>-5.7333333333333334</v>
      </c>
      <c r="U30">
        <v>-3.6</v>
      </c>
      <c r="V30">
        <v>-4.4000000000000004</v>
      </c>
      <c r="W30">
        <v>-2.1</v>
      </c>
      <c r="X30" s="5">
        <f t="shared" si="3"/>
        <v>-3.3666666666666667</v>
      </c>
      <c r="Y30" s="43">
        <v>-2.57</v>
      </c>
      <c r="Z30">
        <f>(Y30 - Y40)^2</f>
        <v>14.358116412742374</v>
      </c>
    </row>
    <row r="31" spans="1:28" ht="18.75" customHeight="1">
      <c r="A31" t="s">
        <v>56</v>
      </c>
      <c r="B31">
        <v>29</v>
      </c>
      <c r="C31" s="1">
        <v>59</v>
      </c>
      <c r="D31" s="1">
        <v>165</v>
      </c>
      <c r="E31" s="2">
        <v>0.26</v>
      </c>
      <c r="F31">
        <v>4</v>
      </c>
      <c r="G31" s="1" t="s">
        <v>46</v>
      </c>
      <c r="H31" s="1" t="s">
        <v>25</v>
      </c>
      <c r="I31">
        <v>-10.5</v>
      </c>
      <c r="J31">
        <v>-9.98</v>
      </c>
      <c r="K31">
        <v>-11.7</v>
      </c>
      <c r="L31" s="41">
        <f t="shared" si="0"/>
        <v>-10.726666666666667</v>
      </c>
      <c r="M31">
        <v>1.4</v>
      </c>
      <c r="N31">
        <v>2.9</v>
      </c>
      <c r="O31">
        <v>7.2</v>
      </c>
      <c r="P31" s="5">
        <f t="shared" si="1"/>
        <v>3.8333333333333335</v>
      </c>
      <c r="Q31">
        <v>-8.5</v>
      </c>
      <c r="R31">
        <v>-4.3</v>
      </c>
      <c r="S31">
        <v>-6.7</v>
      </c>
      <c r="T31" s="5">
        <f t="shared" si="2"/>
        <v>-6.5</v>
      </c>
      <c r="U31">
        <v>1.5</v>
      </c>
      <c r="V31">
        <v>-0.9</v>
      </c>
      <c r="W31">
        <v>0.8</v>
      </c>
      <c r="X31" s="5">
        <f t="shared" si="3"/>
        <v>0.46666666666666662</v>
      </c>
      <c r="Y31" s="43">
        <v>-2.0299999999999998</v>
      </c>
      <c r="Z31">
        <f>(Y31 - Y40)^2</f>
        <v>18.742063781163431</v>
      </c>
    </row>
    <row r="32" spans="1:28" ht="18.75" customHeight="1">
      <c r="A32" t="s">
        <v>57</v>
      </c>
      <c r="B32">
        <v>33</v>
      </c>
      <c r="C32" s="1">
        <v>87</v>
      </c>
      <c r="D32" s="1">
        <v>183</v>
      </c>
      <c r="E32" s="2">
        <v>0.25</v>
      </c>
      <c r="F32">
        <v>3</v>
      </c>
      <c r="G32" s="1" t="s">
        <v>46</v>
      </c>
      <c r="H32" s="1" t="s">
        <v>27</v>
      </c>
      <c r="I32">
        <v>-8.1</v>
      </c>
      <c r="J32">
        <v>-6.7</v>
      </c>
      <c r="K32">
        <v>-7.3</v>
      </c>
      <c r="L32" s="5">
        <f t="shared" si="0"/>
        <v>-7.3666666666666671</v>
      </c>
      <c r="M32">
        <v>12.6</v>
      </c>
      <c r="N32">
        <v>11.9</v>
      </c>
      <c r="O32">
        <v>14.5</v>
      </c>
      <c r="P32" s="5">
        <f t="shared" si="1"/>
        <v>13</v>
      </c>
      <c r="Q32">
        <v>-4.5</v>
      </c>
      <c r="R32">
        <v>-5.3</v>
      </c>
      <c r="S32">
        <v>-2.8</v>
      </c>
      <c r="T32" s="5">
        <f t="shared" si="2"/>
        <v>-4.2</v>
      </c>
      <c r="U32">
        <v>-1.2</v>
      </c>
      <c r="V32">
        <v>-2.5</v>
      </c>
      <c r="W32">
        <v>-1.7</v>
      </c>
      <c r="X32" s="5">
        <f t="shared" si="3"/>
        <v>-1.8</v>
      </c>
      <c r="Y32" s="43">
        <v>-1.1000000000000001</v>
      </c>
      <c r="Z32">
        <f>(Y32 - Y40)^2</f>
        <v>27.659295360110796</v>
      </c>
    </row>
    <row r="33" spans="1:26" ht="18.75" customHeight="1">
      <c r="A33" t="s">
        <v>58</v>
      </c>
      <c r="B33">
        <v>34</v>
      </c>
      <c r="C33" s="1">
        <v>53</v>
      </c>
      <c r="D33" s="1">
        <v>163</v>
      </c>
      <c r="E33" s="2">
        <v>0.23</v>
      </c>
      <c r="F33">
        <v>1</v>
      </c>
      <c r="G33" s="1" t="s">
        <v>46</v>
      </c>
      <c r="H33" s="1" t="s">
        <v>25</v>
      </c>
      <c r="I33">
        <v>-1.4</v>
      </c>
      <c r="J33">
        <v>-2.9</v>
      </c>
      <c r="K33">
        <v>-1.8</v>
      </c>
      <c r="L33" s="41">
        <f t="shared" si="0"/>
        <v>-2.0333333333333332</v>
      </c>
      <c r="M33" s="7">
        <v>10.199999999999999</v>
      </c>
      <c r="N33">
        <v>14.2</v>
      </c>
      <c r="O33">
        <v>15.7</v>
      </c>
      <c r="P33" s="5">
        <f t="shared" si="1"/>
        <v>13.366666666666665</v>
      </c>
      <c r="Q33">
        <v>-2.2999999999999998</v>
      </c>
      <c r="R33">
        <v>-4.2</v>
      </c>
      <c r="S33">
        <v>-1.5</v>
      </c>
      <c r="T33" s="5">
        <f t="shared" si="2"/>
        <v>-2.6666666666666665</v>
      </c>
      <c r="U33">
        <v>-3.8</v>
      </c>
      <c r="V33">
        <v>-5.7</v>
      </c>
      <c r="W33">
        <v>-5.0999999999999996</v>
      </c>
      <c r="X33" s="5">
        <f t="shared" si="3"/>
        <v>-4.8666666666666663</v>
      </c>
      <c r="Y33" s="43">
        <v>2.9</v>
      </c>
      <c r="Z33">
        <f>(Y33 - Y40)^2</f>
        <v>85.732979570637099</v>
      </c>
    </row>
    <row r="34" spans="1:26" ht="18.75" customHeight="1">
      <c r="A34" t="s">
        <v>59</v>
      </c>
      <c r="B34">
        <v>35</v>
      </c>
      <c r="C34" s="1">
        <v>89</v>
      </c>
      <c r="D34" s="1">
        <v>178</v>
      </c>
      <c r="E34" s="2">
        <v>0.24</v>
      </c>
      <c r="F34">
        <v>3</v>
      </c>
      <c r="G34" s="1" t="s">
        <v>46</v>
      </c>
      <c r="H34" s="1" t="s">
        <v>27</v>
      </c>
      <c r="I34">
        <v>-4.7</v>
      </c>
      <c r="J34">
        <v>-4.0999999999999996</v>
      </c>
      <c r="K34">
        <v>-5.8</v>
      </c>
      <c r="L34" s="41">
        <f t="shared" si="0"/>
        <v>-4.8666666666666671</v>
      </c>
      <c r="M34">
        <v>-2.8</v>
      </c>
      <c r="N34">
        <v>-4.2</v>
      </c>
      <c r="O34">
        <v>-5.0999999999999996</v>
      </c>
      <c r="P34" s="5">
        <f t="shared" si="1"/>
        <v>-4.0333333333333332</v>
      </c>
      <c r="Q34">
        <v>-7.3</v>
      </c>
      <c r="R34">
        <v>-6.6</v>
      </c>
      <c r="S34">
        <v>-8.1999999999999993</v>
      </c>
      <c r="T34" s="5">
        <f t="shared" si="2"/>
        <v>-7.3666666666666663</v>
      </c>
      <c r="U34">
        <v>-4.4000000000000004</v>
      </c>
      <c r="V34">
        <v>-4.8</v>
      </c>
      <c r="W34">
        <v>-3.2</v>
      </c>
      <c r="X34" s="5">
        <f t="shared" si="3"/>
        <v>-4.1333333333333329</v>
      </c>
      <c r="Y34" s="43">
        <v>3.37</v>
      </c>
      <c r="Z34">
        <f>(Y34 - Y40)^2</f>
        <v>94.657537465373963</v>
      </c>
    </row>
    <row r="35" spans="1:26" ht="18.75" customHeight="1">
      <c r="A35" t="s">
        <v>60</v>
      </c>
      <c r="B35">
        <v>36</v>
      </c>
      <c r="C35" s="1">
        <v>53</v>
      </c>
      <c r="D35" s="1">
        <v>169</v>
      </c>
      <c r="E35" s="2">
        <v>0.25</v>
      </c>
      <c r="F35">
        <v>3</v>
      </c>
      <c r="G35" s="1" t="s">
        <v>46</v>
      </c>
      <c r="H35" s="1" t="s">
        <v>25</v>
      </c>
      <c r="I35">
        <v>-18.3</v>
      </c>
      <c r="J35">
        <v>-20.100000000000001</v>
      </c>
      <c r="K35">
        <v>-17.7</v>
      </c>
      <c r="L35" s="41">
        <f t="shared" si="0"/>
        <v>-18.700000000000003</v>
      </c>
      <c r="M35">
        <v>-4.5999999999999996</v>
      </c>
      <c r="N35">
        <v>-5.5</v>
      </c>
      <c r="O35">
        <v>-3.8</v>
      </c>
      <c r="P35" s="5">
        <f t="shared" si="1"/>
        <v>-4.6333333333333329</v>
      </c>
      <c r="Q35">
        <v>-8.1</v>
      </c>
      <c r="R35">
        <v>-6.6</v>
      </c>
      <c r="S35">
        <v>-5.7</v>
      </c>
      <c r="T35" s="5">
        <f t="shared" si="2"/>
        <v>-6.8</v>
      </c>
      <c r="U35">
        <v>-7.9</v>
      </c>
      <c r="V35">
        <v>-5.8</v>
      </c>
      <c r="W35">
        <v>-7.2</v>
      </c>
      <c r="X35" s="5">
        <f t="shared" si="3"/>
        <v>-6.9666666666666659</v>
      </c>
      <c r="Y35" s="43">
        <v>3.67</v>
      </c>
      <c r="Z35">
        <f>(Y35 - Y40)^2</f>
        <v>100.58506378116341</v>
      </c>
    </row>
    <row r="36" spans="1:26" ht="18.75" customHeight="1">
      <c r="A36" t="s">
        <v>61</v>
      </c>
      <c r="B36">
        <v>37</v>
      </c>
      <c r="C36" s="1">
        <v>72</v>
      </c>
      <c r="D36" s="1">
        <v>178</v>
      </c>
      <c r="E36" s="2">
        <v>0.25</v>
      </c>
      <c r="F36">
        <v>4</v>
      </c>
      <c r="G36" s="1" t="s">
        <v>46</v>
      </c>
      <c r="H36" s="1" t="s">
        <v>27</v>
      </c>
      <c r="I36">
        <v>7.1</v>
      </c>
      <c r="J36">
        <v>5.5</v>
      </c>
      <c r="K36">
        <v>5.0999999999999996</v>
      </c>
      <c r="L36" s="5">
        <f t="shared" si="0"/>
        <v>5.8999999999999995</v>
      </c>
      <c r="M36">
        <v>8.5</v>
      </c>
      <c r="N36">
        <v>11.2</v>
      </c>
      <c r="O36">
        <v>9.1</v>
      </c>
      <c r="P36" s="5">
        <f t="shared" si="1"/>
        <v>9.6</v>
      </c>
      <c r="Q36">
        <v>4.5999999999999996</v>
      </c>
      <c r="R36">
        <v>4.0999999999999996</v>
      </c>
      <c r="S36">
        <v>5.2</v>
      </c>
      <c r="T36" s="5">
        <f t="shared" si="2"/>
        <v>4.6333333333333329</v>
      </c>
      <c r="U36">
        <v>1.4</v>
      </c>
      <c r="V36">
        <v>2.2000000000000002</v>
      </c>
      <c r="W36">
        <v>1.1000000000000001</v>
      </c>
      <c r="X36" s="5">
        <f t="shared" si="3"/>
        <v>1.5666666666666667</v>
      </c>
      <c r="Y36" s="43">
        <v>3.7</v>
      </c>
      <c r="Z36">
        <f>(Y36 - Y40)^2</f>
        <v>101.18771641274235</v>
      </c>
    </row>
    <row r="37" spans="1:26" ht="18.75" customHeight="1">
      <c r="A37" t="s">
        <v>62</v>
      </c>
      <c r="B37">
        <v>2</v>
      </c>
      <c r="C37" s="1">
        <v>62</v>
      </c>
      <c r="D37" s="1">
        <v>177</v>
      </c>
      <c r="E37" s="2">
        <v>0.24</v>
      </c>
      <c r="F37">
        <v>2</v>
      </c>
      <c r="G37" s="1" t="s">
        <v>63</v>
      </c>
      <c r="H37" s="1" t="s">
        <v>25</v>
      </c>
      <c r="I37">
        <v>-4.0999999999999996</v>
      </c>
      <c r="J37">
        <v>-5.2</v>
      </c>
      <c r="K37">
        <v>-4.8</v>
      </c>
      <c r="L37" s="41">
        <f t="shared" si="0"/>
        <v>-4.7</v>
      </c>
      <c r="M37">
        <v>11.5</v>
      </c>
      <c r="N37">
        <v>11.4</v>
      </c>
      <c r="O37">
        <v>13.1</v>
      </c>
      <c r="P37" s="5">
        <f t="shared" si="1"/>
        <v>12</v>
      </c>
      <c r="Q37">
        <v>-10.08</v>
      </c>
      <c r="R37">
        <v>-8</v>
      </c>
      <c r="S37">
        <v>-8.6</v>
      </c>
      <c r="T37" s="5">
        <f t="shared" si="2"/>
        <v>-8.8933333333333326</v>
      </c>
      <c r="U37">
        <v>-5.9</v>
      </c>
      <c r="V37">
        <v>-7.4</v>
      </c>
      <c r="W37">
        <v>-4.9000000000000004</v>
      </c>
      <c r="X37" s="5">
        <f t="shared" si="3"/>
        <v>-6.0666666666666673</v>
      </c>
      <c r="Y37" s="43">
        <v>5.73</v>
      </c>
      <c r="Z37">
        <f>(Y37 - Y40)^2</f>
        <v>146.14901114958448</v>
      </c>
    </row>
    <row r="38" spans="1:26" ht="18.75" customHeight="1">
      <c r="A38" t="s">
        <v>64</v>
      </c>
      <c r="B38">
        <v>8</v>
      </c>
      <c r="C38" s="1">
        <v>68</v>
      </c>
      <c r="D38" s="1">
        <v>162</v>
      </c>
      <c r="E38" s="2">
        <v>0.26</v>
      </c>
      <c r="F38">
        <v>4</v>
      </c>
      <c r="G38" s="1" t="s">
        <v>63</v>
      </c>
      <c r="H38" s="1" t="s">
        <v>25</v>
      </c>
      <c r="I38">
        <v>-11.7</v>
      </c>
      <c r="J38">
        <v>-7.7</v>
      </c>
      <c r="K38">
        <v>-10.1</v>
      </c>
      <c r="L38" s="5">
        <f t="shared" si="0"/>
        <v>-9.8333333333333339</v>
      </c>
      <c r="M38">
        <v>1.1000000000000001</v>
      </c>
      <c r="N38">
        <v>2.7</v>
      </c>
      <c r="O38">
        <v>3.8</v>
      </c>
      <c r="P38" s="5">
        <f t="shared" si="1"/>
        <v>2.5333333333333332</v>
      </c>
      <c r="Q38">
        <v>-8.9</v>
      </c>
      <c r="R38">
        <v>-7.8</v>
      </c>
      <c r="S38">
        <v>-8.5</v>
      </c>
      <c r="T38" s="5">
        <f t="shared" si="2"/>
        <v>-8.4</v>
      </c>
      <c r="U38">
        <v>-7.9</v>
      </c>
      <c r="V38">
        <v>-9.1</v>
      </c>
      <c r="W38">
        <v>-7.2</v>
      </c>
      <c r="X38" s="5">
        <f t="shared" si="3"/>
        <v>-8.0666666666666664</v>
      </c>
      <c r="Y38" s="43">
        <v>5.77</v>
      </c>
      <c r="Z38">
        <f>(Y38 - Y40)^2</f>
        <v>147.11774799168973</v>
      </c>
    </row>
    <row r="39" spans="1:26" ht="18.75" customHeight="1">
      <c r="A39" t="s">
        <v>65</v>
      </c>
      <c r="B39">
        <v>9</v>
      </c>
      <c r="C39" s="1">
        <v>59</v>
      </c>
      <c r="D39" s="1">
        <v>165</v>
      </c>
      <c r="E39" s="2">
        <v>0.27</v>
      </c>
      <c r="F39">
        <v>4</v>
      </c>
      <c r="G39" s="1" t="s">
        <v>63</v>
      </c>
      <c r="H39" s="1" t="s">
        <v>25</v>
      </c>
      <c r="I39">
        <v>-8.6999999999999993</v>
      </c>
      <c r="J39">
        <v>-9.1</v>
      </c>
      <c r="K39">
        <v>-7.7</v>
      </c>
      <c r="L39" s="5">
        <f t="shared" si="0"/>
        <v>-8.4999999999999982</v>
      </c>
      <c r="M39">
        <v>20.100000000000001</v>
      </c>
      <c r="N39">
        <v>17.899999999999999</v>
      </c>
      <c r="O39">
        <v>18</v>
      </c>
      <c r="P39" s="5">
        <f t="shared" si="1"/>
        <v>18.666666666666668</v>
      </c>
      <c r="Q39">
        <v>-5.9</v>
      </c>
      <c r="R39">
        <v>-7.3</v>
      </c>
      <c r="S39">
        <v>-8.8000000000000007</v>
      </c>
      <c r="T39" s="5">
        <f t="shared" si="2"/>
        <v>-7.333333333333333</v>
      </c>
      <c r="U39">
        <v>-2.9</v>
      </c>
      <c r="V39">
        <v>-5.5</v>
      </c>
      <c r="W39">
        <v>-4.8</v>
      </c>
      <c r="X39" s="5">
        <f t="shared" si="3"/>
        <v>-4.3999999999999995</v>
      </c>
      <c r="Y39" s="43">
        <v>5.9</v>
      </c>
      <c r="Z39">
        <f>(Y39 - Y40)^2</f>
        <v>150.28824272853183</v>
      </c>
    </row>
    <row r="40" spans="1:26" ht="18.75" customHeight="1">
      <c r="L40" s="8"/>
      <c r="P40" s="8"/>
      <c r="T40" s="9"/>
      <c r="X40" s="9"/>
      <c r="Y40" s="42">
        <f>AVERAGE(Y2:Y39)</f>
        <v>-6.3592105263157883</v>
      </c>
    </row>
    <row r="41" spans="1:26" ht="18.75" customHeight="1">
      <c r="A41" t="s">
        <v>66</v>
      </c>
      <c r="C41" s="7">
        <f t="shared" ref="C41:F41" si="4">AVERAGEIF($G2:$G39, "flat",C2:C39)</f>
        <v>72.89473684210526</v>
      </c>
      <c r="D41" s="7">
        <f t="shared" si="4"/>
        <v>172.05263157894737</v>
      </c>
      <c r="E41" s="7">
        <f t="shared" si="4"/>
        <v>0.3384210526315789</v>
      </c>
      <c r="F41" s="7">
        <f t="shared" si="4"/>
        <v>8.6842105263157894</v>
      </c>
      <c r="G41" s="7">
        <f>COUNTA(G2:G20)</f>
        <v>19</v>
      </c>
      <c r="H41" s="7">
        <f>COUNTIF(H2:H20, "F")/COUNTA(H2:H20)*100</f>
        <v>47.368421052631575</v>
      </c>
      <c r="I41" s="7"/>
      <c r="J41" s="7"/>
      <c r="K41" s="7"/>
      <c r="L41" s="5">
        <f>AVERAGEIF($G2:$G39, "flat",L2:L39)</f>
        <v>-5.6035087719298238</v>
      </c>
      <c r="M41" s="7"/>
      <c r="N41" s="7"/>
      <c r="O41" s="7"/>
      <c r="P41" s="5">
        <f>AVERAGEIF($G2:$G39, "flat",P2:P39)</f>
        <v>6.0105263157894742</v>
      </c>
      <c r="Q41" s="7"/>
      <c r="R41" s="7"/>
      <c r="S41" s="7"/>
      <c r="T41" s="10">
        <f>AVERAGEIF($G2:$G39, "flat",T2:T39)</f>
        <v>-5.9526315789473685</v>
      </c>
      <c r="U41" s="7"/>
      <c r="V41" s="7"/>
      <c r="W41" s="7"/>
      <c r="X41" s="10">
        <f>AVERAGEIF($G2:$G39, "flat",X2:X39)</f>
        <v>-4.9438596491228077</v>
      </c>
    </row>
    <row r="42" spans="1:26" ht="18.75" customHeight="1">
      <c r="A42" t="s">
        <v>67</v>
      </c>
      <c r="C42" s="7">
        <f t="shared" ref="C42:F42" si="5">AVERAGEIF($G2:$G39, "normal",C2:C39)</f>
        <v>70.8125</v>
      </c>
      <c r="D42" s="7">
        <f t="shared" si="5"/>
        <v>173.875</v>
      </c>
      <c r="E42" s="7">
        <f t="shared" si="5"/>
        <v>0.24937500000000001</v>
      </c>
      <c r="F42" s="7">
        <f t="shared" si="5"/>
        <v>3.375</v>
      </c>
      <c r="G42" s="7">
        <f>COUNTA(G21:G39)</f>
        <v>19</v>
      </c>
      <c r="H42" s="7">
        <f>COUNTIF(H21:H39, "F")/COUNTA(H21:H39)*100</f>
        <v>52.631578947368418</v>
      </c>
      <c r="I42" s="7"/>
      <c r="J42" s="7"/>
      <c r="K42" s="7"/>
      <c r="L42" s="5">
        <f>AVERAGEIF($G2:$G39, "normal",L2:L39)</f>
        <v>-7.0079166666666675</v>
      </c>
      <c r="M42" s="7"/>
      <c r="N42" s="7"/>
      <c r="O42" s="7"/>
      <c r="P42" s="5">
        <f>AVERAGEIF($G2:$G39, "normal",P2:P39)</f>
        <v>5.9479166666666661</v>
      </c>
      <c r="Q42" s="7"/>
      <c r="R42" s="7"/>
      <c r="S42" s="7"/>
      <c r="T42" s="10">
        <f>AVERAGEIF($G2:$G39, "normal",T2:T39)</f>
        <v>-5.4604166666666671</v>
      </c>
      <c r="U42" s="7"/>
      <c r="V42" s="7"/>
      <c r="W42" s="7"/>
      <c r="X42" s="10">
        <f>AVERAGEIF($G2:$G39, "normal",X2:X39)</f>
        <v>-4.3374999999999995</v>
      </c>
      <c r="Y42" s="42" t="s">
        <v>104</v>
      </c>
      <c r="Z42" s="42">
        <f>SUM(Z2:Z39)</f>
        <v>1620.6072763157895</v>
      </c>
    </row>
    <row r="43" spans="1:26" ht="18.75" customHeight="1">
      <c r="L43" s="8"/>
      <c r="P43" s="8"/>
      <c r="T43" s="9"/>
      <c r="X43" s="9"/>
    </row>
    <row r="44" spans="1:26" ht="18.75" customHeight="1">
      <c r="J44" t="s">
        <v>66</v>
      </c>
      <c r="K44" t="s">
        <v>27</v>
      </c>
      <c r="L44" s="5">
        <f>AVERAGEIF($H2:$H20, "M",L2:L20)</f>
        <v>-1.2900000000000003</v>
      </c>
      <c r="N44" t="s">
        <v>66</v>
      </c>
      <c r="O44" t="s">
        <v>27</v>
      </c>
      <c r="P44" s="5">
        <f>AVERAGEIF($H2:$H20, "M",P2:P20)</f>
        <v>7.8766666666666669</v>
      </c>
      <c r="R44" t="s">
        <v>66</v>
      </c>
      <c r="S44" t="s">
        <v>27</v>
      </c>
      <c r="T44" s="10">
        <f>AVERAGEIF($H2:$H20, "M",T2:T20)</f>
        <v>-4.3133333333333335</v>
      </c>
      <c r="V44" t="s">
        <v>66</v>
      </c>
      <c r="W44" t="s">
        <v>27</v>
      </c>
      <c r="X44" s="10">
        <f>AVERAGEIF($H2:$H20, "M",X2:X20)</f>
        <v>-5.1166666666666663</v>
      </c>
    </row>
    <row r="45" spans="1:26" ht="18.75" customHeight="1">
      <c r="J45" t="s">
        <v>66</v>
      </c>
      <c r="K45" t="s">
        <v>25</v>
      </c>
      <c r="L45" s="5">
        <f>AVERAGEIF($H2:$H20, "F",L2:L20)</f>
        <v>-10.396296296296295</v>
      </c>
      <c r="N45" t="s">
        <v>66</v>
      </c>
      <c r="O45" t="s">
        <v>25</v>
      </c>
      <c r="P45" s="5">
        <f>AVERAGEIF($H2:$H20, "F",P2:P20)</f>
        <v>3.9370370370370376</v>
      </c>
      <c r="R45" t="s">
        <v>66</v>
      </c>
      <c r="S45" t="s">
        <v>25</v>
      </c>
      <c r="T45" s="10">
        <f>AVERAGEIF($H2:$H20, "F",T2:T20)</f>
        <v>-7.7740740740740728</v>
      </c>
      <c r="V45" t="s">
        <v>66</v>
      </c>
      <c r="W45" t="s">
        <v>25</v>
      </c>
      <c r="X45" s="10">
        <f>AVERAGEIF($H2:$H20, "F",X2:X20)</f>
        <v>-4.7518518518518524</v>
      </c>
    </row>
    <row r="46" spans="1:26" ht="18.75" customHeight="1">
      <c r="L46" s="8"/>
      <c r="P46" s="8"/>
      <c r="T46" s="9"/>
      <c r="X46" s="9"/>
    </row>
    <row r="47" spans="1:26" ht="18.75" customHeight="1">
      <c r="J47" t="s">
        <v>67</v>
      </c>
      <c r="K47" t="s">
        <v>27</v>
      </c>
      <c r="L47" s="5">
        <f>AVERAGEIF($H21:$H39, "M",L21:L39)</f>
        <v>-4.7111111111111112</v>
      </c>
      <c r="N47" t="s">
        <v>67</v>
      </c>
      <c r="O47" t="s">
        <v>27</v>
      </c>
      <c r="P47" s="5">
        <f>AVERAGEIF($H21:$H39, "M",P21:P39)</f>
        <v>8.3555555555555561</v>
      </c>
      <c r="R47" t="s">
        <v>67</v>
      </c>
      <c r="S47" t="s">
        <v>27</v>
      </c>
      <c r="T47" s="10">
        <f>AVERAGEIF($H21:$H39, "M",T21:T39)</f>
        <v>-4.511111111111112</v>
      </c>
      <c r="V47" t="s">
        <v>67</v>
      </c>
      <c r="W47" t="s">
        <v>27</v>
      </c>
      <c r="X47" s="10">
        <f>AVERAGEIF($H21:$H39, "M",X21:X39)</f>
        <v>-4.151851851851851</v>
      </c>
    </row>
    <row r="48" spans="1:26" ht="18.75" customHeight="1">
      <c r="J48" t="s">
        <v>67</v>
      </c>
      <c r="K48" t="s">
        <v>25</v>
      </c>
      <c r="L48" s="5">
        <f>AVERAGEIF($H21:$H39, "F",L21:L39)</f>
        <v>-9.2759999999999998</v>
      </c>
      <c r="N48" t="s">
        <v>67</v>
      </c>
      <c r="O48" t="s">
        <v>25</v>
      </c>
      <c r="P48" s="5">
        <f>AVERAGEIF($H21:$H39, "F",P21:P39)</f>
        <v>5.3166666666666673</v>
      </c>
      <c r="R48" t="s">
        <v>67</v>
      </c>
      <c r="S48" t="s">
        <v>25</v>
      </c>
      <c r="T48" s="10">
        <f>AVERAGEIF($H21:$H39, "F",T21:T39)</f>
        <v>-7.1393333333333331</v>
      </c>
      <c r="V48" t="s">
        <v>67</v>
      </c>
      <c r="W48" t="s">
        <v>25</v>
      </c>
      <c r="X48" s="10">
        <f>AVERAGEIF($H21:$H39, "F",X21:X39)</f>
        <v>-5.0566666666666666</v>
      </c>
    </row>
    <row r="49" spans="12:24" ht="18.75" customHeight="1">
      <c r="L49" s="8"/>
      <c r="P49" s="8"/>
      <c r="T49" s="9"/>
      <c r="X49" s="9"/>
    </row>
    <row r="50" spans="12:24" ht="18.75" customHeight="1">
      <c r="L50" s="8"/>
      <c r="P50" s="8"/>
      <c r="T50" s="9"/>
      <c r="X50" s="9"/>
    </row>
    <row r="51" spans="12:24" ht="18.75" customHeight="1">
      <c r="L51" s="8"/>
      <c r="P51" s="8"/>
      <c r="T51" s="9"/>
      <c r="X51" s="9"/>
    </row>
    <row r="52" spans="12:24" ht="18.75" customHeight="1">
      <c r="L52" s="8"/>
      <c r="P52" s="8"/>
      <c r="T52" s="9"/>
      <c r="X52" s="9"/>
    </row>
    <row r="53" spans="12:24" ht="18.75" customHeight="1">
      <c r="L53" s="8"/>
      <c r="P53" s="8"/>
      <c r="T53" s="9"/>
      <c r="X53" s="9"/>
    </row>
    <row r="54" spans="12:24" ht="18.75" customHeight="1">
      <c r="L54" s="8"/>
      <c r="P54" s="8"/>
      <c r="T54" s="9"/>
      <c r="X54" s="9"/>
    </row>
    <row r="55" spans="12:24" ht="18.75" customHeight="1">
      <c r="L55" s="8"/>
      <c r="P55" s="8"/>
      <c r="T55" s="9"/>
      <c r="X55" s="9"/>
    </row>
    <row r="56" spans="12:24" ht="18.75" customHeight="1">
      <c r="L56" s="8"/>
      <c r="P56" s="8"/>
      <c r="T56" s="9"/>
      <c r="X56" s="9"/>
    </row>
    <row r="57" spans="12:24" ht="18.75" customHeight="1">
      <c r="L57" s="8"/>
      <c r="P57" s="8"/>
      <c r="T57" s="9"/>
      <c r="X57" s="9"/>
    </row>
    <row r="58" spans="12:24" ht="18.75" customHeight="1">
      <c r="L58" s="8"/>
      <c r="P58" s="8"/>
      <c r="T58" s="9"/>
      <c r="X58" s="9"/>
    </row>
    <row r="59" spans="12:24" ht="18.75" customHeight="1">
      <c r="L59" s="8"/>
      <c r="P59" s="8"/>
      <c r="T59" s="9"/>
      <c r="X59" s="9"/>
    </row>
    <row r="60" spans="12:24" ht="18.75" customHeight="1">
      <c r="L60" s="8"/>
      <c r="P60" s="8"/>
      <c r="T60" s="9"/>
      <c r="X60" s="9"/>
    </row>
    <row r="61" spans="12:24" ht="18.75" customHeight="1">
      <c r="L61" s="8"/>
      <c r="P61" s="8"/>
      <c r="T61" s="9"/>
      <c r="X61" s="9"/>
    </row>
    <row r="62" spans="12:24" ht="18.75" customHeight="1">
      <c r="L62" s="8"/>
      <c r="P62" s="8"/>
      <c r="T62" s="9"/>
      <c r="X62" s="9"/>
    </row>
    <row r="63" spans="12:24" ht="18.75" customHeight="1">
      <c r="L63" s="8"/>
      <c r="P63" s="8"/>
      <c r="T63" s="9"/>
      <c r="X63" s="9"/>
    </row>
    <row r="64" spans="12:24" ht="18.75" customHeight="1">
      <c r="L64" s="8"/>
      <c r="P64" s="8"/>
      <c r="T64" s="9"/>
      <c r="X64" s="9"/>
    </row>
    <row r="65" spans="12:24" ht="18.75" customHeight="1">
      <c r="L65" s="8"/>
      <c r="P65" s="8"/>
      <c r="T65" s="9"/>
      <c r="X65" s="9"/>
    </row>
    <row r="66" spans="12:24" ht="18.75" customHeight="1">
      <c r="L66" s="8"/>
      <c r="P66" s="8"/>
      <c r="T66" s="9"/>
      <c r="X66" s="9"/>
    </row>
    <row r="67" spans="12:24" ht="18.75" customHeight="1">
      <c r="L67" s="8"/>
      <c r="P67" s="8"/>
      <c r="T67" s="9"/>
      <c r="X67" s="9"/>
    </row>
    <row r="68" spans="12:24" ht="18.75" customHeight="1">
      <c r="L68" s="8"/>
      <c r="P68" s="8"/>
      <c r="T68" s="9"/>
      <c r="X68" s="9"/>
    </row>
    <row r="69" spans="12:24" ht="18.75" customHeight="1">
      <c r="L69" s="8"/>
      <c r="P69" s="8"/>
      <c r="T69" s="9"/>
      <c r="X69" s="9"/>
    </row>
    <row r="70" spans="12:24" ht="18.75" customHeight="1">
      <c r="L70" s="8"/>
      <c r="P70" s="8"/>
      <c r="T70" s="9"/>
      <c r="X70" s="9"/>
    </row>
    <row r="71" spans="12:24" ht="18.75" customHeight="1">
      <c r="L71" s="8"/>
      <c r="P71" s="8"/>
      <c r="T71" s="9"/>
      <c r="X71" s="9"/>
    </row>
    <row r="72" spans="12:24" ht="18.75" customHeight="1">
      <c r="L72" s="8"/>
      <c r="P72" s="8"/>
      <c r="T72" s="9"/>
      <c r="X72" s="9"/>
    </row>
    <row r="73" spans="12:24" ht="18.75" customHeight="1">
      <c r="L73" s="8"/>
      <c r="P73" s="8"/>
      <c r="T73" s="9"/>
      <c r="X73" s="9"/>
    </row>
    <row r="74" spans="12:24" ht="18.75" customHeight="1">
      <c r="L74" s="8"/>
      <c r="P74" s="8"/>
      <c r="T74" s="9"/>
      <c r="X74" s="9"/>
    </row>
    <row r="75" spans="12:24" ht="18.75" customHeight="1">
      <c r="L75" s="8"/>
      <c r="P75" s="8"/>
      <c r="T75" s="9"/>
      <c r="X75" s="9"/>
    </row>
    <row r="76" spans="12:24" ht="18.75" customHeight="1">
      <c r="L76" s="8"/>
      <c r="P76" s="8"/>
      <c r="T76" s="9"/>
      <c r="X76" s="9"/>
    </row>
    <row r="77" spans="12:24" ht="18.75" customHeight="1">
      <c r="L77" s="8"/>
      <c r="P77" s="8"/>
      <c r="T77" s="9"/>
      <c r="X77" s="9"/>
    </row>
    <row r="78" spans="12:24" ht="18.75" customHeight="1">
      <c r="L78" s="8"/>
      <c r="P78" s="8"/>
      <c r="T78" s="9"/>
      <c r="X78" s="9"/>
    </row>
    <row r="79" spans="12:24" ht="18.75" customHeight="1">
      <c r="L79" s="8"/>
      <c r="P79" s="8"/>
      <c r="T79" s="9"/>
      <c r="X79" s="9"/>
    </row>
    <row r="80" spans="12:24" ht="18.75" customHeight="1">
      <c r="L80" s="8"/>
      <c r="P80" s="8"/>
      <c r="T80" s="9"/>
      <c r="X80" s="9"/>
    </row>
    <row r="81" spans="12:24" ht="18.75" customHeight="1">
      <c r="L81" s="8"/>
      <c r="P81" s="8"/>
      <c r="T81" s="9"/>
      <c r="X81" s="9"/>
    </row>
    <row r="82" spans="12:24" ht="18.75" customHeight="1">
      <c r="L82" s="8"/>
      <c r="P82" s="8"/>
      <c r="T82" s="9"/>
      <c r="X82" s="9"/>
    </row>
    <row r="83" spans="12:24" ht="18.75" customHeight="1">
      <c r="L83" s="8"/>
      <c r="P83" s="8"/>
      <c r="T83" s="9"/>
      <c r="X83" s="9"/>
    </row>
    <row r="84" spans="12:24" ht="18.75" customHeight="1">
      <c r="L84" s="8"/>
      <c r="P84" s="8"/>
      <c r="T84" s="9"/>
      <c r="X84" s="9"/>
    </row>
    <row r="85" spans="12:24" ht="18.75" customHeight="1">
      <c r="L85" s="8"/>
      <c r="P85" s="8"/>
      <c r="T85" s="9"/>
      <c r="X85" s="9"/>
    </row>
    <row r="86" spans="12:24" ht="18.75" customHeight="1">
      <c r="L86" s="8"/>
      <c r="P86" s="8"/>
      <c r="T86" s="9"/>
      <c r="X86" s="9"/>
    </row>
    <row r="87" spans="12:24" ht="18.75" customHeight="1">
      <c r="L87" s="8"/>
      <c r="P87" s="8"/>
      <c r="T87" s="9"/>
      <c r="X87" s="9"/>
    </row>
    <row r="88" spans="12:24" ht="18.75" customHeight="1">
      <c r="L88" s="8"/>
      <c r="P88" s="8"/>
      <c r="T88" s="9"/>
      <c r="X88" s="9"/>
    </row>
    <row r="89" spans="12:24" ht="18.75" customHeight="1">
      <c r="L89" s="8"/>
      <c r="P89" s="8"/>
      <c r="T89" s="9"/>
      <c r="X89" s="9"/>
    </row>
    <row r="90" spans="12:24" ht="18.75" customHeight="1">
      <c r="L90" s="8"/>
      <c r="P90" s="8"/>
      <c r="T90" s="9"/>
      <c r="X90" s="9"/>
    </row>
    <row r="91" spans="12:24" ht="18.75" customHeight="1">
      <c r="L91" s="8"/>
      <c r="P91" s="8"/>
      <c r="T91" s="9"/>
      <c r="X91" s="9"/>
    </row>
    <row r="92" spans="12:24" ht="18.75" customHeight="1">
      <c r="L92" s="8"/>
      <c r="P92" s="8"/>
      <c r="T92" s="9"/>
      <c r="X92" s="9"/>
    </row>
    <row r="93" spans="12:24" ht="18.75" customHeight="1">
      <c r="L93" s="8"/>
      <c r="P93" s="8"/>
      <c r="T93" s="9"/>
      <c r="X93" s="9"/>
    </row>
    <row r="94" spans="12:24" ht="18.75" customHeight="1">
      <c r="L94" s="8"/>
      <c r="P94" s="8"/>
      <c r="T94" s="9"/>
      <c r="X94" s="9"/>
    </row>
    <row r="95" spans="12:24" ht="18.75" customHeight="1">
      <c r="L95" s="8"/>
      <c r="P95" s="8"/>
      <c r="T95" s="9"/>
      <c r="X95" s="9"/>
    </row>
    <row r="96" spans="12:24" ht="18.75" customHeight="1">
      <c r="L96" s="8"/>
      <c r="P96" s="8"/>
      <c r="T96" s="9"/>
      <c r="X96" s="9"/>
    </row>
    <row r="97" spans="12:24" ht="18.75" customHeight="1">
      <c r="L97" s="8"/>
      <c r="P97" s="8"/>
      <c r="T97" s="9"/>
      <c r="X97" s="9"/>
    </row>
    <row r="98" spans="12:24" ht="18.75" customHeight="1">
      <c r="L98" s="8"/>
      <c r="P98" s="8"/>
      <c r="T98" s="9"/>
      <c r="X98" s="9"/>
    </row>
    <row r="99" spans="12:24" ht="18.75" customHeight="1">
      <c r="L99" s="8"/>
      <c r="P99" s="8"/>
      <c r="T99" s="9"/>
      <c r="X99" s="9"/>
    </row>
    <row r="100" spans="12:24" ht="18.75" customHeight="1">
      <c r="L100" s="8"/>
      <c r="P100" s="8"/>
      <c r="T100" s="9"/>
      <c r="X100" s="9"/>
    </row>
  </sheetData>
  <autoFilter ref="L2:L42" xr:uid="{00000000-0001-0000-0000-000000000000}">
    <sortState xmlns:xlrd2="http://schemas.microsoft.com/office/spreadsheetml/2017/richdata2" ref="L3:L39">
      <sortCondition ref="L2:L39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34F-0CB8-4B90-ABA7-A15F63AB2284}">
  <sheetPr>
    <tabColor rgb="FF66FF66"/>
    <pageSetUpPr fitToPage="1"/>
  </sheetPr>
  <dimension ref="A1:M42"/>
  <sheetViews>
    <sheetView zoomScale="47" zoomScaleNormal="47" workbookViewId="0">
      <selection sqref="A1:XFD1048576"/>
    </sheetView>
  </sheetViews>
  <sheetFormatPr defaultRowHeight="15"/>
  <cols>
    <col min="1" max="2" width="6.28515625" bestFit="1" customWidth="1"/>
    <col min="3" max="3" width="6" bestFit="1" customWidth="1"/>
    <col min="4" max="4" width="18.7109375" bestFit="1" customWidth="1"/>
    <col min="5" max="5" width="9.140625" style="13"/>
    <col min="13" max="13" width="4.85546875" customWidth="1"/>
  </cols>
  <sheetData>
    <row r="1" spans="1:12" ht="30">
      <c r="A1" t="s">
        <v>68</v>
      </c>
      <c r="B1" t="s">
        <v>70</v>
      </c>
      <c r="D1" t="s">
        <v>71</v>
      </c>
      <c r="E1" s="12" t="str">
        <f>IF(E2&gt;E5,"Non-Normal at 0.01",IF(E2&gt;E4,"Non-Normal at 0.05","Data is Normal"))</f>
        <v>Data is Normal</v>
      </c>
      <c r="K1" t="s">
        <v>98</v>
      </c>
    </row>
    <row r="2" spans="1:12">
      <c r="A2" s="11">
        <v>-4.4666666666666677</v>
      </c>
      <c r="B2" s="11">
        <f>_xlfn.RANK.EQ(C2,$C:$C,1)+COUNTIF($C$2:C2,C2)-1</f>
        <v>6</v>
      </c>
      <c r="C2" s="11">
        <f t="shared" ref="C2:C39" si="0">A2</f>
        <v>-4.4666666666666677</v>
      </c>
      <c r="D2" t="s">
        <v>72</v>
      </c>
      <c r="E2" s="13">
        <f>ABS(E12-ABS(SUM(I:I)))</f>
        <v>0.53503269090337824</v>
      </c>
      <c r="F2">
        <f t="shared" ref="F2:F39" si="1">_xlfn.NORM.S.INV((G2-0.5)/E$12)</f>
        <v>-2.2215195883378365</v>
      </c>
      <c r="G2">
        <f t="shared" ref="G2:G39" si="2">ROW(G2)-1</f>
        <v>1</v>
      </c>
      <c r="H2">
        <f t="shared" ref="H2:H39" si="3">VLOOKUP(G2,$B:$C,2,FALSE)</f>
        <v>-11.533333333333333</v>
      </c>
      <c r="I2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-0.18265821343168642</v>
      </c>
      <c r="K2">
        <f>E2*(1+0.75/E12+2.25/E12^2)</f>
        <v>0.54642621946659065</v>
      </c>
    </row>
    <row r="3" spans="1:12">
      <c r="A3" s="11">
        <v>7.0999999999999988</v>
      </c>
      <c r="B3" s="11">
        <f>_xlfn.RANK.EQ(C3,$C:$C,1)+COUNTIF($C$2:C3,C3)-1</f>
        <v>19</v>
      </c>
      <c r="C3" s="11">
        <f t="shared" si="0"/>
        <v>7.0999999999999988</v>
      </c>
      <c r="D3" s="19" t="s">
        <v>97</v>
      </c>
      <c r="E3" s="13">
        <f>IF(K2&lt;0.2,K6,IF(K2&lt;0.34,K5,IF(K2&lt;0.6,K4,IF(K2&lt;13,K3,0))))</f>
        <v>0.16001296760841352</v>
      </c>
      <c r="F3">
        <f t="shared" si="1"/>
        <v>-1.7568266072519048</v>
      </c>
      <c r="G3">
        <f t="shared" si="2"/>
        <v>2</v>
      </c>
      <c r="H3">
        <f t="shared" si="3"/>
        <v>-5.5333333333333341</v>
      </c>
      <c r="I3">
        <f t="shared" si="4"/>
        <v>-0.42216364116561911</v>
      </c>
      <c r="K3">
        <f>EXP(1.2937-5.709*K2+0.0186*K2^2)</f>
        <v>0.16197817599144018</v>
      </c>
    </row>
    <row r="4" spans="1:12">
      <c r="A4" s="11">
        <v>13.633333333333333</v>
      </c>
      <c r="B4" s="11">
        <f>_xlfn.RANK.EQ(C4,$C:$C,1)+COUNTIF($C$2:C4,C4)-1</f>
        <v>31</v>
      </c>
      <c r="C4" s="11">
        <f t="shared" si="0"/>
        <v>13.633333333333333</v>
      </c>
      <c r="D4" t="s">
        <v>73</v>
      </c>
      <c r="E4" s="13">
        <v>0.78700000000000003</v>
      </c>
      <c r="F4">
        <f t="shared" si="1"/>
        <v>-1.5079045914405589</v>
      </c>
      <c r="G4">
        <f t="shared" si="2"/>
        <v>3</v>
      </c>
      <c r="H4">
        <f t="shared" si="3"/>
        <v>-4.9666666666666659</v>
      </c>
      <c r="I4">
        <f t="shared" si="4"/>
        <v>-0.65938728127272306</v>
      </c>
      <c r="K4">
        <f>EXP(0.9177-4.279*K2-1.38*K2^2)</f>
        <v>0.16001296760841352</v>
      </c>
    </row>
    <row r="5" spans="1:12">
      <c r="A5" s="11">
        <v>15.933333333333335</v>
      </c>
      <c r="B5" s="11">
        <f>_xlfn.RANK.EQ(C5,$C:$C,1)+COUNTIF($C$2:C5,C5)-1</f>
        <v>33</v>
      </c>
      <c r="C5" s="11">
        <f t="shared" si="0"/>
        <v>15.933333333333335</v>
      </c>
      <c r="D5" t="s">
        <v>74</v>
      </c>
      <c r="E5" s="13">
        <v>1.0920000000000001</v>
      </c>
      <c r="F5">
        <f t="shared" si="1"/>
        <v>-1.3279018717558333</v>
      </c>
      <c r="G5">
        <f t="shared" si="2"/>
        <v>4</v>
      </c>
      <c r="H5">
        <f t="shared" si="3"/>
        <v>-4.7</v>
      </c>
      <c r="I5">
        <f t="shared" si="4"/>
        <v>-0.9032290741922806</v>
      </c>
      <c r="K5">
        <f>1-EXP(-8.318+42.796*K2-59.938*K2^2)</f>
        <v>0.94095930050322241</v>
      </c>
    </row>
    <row r="6" spans="1:12">
      <c r="A6" s="11">
        <v>18.366666666666667</v>
      </c>
      <c r="B6" s="11">
        <f>_xlfn.RANK.EQ(C6,$C:$C,1)+COUNTIF($C$2:C6,C6)-1</f>
        <v>34</v>
      </c>
      <c r="C6" s="11">
        <f t="shared" si="0"/>
        <v>18.366666666666667</v>
      </c>
      <c r="D6" t="s">
        <v>75</v>
      </c>
      <c r="E6" s="13">
        <f>AVERAGE($A:$A)</f>
        <v>6.3833333333333337</v>
      </c>
      <c r="F6">
        <f t="shared" si="1"/>
        <v>-1.1829168441908862</v>
      </c>
      <c r="G6">
        <f t="shared" si="2"/>
        <v>5</v>
      </c>
      <c r="H6">
        <f t="shared" si="3"/>
        <v>-4.6333333333333329</v>
      </c>
      <c r="I6">
        <f t="shared" si="4"/>
        <v>-1.1545138239809567</v>
      </c>
      <c r="J6">
        <f>AVERAGE(H:H)</f>
        <v>6.3833333333333329</v>
      </c>
      <c r="K6">
        <f>1-EXP(-13.436+101.14*K2-223.73*K2^2)</f>
        <v>0.99999999998571931</v>
      </c>
    </row>
    <row r="7" spans="1:12">
      <c r="A7" s="11">
        <v>5.666666666666667</v>
      </c>
      <c r="B7" s="11">
        <f>_xlfn.RANK.EQ(C7,$C:$C,1)+COUNTIF($C$2:C7,C7)-1</f>
        <v>18</v>
      </c>
      <c r="C7" s="11">
        <f t="shared" si="0"/>
        <v>5.666666666666667</v>
      </c>
      <c r="D7" t="s">
        <v>76</v>
      </c>
      <c r="E7" s="13">
        <f ca="1">_xlfn.MODE.SNGL(OFFSET($A$2,0,0,COUNT($A:$A),1))</f>
        <v>12</v>
      </c>
      <c r="F7">
        <f t="shared" si="1"/>
        <v>-1.0592769170824312</v>
      </c>
      <c r="G7">
        <f t="shared" si="2"/>
        <v>6</v>
      </c>
      <c r="H7">
        <f t="shared" si="3"/>
        <v>-4.4666666666666677</v>
      </c>
      <c r="I7">
        <f t="shared" si="4"/>
        <v>-1.2560515241372547</v>
      </c>
    </row>
    <row r="8" spans="1:12">
      <c r="A8" s="11">
        <v>-2.4666666666666668</v>
      </c>
      <c r="B8" s="11">
        <f>_xlfn.RANK.EQ(C8,$C:$C,1)+COUNTIF($C$2:C8,C8)-1</f>
        <v>9</v>
      </c>
      <c r="C8" s="11">
        <f t="shared" si="0"/>
        <v>-2.4666666666666668</v>
      </c>
      <c r="D8" t="s">
        <v>77</v>
      </c>
      <c r="E8" s="13">
        <f>_xlfn.STDEV.S($A:$A)</f>
        <v>8.4794637982779477</v>
      </c>
      <c r="F8">
        <f t="shared" si="1"/>
        <v>-0.95001375566931956</v>
      </c>
      <c r="G8">
        <f t="shared" si="2"/>
        <v>7</v>
      </c>
      <c r="H8">
        <f t="shared" si="3"/>
        <v>-4.3</v>
      </c>
      <c r="I8">
        <f t="shared" si="4"/>
        <v>-1.3356304549242202</v>
      </c>
      <c r="J8">
        <f>_xlfn.STDEV.S(H:H)</f>
        <v>8.4794637982779477</v>
      </c>
    </row>
    <row r="9" spans="1:12">
      <c r="A9" s="11">
        <v>4.9666666666666659</v>
      </c>
      <c r="B9" s="11">
        <f>_xlfn.RANK.EQ(C9,$C:$C,1)+COUNTIF($C$2:C9,C9)-1</f>
        <v>17</v>
      </c>
      <c r="C9" s="11">
        <f t="shared" si="0"/>
        <v>4.9666666666666659</v>
      </c>
      <c r="D9" t="s">
        <v>78</v>
      </c>
      <c r="E9" s="13">
        <f>_xlfn.VAR.S($A:$A)</f>
        <v>71.901306306306282</v>
      </c>
      <c r="F9">
        <f t="shared" si="1"/>
        <v>-0.85105852683856875</v>
      </c>
      <c r="G9">
        <f t="shared" si="2"/>
        <v>8</v>
      </c>
      <c r="H9">
        <f t="shared" si="3"/>
        <v>-4.0333333333333332</v>
      </c>
      <c r="I9">
        <f t="shared" si="4"/>
        <v>-1.5153241037379042</v>
      </c>
    </row>
    <row r="10" spans="1:12">
      <c r="A10" s="11">
        <v>-4.9666666666666659</v>
      </c>
      <c r="B10" s="11">
        <f>_xlfn.RANK.EQ(C10,$C:$C,1)+COUNTIF($C$2:C10,C10)-1</f>
        <v>3</v>
      </c>
      <c r="C10" s="11">
        <f t="shared" si="0"/>
        <v>-4.9666666666666659</v>
      </c>
      <c r="D10" t="s">
        <v>79</v>
      </c>
      <c r="E10" s="13">
        <f>SKEW($A:$A)</f>
        <v>-0.16609716047605122</v>
      </c>
      <c r="F10">
        <f t="shared" si="1"/>
        <v>-0.75980957100991864</v>
      </c>
      <c r="G10">
        <f t="shared" si="2"/>
        <v>9</v>
      </c>
      <c r="H10">
        <f t="shared" si="3"/>
        <v>-2.4666666666666668</v>
      </c>
      <c r="I10">
        <f t="shared" si="4"/>
        <v>-1.5625299781619684</v>
      </c>
    </row>
    <row r="11" spans="1:12">
      <c r="A11" s="11">
        <v>-5.5333333333333341</v>
      </c>
      <c r="B11" s="11">
        <f>_xlfn.RANK.EQ(C11,$C:$C,1)+COUNTIF($C$2:C11,C11)-1</f>
        <v>2</v>
      </c>
      <c r="C11" s="11">
        <f t="shared" si="0"/>
        <v>-5.5333333333333341</v>
      </c>
      <c r="D11" t="s">
        <v>80</v>
      </c>
      <c r="E11" s="13">
        <f>KURT($A:$A)</f>
        <v>-0.96823677792708729</v>
      </c>
      <c r="F11">
        <f t="shared" si="1"/>
        <v>-0.67448975019608193</v>
      </c>
      <c r="G11">
        <f t="shared" si="2"/>
        <v>10</v>
      </c>
      <c r="H11">
        <f t="shared" si="3"/>
        <v>-2.1333333333333333</v>
      </c>
      <c r="I11">
        <f t="shared" si="4"/>
        <v>-1.6997668665063845</v>
      </c>
      <c r="J11">
        <f>COUNT($A:$A)</f>
        <v>38</v>
      </c>
    </row>
    <row r="12" spans="1:12">
      <c r="A12" s="11">
        <v>12.299999999999999</v>
      </c>
      <c r="B12" s="11">
        <f>_xlfn.RANK.EQ(C12,$C:$C,1)+COUNTIF($C$2:C12,C12)-1</f>
        <v>27</v>
      </c>
      <c r="C12" s="11">
        <f t="shared" si="0"/>
        <v>12.299999999999999</v>
      </c>
      <c r="D12" t="s">
        <v>81</v>
      </c>
      <c r="E12" s="13">
        <f>COUNT($A:$A)</f>
        <v>38</v>
      </c>
      <c r="F12">
        <f t="shared" si="1"/>
        <v>-0.59382139299351966</v>
      </c>
      <c r="G12">
        <f t="shared" si="2"/>
        <v>11</v>
      </c>
      <c r="H12">
        <f t="shared" si="3"/>
        <v>1.8333333333333333</v>
      </c>
      <c r="I12">
        <f t="shared" si="4"/>
        <v>-1.5160020475736335</v>
      </c>
      <c r="K12" t="e">
        <f>NA()</f>
        <v>#N/A</v>
      </c>
    </row>
    <row r="13" spans="1:12">
      <c r="A13" s="11">
        <v>8.5666666666666682</v>
      </c>
      <c r="B13" s="11">
        <f>_xlfn.RANK.EQ(C13,$C:$C,1)+COUNTIF($C$2:C13,C13)-1</f>
        <v>23</v>
      </c>
      <c r="C13" s="11">
        <f t="shared" si="0"/>
        <v>8.5666666666666682</v>
      </c>
      <c r="D13" t="s">
        <v>82</v>
      </c>
      <c r="E13" s="13">
        <f>E8/SQRT(E12)</f>
        <v>1.3755506677835023</v>
      </c>
      <c r="F13">
        <f t="shared" si="1"/>
        <v>-0.51684672765260964</v>
      </c>
      <c r="G13">
        <f t="shared" si="2"/>
        <v>12</v>
      </c>
      <c r="H13">
        <f t="shared" si="3"/>
        <v>2.2333333333333334</v>
      </c>
      <c r="I13">
        <f t="shared" si="4"/>
        <v>-1.5615559069254932</v>
      </c>
      <c r="J13">
        <v>1</v>
      </c>
      <c r="K13" t="e">
        <f>IF(E15-E14&gt;1.5*(E17-E15),E14,NA())</f>
        <v>#N/A</v>
      </c>
      <c r="L13">
        <v>1</v>
      </c>
    </row>
    <row r="14" spans="1:12">
      <c r="A14" s="11">
        <v>18.433333333333334</v>
      </c>
      <c r="B14" s="11">
        <f>_xlfn.RANK.EQ(C14,$C:$C,1)+COUNTIF($C$2:C14,C14)-1</f>
        <v>35</v>
      </c>
      <c r="C14" s="11">
        <f t="shared" si="0"/>
        <v>18.433333333333334</v>
      </c>
      <c r="D14" t="s">
        <v>83</v>
      </c>
      <c r="E14" s="13">
        <f>MIN($A:$A)</f>
        <v>-11.533333333333333</v>
      </c>
      <c r="F14">
        <f t="shared" si="1"/>
        <v>-0.44282165759651121</v>
      </c>
      <c r="G14">
        <f t="shared" si="2"/>
        <v>13</v>
      </c>
      <c r="H14">
        <f t="shared" si="3"/>
        <v>2.5333333333333332</v>
      </c>
      <c r="I14">
        <f t="shared" si="4"/>
        <v>-1.6415781156245881</v>
      </c>
      <c r="K14" s="13">
        <f>MIN(E15-E14,(E17-E15))</f>
        <v>10.391666666666666</v>
      </c>
    </row>
    <row r="15" spans="1:12">
      <c r="A15" s="11">
        <v>4.333333333333333</v>
      </c>
      <c r="B15" s="11">
        <f>_xlfn.RANK.EQ(C15,$C:$C,1)+COUNTIF($C$2:C15,C15)-1</f>
        <v>16</v>
      </c>
      <c r="C15" s="11">
        <f t="shared" si="0"/>
        <v>4.333333333333333</v>
      </c>
      <c r="D15" t="s">
        <v>84</v>
      </c>
      <c r="E15" s="13">
        <f>_xlfn.QUARTILE.INC($A:$A,1)</f>
        <v>-1.1416666666666666</v>
      </c>
      <c r="F15">
        <f t="shared" si="1"/>
        <v>-0.37114932320228394</v>
      </c>
      <c r="G15">
        <f t="shared" si="2"/>
        <v>14</v>
      </c>
      <c r="H15">
        <f t="shared" si="3"/>
        <v>2.7666666666666671</v>
      </c>
      <c r="I15">
        <f t="shared" si="4"/>
        <v>-1.7514424604933474</v>
      </c>
      <c r="K15">
        <v>-1.1416666666666666</v>
      </c>
    </row>
    <row r="16" spans="1:12">
      <c r="A16" s="11">
        <v>8.4</v>
      </c>
      <c r="B16" s="11">
        <f>_xlfn.RANK.EQ(C16,$C:$C,1)+COUNTIF($C$2:C16,C16)-1</f>
        <v>22</v>
      </c>
      <c r="C16" s="11">
        <f t="shared" si="0"/>
        <v>8.4</v>
      </c>
      <c r="D16" t="s">
        <v>85</v>
      </c>
      <c r="E16" s="13">
        <f>MEDIAN($A:$A)</f>
        <v>7.1499999999999995</v>
      </c>
      <c r="F16">
        <f t="shared" si="1"/>
        <v>-0.30133652085957613</v>
      </c>
      <c r="G16">
        <f t="shared" si="2"/>
        <v>15</v>
      </c>
      <c r="H16">
        <f t="shared" si="3"/>
        <v>3.8333333333333335</v>
      </c>
      <c r="I16">
        <f t="shared" si="4"/>
        <v>-1.5311560217455586</v>
      </c>
      <c r="K16">
        <v>8.2916666666666661</v>
      </c>
    </row>
    <row r="17" spans="1:12">
      <c r="A17" s="11">
        <v>-4.3</v>
      </c>
      <c r="B17" s="11">
        <f>_xlfn.RANK.EQ(C17,$C:$C,1)+COUNTIF($C$2:C17,C17)-1</f>
        <v>7</v>
      </c>
      <c r="C17" s="11">
        <f t="shared" si="0"/>
        <v>-4.3</v>
      </c>
      <c r="D17" t="s">
        <v>86</v>
      </c>
      <c r="E17" s="13">
        <f>_xlfn.QUARTILE.INC($A:$A,3)</f>
        <v>13.125</v>
      </c>
      <c r="F17">
        <f t="shared" si="1"/>
        <v>-0.23296385427137245</v>
      </c>
      <c r="G17">
        <f t="shared" si="2"/>
        <v>16</v>
      </c>
      <c r="H17">
        <f t="shared" si="3"/>
        <v>4.333333333333333</v>
      </c>
      <c r="I17">
        <f t="shared" si="4"/>
        <v>-1.4891739446706769</v>
      </c>
      <c r="K17">
        <v>5.9750000000000005</v>
      </c>
    </row>
    <row r="18" spans="1:12">
      <c r="A18" s="11">
        <v>7.2</v>
      </c>
      <c r="B18" s="11">
        <f>_xlfn.RANK.EQ(C18,$C:$C,1)+COUNTIF($C$2:C18,C18)-1</f>
        <v>20</v>
      </c>
      <c r="C18" s="11">
        <f t="shared" si="0"/>
        <v>7.2</v>
      </c>
      <c r="D18" t="s">
        <v>87</v>
      </c>
      <c r="E18" s="13">
        <f>MAX($A:$A)</f>
        <v>19.866666666666667</v>
      </c>
      <c r="F18">
        <f t="shared" si="1"/>
        <v>-0.1656644138685531</v>
      </c>
      <c r="G18">
        <f t="shared" si="2"/>
        <v>17</v>
      </c>
      <c r="H18">
        <f t="shared" si="3"/>
        <v>4.9666666666666659</v>
      </c>
      <c r="I18">
        <f t="shared" si="4"/>
        <v>-1.5083485785015005</v>
      </c>
      <c r="K18" s="13">
        <f>MIN(E18-E17,(E17-E15))</f>
        <v>6.7416666666666671</v>
      </c>
    </row>
    <row r="19" spans="1:12">
      <c r="A19" s="11">
        <v>8.2666666666666675</v>
      </c>
      <c r="B19" s="11">
        <f>_xlfn.RANK.EQ(C19,$C:$C,1)+COUNTIF($C$2:C19,C19)-1</f>
        <v>21</v>
      </c>
      <c r="C19" s="11">
        <f t="shared" si="0"/>
        <v>8.2666666666666675</v>
      </c>
      <c r="D19" t="s">
        <v>88</v>
      </c>
      <c r="E19" s="13">
        <f>E18-E14</f>
        <v>31.4</v>
      </c>
      <c r="F19">
        <f t="shared" si="1"/>
        <v>-9.9107859822899172E-2</v>
      </c>
      <c r="G19">
        <f t="shared" si="2"/>
        <v>18</v>
      </c>
      <c r="H19">
        <f t="shared" si="3"/>
        <v>5.666666666666667</v>
      </c>
      <c r="I19">
        <f t="shared" si="4"/>
        <v>-1.5191185031337942</v>
      </c>
      <c r="J19">
        <v>1</v>
      </c>
      <c r="K19" t="e">
        <f>IF(E18-E17&gt;1.5*(E17-E15),E18,NA())</f>
        <v>#N/A</v>
      </c>
      <c r="L19">
        <v>1</v>
      </c>
    </row>
    <row r="20" spans="1:12">
      <c r="A20" s="11">
        <v>2.7666666666666671</v>
      </c>
      <c r="B20" s="11">
        <f>_xlfn.RANK.EQ(C20,$C:$C,1)+COUNTIF($C$2:C20,C20)-1</f>
        <v>14</v>
      </c>
      <c r="C20" s="11">
        <f t="shared" si="0"/>
        <v>2.7666666666666671</v>
      </c>
      <c r="D20" t="s">
        <v>89</v>
      </c>
      <c r="E20" s="13">
        <f>_xlfn.T.INV.2T((1-D22),E12-1)*E8/SQRT(E12)</f>
        <v>2.7871303955775901</v>
      </c>
      <c r="F20">
        <f t="shared" si="1"/>
        <v>-3.2987932937402764E-2</v>
      </c>
      <c r="G20">
        <f t="shared" si="2"/>
        <v>19</v>
      </c>
      <c r="H20">
        <f t="shared" si="3"/>
        <v>7.0999999999999988</v>
      </c>
      <c r="I20">
        <f t="shared" si="4"/>
        <v>-1.3640733586187415</v>
      </c>
      <c r="K20" t="e">
        <f>NA()</f>
        <v>#N/A</v>
      </c>
    </row>
    <row r="21" spans="1:12">
      <c r="A21" s="11">
        <v>12</v>
      </c>
      <c r="B21" s="11">
        <f>_xlfn.RANK.EQ(C21,$C:$C,1)+COUNTIF($C$2:C21,C21)-1</f>
        <v>25</v>
      </c>
      <c r="C21" s="11">
        <f t="shared" si="0"/>
        <v>12</v>
      </c>
      <c r="D21" t="s">
        <v>90</v>
      </c>
      <c r="E21" s="13">
        <f>E$6-E20</f>
        <v>3.5962029377557436</v>
      </c>
      <c r="F21">
        <f t="shared" si="1"/>
        <v>3.2987932937402903E-2</v>
      </c>
      <c r="G21">
        <f t="shared" si="2"/>
        <v>20</v>
      </c>
      <c r="H21">
        <f t="shared" si="3"/>
        <v>7.2</v>
      </c>
      <c r="I21">
        <f t="shared" si="4"/>
        <v>-1.4184709875421238</v>
      </c>
      <c r="J21" t="str">
        <f>$D$6</f>
        <v>Mean</v>
      </c>
      <c r="K21" s="13">
        <f>$E$6</f>
        <v>6.3833333333333337</v>
      </c>
      <c r="L21">
        <v>2</v>
      </c>
    </row>
    <row r="22" spans="1:12">
      <c r="A22" s="11">
        <v>13.166666666666666</v>
      </c>
      <c r="B22" s="11">
        <f>_xlfn.RANK.EQ(C22,$C:$C,1)+COUNTIF($C$2:C22,C22)-1</f>
        <v>29</v>
      </c>
      <c r="C22" s="11">
        <f t="shared" si="0"/>
        <v>13.166666666666666</v>
      </c>
      <c r="D22">
        <v>0.95</v>
      </c>
      <c r="E22" s="13">
        <f>E$6+E20</f>
        <v>9.1704637289109243</v>
      </c>
      <c r="F22">
        <f t="shared" si="1"/>
        <v>9.9107859822899172E-2</v>
      </c>
      <c r="G22">
        <f t="shared" si="2"/>
        <v>21</v>
      </c>
      <c r="H22">
        <f t="shared" si="3"/>
        <v>8.2666666666666675</v>
      </c>
      <c r="I22">
        <f t="shared" si="4"/>
        <v>-1.2507037327783517</v>
      </c>
      <c r="K22" s="13">
        <f>$E$21</f>
        <v>3.5962029377557436</v>
      </c>
      <c r="L22">
        <v>2</v>
      </c>
    </row>
    <row r="23" spans="1:12">
      <c r="A23" s="11">
        <v>-11.533333333333333</v>
      </c>
      <c r="B23" s="11">
        <f>_xlfn.RANK.EQ(C23,$C:$C,1)+COUNTIF($C$2:C23,C23)-1</f>
        <v>1</v>
      </c>
      <c r="C23" s="11">
        <f t="shared" si="0"/>
        <v>-11.533333333333333</v>
      </c>
      <c r="F23">
        <f t="shared" si="1"/>
        <v>0.1656644138685531</v>
      </c>
      <c r="G23">
        <f t="shared" si="2"/>
        <v>22</v>
      </c>
      <c r="H23">
        <f t="shared" si="3"/>
        <v>8.4</v>
      </c>
      <c r="I23">
        <f t="shared" si="4"/>
        <v>-1.2327909908402146</v>
      </c>
      <c r="K23" s="13">
        <f>$E$22</f>
        <v>9.1704637289109243</v>
      </c>
      <c r="L23">
        <v>2</v>
      </c>
    </row>
    <row r="24" spans="1:12">
      <c r="A24" s="11">
        <v>19.600000000000001</v>
      </c>
      <c r="B24" s="11">
        <f>_xlfn.RANK.EQ(C24,$C:$C,1)+COUNTIF($C$2:C24,C24)-1</f>
        <v>37</v>
      </c>
      <c r="C24" s="11">
        <f t="shared" si="0"/>
        <v>19.600000000000001</v>
      </c>
      <c r="D24" t="s">
        <v>91</v>
      </c>
      <c r="E24" s="13">
        <f>SQRT((E12-1)*E9/_xlfn.CHISQ.INV.RT((1-D22)/2,E12-1))</f>
        <v>6.9129998491952085</v>
      </c>
      <c r="F24">
        <f t="shared" si="1"/>
        <v>0.23296385427137234</v>
      </c>
      <c r="G24">
        <f t="shared" si="2"/>
        <v>23</v>
      </c>
      <c r="H24">
        <f t="shared" si="3"/>
        <v>8.5666666666666682</v>
      </c>
      <c r="I24">
        <f t="shared" si="4"/>
        <v>-1.2155818612903708</v>
      </c>
      <c r="J24" t="str">
        <f>$D$16</f>
        <v>Median</v>
      </c>
      <c r="K24" s="13">
        <f>$E$16</f>
        <v>7.1499999999999995</v>
      </c>
      <c r="L24">
        <v>1</v>
      </c>
    </row>
    <row r="25" spans="1:12">
      <c r="A25" s="11">
        <v>-2.1333333333333333</v>
      </c>
      <c r="B25" s="11">
        <f>_xlfn.RANK.EQ(C25,$C:$C,1)+COUNTIF($C$2:C25,C25)-1</f>
        <v>10</v>
      </c>
      <c r="C25" s="11">
        <f t="shared" si="0"/>
        <v>-2.1333333333333333</v>
      </c>
      <c r="E25" s="13">
        <f>SQRT((E12-1)*E9/_xlfn.CHISQ.INV.RT(1-(1-D22)/2,E12-1))</f>
        <v>10.970283019880364</v>
      </c>
      <c r="F25">
        <f t="shared" si="1"/>
        <v>0.3013365208595763</v>
      </c>
      <c r="G25">
        <f t="shared" si="2"/>
        <v>24</v>
      </c>
      <c r="H25">
        <f t="shared" si="3"/>
        <v>9.6</v>
      </c>
      <c r="I25">
        <f t="shared" si="4"/>
        <v>-1.1319058701574065</v>
      </c>
      <c r="K25" s="13">
        <f>$E$27</f>
        <v>8.5666666666666682</v>
      </c>
      <c r="L25">
        <v>1</v>
      </c>
    </row>
    <row r="26" spans="1:12">
      <c r="A26" s="11">
        <v>13.700000000000001</v>
      </c>
      <c r="B26" s="11">
        <f>_xlfn.RANK.EQ(C26,$C:$C,1)+COUNTIF($C$2:C26,C26)-1</f>
        <v>32</v>
      </c>
      <c r="C26" s="11">
        <f t="shared" si="0"/>
        <v>13.700000000000001</v>
      </c>
      <c r="F26">
        <f t="shared" si="1"/>
        <v>0.37114932320228394</v>
      </c>
      <c r="G26">
        <f t="shared" si="2"/>
        <v>25</v>
      </c>
      <c r="H26">
        <f t="shared" si="3"/>
        <v>12</v>
      </c>
      <c r="I26">
        <f t="shared" si="4"/>
        <v>-0.90341727382554537</v>
      </c>
      <c r="K26" s="13">
        <f>$E$28</f>
        <v>-2.1333333333333333</v>
      </c>
      <c r="L26">
        <v>1</v>
      </c>
    </row>
    <row r="27" spans="1:12">
      <c r="A27" s="11">
        <v>1.8333333333333333</v>
      </c>
      <c r="B27" s="11">
        <f>_xlfn.RANK.EQ(C27,$C:$C,1)+COUNTIF($C$2:C27,C27)-1</f>
        <v>11</v>
      </c>
      <c r="C27" s="11">
        <f t="shared" si="0"/>
        <v>1.8333333333333333</v>
      </c>
      <c r="D27" t="s">
        <v>92</v>
      </c>
      <c r="E27" s="13">
        <f>INDEX($A:$A,_xlfn.BINOM.INV(E12,0.5,(1-D22)/2))</f>
        <v>8.5666666666666682</v>
      </c>
      <c r="F27">
        <f t="shared" si="1"/>
        <v>0.44282165759651121</v>
      </c>
      <c r="G27">
        <f t="shared" si="2"/>
        <v>26</v>
      </c>
      <c r="H27">
        <f t="shared" si="3"/>
        <v>12</v>
      </c>
      <c r="I27">
        <f t="shared" si="4"/>
        <v>-0.92033616501580784</v>
      </c>
      <c r="J27" t="str">
        <f>$D$30</f>
        <v>Normal</v>
      </c>
      <c r="K27" s="13">
        <f>$E$6</f>
        <v>6.3833333333333337</v>
      </c>
      <c r="L27">
        <v>2</v>
      </c>
    </row>
    <row r="28" spans="1:12">
      <c r="A28" s="11">
        <v>19.866666666666667</v>
      </c>
      <c r="B28" s="11">
        <f>_xlfn.RANK.EQ(C28,$C:$C,1)+COUNTIF($C$2:C28,C28)-1</f>
        <v>38</v>
      </c>
      <c r="C28" s="11">
        <f t="shared" si="0"/>
        <v>19.866666666666667</v>
      </c>
      <c r="E28" s="13">
        <f>INDEX($A:$A,_xlfn.BINOM.INV(E12,0.5,(1-(1-D22)/2)))</f>
        <v>-2.1333333333333333</v>
      </c>
      <c r="F28">
        <f t="shared" si="1"/>
        <v>0.51684672765260953</v>
      </c>
      <c r="G28">
        <f t="shared" si="2"/>
        <v>27</v>
      </c>
      <c r="H28">
        <f t="shared" si="3"/>
        <v>12.299999999999999</v>
      </c>
      <c r="I28">
        <f t="shared" si="4"/>
        <v>-0.90979989311232701</v>
      </c>
      <c r="K28" s="13">
        <f>$E$30</f>
        <v>-14.489202669947453</v>
      </c>
      <c r="L28">
        <v>2</v>
      </c>
    </row>
    <row r="29" spans="1:12">
      <c r="A29" s="11">
        <v>2.2333333333333334</v>
      </c>
      <c r="B29" s="11">
        <f>_xlfn.RANK.EQ(C29,$C:$C,1)+COUNTIF($C$2:C29,C29)-1</f>
        <v>12</v>
      </c>
      <c r="C29" s="11">
        <f t="shared" si="0"/>
        <v>2.2333333333333334</v>
      </c>
      <c r="F29">
        <f t="shared" si="1"/>
        <v>0.59382139299351988</v>
      </c>
      <c r="G29">
        <f t="shared" si="2"/>
        <v>28</v>
      </c>
      <c r="H29">
        <f t="shared" si="3"/>
        <v>13</v>
      </c>
      <c r="I29">
        <f t="shared" si="4"/>
        <v>-0.86270360951270253</v>
      </c>
      <c r="K29" s="13">
        <f>$E$31</f>
        <v>27.255869336614118</v>
      </c>
      <c r="L29">
        <v>2</v>
      </c>
    </row>
    <row r="30" spans="1:12">
      <c r="A30" s="11">
        <v>-4.7</v>
      </c>
      <c r="B30" s="11">
        <f>_xlfn.RANK.EQ(C30,$C:$C,1)+COUNTIF($C$2:C30,C30)-1</f>
        <v>4</v>
      </c>
      <c r="C30" s="11">
        <f t="shared" si="0"/>
        <v>-4.7</v>
      </c>
      <c r="D30" t="s">
        <v>67</v>
      </c>
      <c r="E30" s="13">
        <f>E6-E8*E36</f>
        <v>-14.489202669947453</v>
      </c>
      <c r="F30">
        <f t="shared" si="1"/>
        <v>0.67448975019608193</v>
      </c>
      <c r="G30">
        <f t="shared" si="2"/>
        <v>29</v>
      </c>
      <c r="H30">
        <f t="shared" si="3"/>
        <v>13.166666666666666</v>
      </c>
      <c r="I30">
        <f t="shared" si="4"/>
        <v>-0.61436928933339208</v>
      </c>
      <c r="J30" t="str">
        <f>$D$39</f>
        <v>Nonparametric</v>
      </c>
      <c r="K30" s="13">
        <f>$E$6</f>
        <v>6.3833333333333337</v>
      </c>
      <c r="L30">
        <v>1</v>
      </c>
    </row>
    <row r="31" spans="1:12">
      <c r="A31" s="11">
        <v>3.8333333333333335</v>
      </c>
      <c r="B31" s="11">
        <f>_xlfn.RANK.EQ(C31,$C:$C,1)+COUNTIF($C$2:C31,C31)-1</f>
        <v>15</v>
      </c>
      <c r="C31" s="11">
        <f t="shared" si="0"/>
        <v>3.8333333333333335</v>
      </c>
      <c r="D31">
        <v>0.95</v>
      </c>
      <c r="E31" s="13">
        <f>E6+E8*E36</f>
        <v>27.255869336614118</v>
      </c>
      <c r="F31">
        <f t="shared" si="1"/>
        <v>0.75980957100991864</v>
      </c>
      <c r="G31">
        <f t="shared" si="2"/>
        <v>30</v>
      </c>
      <c r="H31">
        <f t="shared" si="3"/>
        <v>13.366666666666665</v>
      </c>
      <c r="I31">
        <f t="shared" si="4"/>
        <v>-0.60563293986492894</v>
      </c>
      <c r="K31" s="13">
        <f>$E$39</f>
        <v>-11.533333333333333</v>
      </c>
      <c r="L31">
        <v>1</v>
      </c>
    </row>
    <row r="32" spans="1:12">
      <c r="A32" s="11">
        <v>13</v>
      </c>
      <c r="B32" s="11">
        <f>_xlfn.RANK.EQ(C32,$C:$C,1)+COUNTIF($C$2:C32,C32)-1</f>
        <v>28</v>
      </c>
      <c r="C32" s="11">
        <f t="shared" si="0"/>
        <v>13</v>
      </c>
      <c r="F32">
        <f t="shared" si="1"/>
        <v>0.85105852683856942</v>
      </c>
      <c r="G32">
        <f t="shared" si="2"/>
        <v>31</v>
      </c>
      <c r="H32">
        <f t="shared" si="3"/>
        <v>13.633333333333333</v>
      </c>
      <c r="I32">
        <f t="shared" si="4"/>
        <v>-0.53715806121260556</v>
      </c>
      <c r="K32" s="13">
        <f>$E$40</f>
        <v>4.9666666666666659</v>
      </c>
      <c r="L32">
        <v>1</v>
      </c>
    </row>
    <row r="33" spans="1:13">
      <c r="A33" s="11">
        <v>13.366666666666665</v>
      </c>
      <c r="B33" s="11">
        <f>_xlfn.RANK.EQ(C33,$C:$C,1)+COUNTIF($C$2:C33,C33)-1</f>
        <v>30</v>
      </c>
      <c r="C33" s="11">
        <f t="shared" si="0"/>
        <v>13.366666666666665</v>
      </c>
      <c r="D33" t="s">
        <v>95</v>
      </c>
      <c r="E33" s="13">
        <f>E6-E8*E37</f>
        <v>-11.695649908690996</v>
      </c>
      <c r="F33">
        <f t="shared" si="1"/>
        <v>0.95001375566931956</v>
      </c>
      <c r="G33">
        <f t="shared" si="2"/>
        <v>32</v>
      </c>
      <c r="H33">
        <f t="shared" si="3"/>
        <v>13.700000000000001</v>
      </c>
      <c r="I33">
        <f t="shared" si="4"/>
        <v>-0.53956291971831305</v>
      </c>
      <c r="J33">
        <v>-12</v>
      </c>
      <c r="K33">
        <f>COUNTIF($C$2:$C$39,"&lt;="&amp;J33)</f>
        <v>0</v>
      </c>
      <c r="L33">
        <f t="shared" ref="L33:L40" si="5">IF(5.2&lt;&gt;0,M$33/M$34*_xlfn.NORM.DIST(J33-5.2/2,AVERAGE($C$2:$C$39),_xlfn.STDEV.S($C$2:$C$39),FALSE),K33)</f>
        <v>0.42131289161783997</v>
      </c>
      <c r="M33">
        <f>MAX($K$33:$K$40)</f>
        <v>9</v>
      </c>
    </row>
    <row r="34" spans="1:13">
      <c r="A34" s="11">
        <v>-4.0333333333333332</v>
      </c>
      <c r="B34" s="11">
        <f>_xlfn.RANK.EQ(C34,$C:$C,1)+COUNTIF($C$2:C34,C34)-1</f>
        <v>8</v>
      </c>
      <c r="C34" s="11">
        <f t="shared" si="0"/>
        <v>-4.0333333333333332</v>
      </c>
      <c r="E34" s="13">
        <f>E6+E8*E37</f>
        <v>24.462316575357661</v>
      </c>
      <c r="F34">
        <f t="shared" si="1"/>
        <v>1.0592769170824312</v>
      </c>
      <c r="G34">
        <f t="shared" si="2"/>
        <v>33</v>
      </c>
      <c r="H34">
        <f t="shared" si="3"/>
        <v>15.933333333333335</v>
      </c>
      <c r="I34">
        <f t="shared" si="4"/>
        <v>-0.41915645937442486</v>
      </c>
      <c r="J34">
        <f t="shared" ref="J34:J40" si="6">J33 + 5.2</f>
        <v>-6.8</v>
      </c>
      <c r="K34">
        <f t="shared" ref="K34:K40" si="7">COUNTIF($C$2:$C$39,"&lt;="&amp;J34)-COUNTIF($C$2:$C$39,"&lt;="&amp;J33)</f>
        <v>1</v>
      </c>
      <c r="L34">
        <f t="shared" si="5"/>
        <v>1.5922181249948115</v>
      </c>
      <c r="M34">
        <v>4.7037059849076163E-2</v>
      </c>
    </row>
    <row r="35" spans="1:13">
      <c r="A35" s="11">
        <v>-4.6333333333333329</v>
      </c>
      <c r="B35" s="11">
        <f>_xlfn.RANK.EQ(C35,$C:$C,1)+COUNTIF($C$2:C35,C35)-1</f>
        <v>5</v>
      </c>
      <c r="C35" s="11">
        <f t="shared" si="0"/>
        <v>-4.6333333333333329</v>
      </c>
      <c r="F35">
        <f t="shared" si="1"/>
        <v>1.1829168441908862</v>
      </c>
      <c r="G35">
        <f t="shared" si="2"/>
        <v>34</v>
      </c>
      <c r="H35">
        <f t="shared" si="3"/>
        <v>18.366666666666667</v>
      </c>
      <c r="I35">
        <f t="shared" si="4"/>
        <v>-0.32448083438341019</v>
      </c>
      <c r="J35">
        <f t="shared" si="6"/>
        <v>-1.5999999999999996</v>
      </c>
      <c r="K35">
        <f t="shared" si="7"/>
        <v>9</v>
      </c>
      <c r="L35">
        <f t="shared" si="5"/>
        <v>4.1311864425676985</v>
      </c>
    </row>
    <row r="36" spans="1:13">
      <c r="A36" s="11">
        <v>9.6</v>
      </c>
      <c r="B36" s="11">
        <f>_xlfn.RANK.EQ(C36,$C:$C,1)+COUNTIF($C$2:C36,C36)-1</f>
        <v>24</v>
      </c>
      <c r="C36" s="11">
        <f t="shared" si="0"/>
        <v>9.6</v>
      </c>
      <c r="D36" t="s">
        <v>93</v>
      </c>
      <c r="E36" s="13">
        <f>-NORMSINV((1-D22)/2)*SQRT((E12-1)*(1+1/E12)/CHIINV(D31,E12-1))</f>
        <v>2.4615396090870374</v>
      </c>
      <c r="F36">
        <f t="shared" si="1"/>
        <v>1.3279018717558344</v>
      </c>
      <c r="G36">
        <f t="shared" si="2"/>
        <v>35</v>
      </c>
      <c r="H36">
        <f t="shared" si="3"/>
        <v>18.433333333333334</v>
      </c>
      <c r="I36">
        <f t="shared" si="4"/>
        <v>-0.32920729596225545</v>
      </c>
      <c r="J36">
        <f t="shared" si="6"/>
        <v>3.6000000000000005</v>
      </c>
      <c r="K36">
        <f t="shared" si="7"/>
        <v>4</v>
      </c>
      <c r="L36">
        <f t="shared" si="5"/>
        <v>7.3590447529614558</v>
      </c>
    </row>
    <row r="37" spans="1:13">
      <c r="A37" s="11">
        <v>12</v>
      </c>
      <c r="B37" s="11">
        <f>_xlfn.RANK.EQ(C37,$C:$C,1)+COUNTIF($C$2:C37,C37)-1</f>
        <v>26</v>
      </c>
      <c r="C37" s="11">
        <f t="shared" si="0"/>
        <v>12</v>
      </c>
      <c r="D37" t="s">
        <v>94</v>
      </c>
      <c r="E37" s="13">
        <f>(-NORMSINV(1-D22)+SQRT((NORMSINV(1-D22))^2-(1-(NORMSINV(1-D31))^2/(2*(E12-1)))*((-NORMSINV(1-D22))^2--NORMSINV(1-D31)^2/E12)))/(1-(NORMSINV(1-D31))^2/(2*(E12-1)))</f>
        <v>2.1320903859151921</v>
      </c>
      <c r="F37">
        <f t="shared" si="1"/>
        <v>1.5079045914405591</v>
      </c>
      <c r="G37">
        <f t="shared" si="2"/>
        <v>36</v>
      </c>
      <c r="H37">
        <f t="shared" si="3"/>
        <v>18.666666666666668</v>
      </c>
      <c r="I37">
        <f t="shared" si="4"/>
        <v>-0.32004712580680683</v>
      </c>
      <c r="J37">
        <f t="shared" si="6"/>
        <v>8.8000000000000007</v>
      </c>
      <c r="K37">
        <f t="shared" si="7"/>
        <v>9</v>
      </c>
      <c r="L37">
        <f t="shared" si="5"/>
        <v>9</v>
      </c>
    </row>
    <row r="38" spans="1:13">
      <c r="A38" s="11">
        <v>2.5333333333333332</v>
      </c>
      <c r="B38" s="11">
        <f>_xlfn.RANK.EQ(C38,$C:$C,1)+COUNTIF($C$2:C38,C38)-1</f>
        <v>13</v>
      </c>
      <c r="C38" s="11">
        <f t="shared" si="0"/>
        <v>2.5333333333333332</v>
      </c>
      <c r="F38">
        <f t="shared" si="1"/>
        <v>1.7568266072519048</v>
      </c>
      <c r="G38">
        <f t="shared" si="2"/>
        <v>37</v>
      </c>
      <c r="H38">
        <f t="shared" si="3"/>
        <v>19.600000000000001</v>
      </c>
      <c r="I38">
        <f t="shared" si="4"/>
        <v>-0.27801311414798663</v>
      </c>
      <c r="J38">
        <f t="shared" si="6"/>
        <v>14</v>
      </c>
      <c r="K38">
        <f t="shared" si="7"/>
        <v>9</v>
      </c>
      <c r="L38">
        <f t="shared" si="5"/>
        <v>7.5568011021066566</v>
      </c>
    </row>
    <row r="39" spans="1:13">
      <c r="A39" s="11">
        <v>18.666666666666668</v>
      </c>
      <c r="B39" s="11">
        <f>_xlfn.RANK.EQ(C39,$C:$C,1)+COUNTIF($C$2:C39,C39)-1</f>
        <v>36</v>
      </c>
      <c r="C39" s="11">
        <f t="shared" si="0"/>
        <v>18.666666666666668</v>
      </c>
      <c r="D39" t="s">
        <v>96</v>
      </c>
      <c r="E39" s="13">
        <f>SMALL($A:C,MAX(1,INT((E$12-_xlfn.BINOM.INV(E$12,D$40,D$31))/2)))</f>
        <v>-11.533333333333333</v>
      </c>
      <c r="F39">
        <f t="shared" si="1"/>
        <v>2.2215195883378365</v>
      </c>
      <c r="G39">
        <f t="shared" si="2"/>
        <v>38</v>
      </c>
      <c r="H39">
        <f t="shared" si="3"/>
        <v>19.866666666666667</v>
      </c>
      <c r="I39">
        <f t="shared" si="4"/>
        <v>-0.14799036822605927</v>
      </c>
      <c r="J39">
        <f t="shared" si="6"/>
        <v>19.2</v>
      </c>
      <c r="K39">
        <f t="shared" si="7"/>
        <v>4</v>
      </c>
      <c r="L39">
        <f t="shared" si="5"/>
        <v>4.3562007998778345</v>
      </c>
    </row>
    <row r="40" spans="1:13">
      <c r="D40">
        <v>0.95</v>
      </c>
      <c r="E40" s="13">
        <f>SMALL($A:C,MIN(E$12,INT(E$12+1-(E$12-_xlfn.BINOM.INV(E$12,D$40,D$31))/2)))</f>
        <v>4.9666666666666659</v>
      </c>
      <c r="J40">
        <f t="shared" si="6"/>
        <v>24.4</v>
      </c>
      <c r="K40">
        <f t="shared" si="7"/>
        <v>2</v>
      </c>
      <c r="L40">
        <f t="shared" si="5"/>
        <v>1.724059325650537</v>
      </c>
    </row>
    <row r="42" spans="1:13">
      <c r="D42" t="s">
        <v>69</v>
      </c>
      <c r="E42" s="13">
        <v>0.5</v>
      </c>
    </row>
  </sheetData>
  <pageMargins left="0.7" right="0.7" top="0.75" bottom="0.75" header="0.3" footer="0.3"/>
  <pageSetup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AB68-C7EE-45CE-8F64-6B4ED6EEC10C}">
  <sheetPr>
    <tabColor rgb="FF66FF66"/>
    <pageSetUpPr fitToPage="1"/>
  </sheetPr>
  <dimension ref="A1:M42"/>
  <sheetViews>
    <sheetView zoomScale="47" zoomScaleNormal="47" workbookViewId="0">
      <selection activeCell="E1" sqref="E1"/>
    </sheetView>
  </sheetViews>
  <sheetFormatPr defaultColWidth="19.42578125" defaultRowHeight="31.5"/>
  <cols>
    <col min="1" max="3" width="19.42578125" style="14"/>
    <col min="4" max="4" width="47.7109375" style="14" customWidth="1"/>
    <col min="5" max="5" width="61.140625" style="17" customWidth="1"/>
    <col min="6" max="16384" width="19.42578125" style="14"/>
  </cols>
  <sheetData>
    <row r="1" spans="1:12">
      <c r="A1" s="22" t="s">
        <v>10</v>
      </c>
      <c r="B1" s="23" t="s">
        <v>70</v>
      </c>
      <c r="C1" s="23"/>
      <c r="D1" s="23" t="s">
        <v>71</v>
      </c>
      <c r="E1" s="15" t="str">
        <f>IF(E2&gt;E5,"Non-Normal at 0.01",IF(E2&gt;E4,"Non-Normal at 0.05","Data is Normal"))</f>
        <v>Data is Normal</v>
      </c>
      <c r="K1" s="14" t="s">
        <v>98</v>
      </c>
    </row>
    <row r="2" spans="1:12">
      <c r="A2" s="16">
        <v>-19.866666666666667</v>
      </c>
      <c r="B2" s="16">
        <f>_xlfn.RANK.EQ(C2,$C:$C,1)+COUNTIF($C$2:C2,C2)-1</f>
        <v>1</v>
      </c>
      <c r="C2" s="16">
        <f t="shared" ref="C2:C39" si="0">A2</f>
        <v>-19.866666666666667</v>
      </c>
      <c r="D2" s="16" t="s">
        <v>72</v>
      </c>
      <c r="E2" s="17">
        <f>ABS(E12-ABS(SUM(I:I)))</f>
        <v>0.70848879862289493</v>
      </c>
      <c r="F2" s="14">
        <f t="shared" ref="F2:F39" si="1">_xlfn.NORM.S.INV((G2-0.5)/E$12)</f>
        <v>-2.2215195883378365</v>
      </c>
      <c r="G2" s="14">
        <f t="shared" ref="G2:G39" si="2">ROW(G2)-1</f>
        <v>1</v>
      </c>
      <c r="H2" s="14">
        <f t="shared" ref="H2:H39" si="3">VLOOKUP(G2,$B:$C,2,FALSE)</f>
        <v>-19.866666666666667</v>
      </c>
      <c r="I2" s="14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-0.19275584366243151</v>
      </c>
      <c r="K2" s="14">
        <f>E2*(1+0.75/E12+2.25/E12^2)</f>
        <v>0.72357607740243357</v>
      </c>
    </row>
    <row r="3" spans="1:12">
      <c r="A3" s="16">
        <v>-5.9666666666666659</v>
      </c>
      <c r="B3" s="16">
        <f>_xlfn.RANK.EQ(C3,$C:$C,1)+COUNTIF($C$2:C3,C3)-1</f>
        <v>24</v>
      </c>
      <c r="C3" s="16">
        <f t="shared" si="0"/>
        <v>-5.9666666666666659</v>
      </c>
      <c r="D3" s="18" t="s">
        <v>97</v>
      </c>
      <c r="E3" s="17">
        <f>IF(K2&lt;0.2,K6,IF(K2&lt;0.34,K5,IF(K2&lt;0.6,K4,IF(K2&lt;13,K3,0))))</f>
        <v>5.9163080823557188E-2</v>
      </c>
      <c r="F3" s="14">
        <f t="shared" si="1"/>
        <v>-1.7568266072519048</v>
      </c>
      <c r="G3" s="14">
        <f t="shared" si="2"/>
        <v>2</v>
      </c>
      <c r="H3" s="14">
        <f t="shared" si="3"/>
        <v>-18.700000000000003</v>
      </c>
      <c r="I3" s="14">
        <f t="shared" si="4"/>
        <v>-0.54225633852462862</v>
      </c>
      <c r="K3" s="14">
        <f>EXP(1.2937-5.709*K2+0.0186*K2^2)</f>
        <v>5.9163080823557188E-2</v>
      </c>
    </row>
    <row r="4" spans="1:12">
      <c r="A4" s="16">
        <v>-5.5</v>
      </c>
      <c r="B4" s="16">
        <f>_xlfn.RANK.EQ(C4,$C:$C,1)+COUNTIF($C$2:C4,C4)-1</f>
        <v>25</v>
      </c>
      <c r="C4" s="16">
        <f t="shared" si="0"/>
        <v>-5.5</v>
      </c>
      <c r="D4" s="16" t="s">
        <v>73</v>
      </c>
      <c r="E4" s="17">
        <v>0.78700000000000003</v>
      </c>
      <c r="F4" s="14">
        <f t="shared" si="1"/>
        <v>-1.5079045914405589</v>
      </c>
      <c r="G4" s="14">
        <f t="shared" si="2"/>
        <v>3</v>
      </c>
      <c r="H4" s="14">
        <f t="shared" si="3"/>
        <v>-17.666666666666668</v>
      </c>
      <c r="I4" s="14">
        <f t="shared" si="4"/>
        <v>-0.85737205810625849</v>
      </c>
      <c r="K4" s="14">
        <f>EXP(0.9177-4.279*K2-1.38*K2^2)</f>
        <v>5.4968330751113702E-2</v>
      </c>
    </row>
    <row r="5" spans="1:12">
      <c r="A5" s="16">
        <v>2.9</v>
      </c>
      <c r="B5" s="16">
        <f>_xlfn.RANK.EQ(C5,$C:$C,1)+COUNTIF($C$2:C5,C5)-1</f>
        <v>32</v>
      </c>
      <c r="C5" s="16">
        <f t="shared" si="0"/>
        <v>2.9</v>
      </c>
      <c r="D5" s="16" t="s">
        <v>74</v>
      </c>
      <c r="E5" s="17">
        <v>1.0920000000000001</v>
      </c>
      <c r="F5" s="14">
        <f t="shared" si="1"/>
        <v>-1.3279018717558333</v>
      </c>
      <c r="G5" s="14">
        <f t="shared" si="2"/>
        <v>4</v>
      </c>
      <c r="H5" s="14">
        <f t="shared" si="3"/>
        <v>-14.6</v>
      </c>
      <c r="I5" s="14">
        <f t="shared" si="4"/>
        <v>-0.91823190511800601</v>
      </c>
      <c r="K5" s="14">
        <f>1-EXP(-8.318+42.796*K2-59.938*K2^2)</f>
        <v>0.99983884077616447</v>
      </c>
    </row>
    <row r="6" spans="1:12">
      <c r="A6" s="16">
        <v>5.7333333333333334</v>
      </c>
      <c r="B6" s="16">
        <f>_xlfn.RANK.EQ(C6,$C:$C,1)+COUNTIF($C$2:C6,C6)-1</f>
        <v>36</v>
      </c>
      <c r="C6" s="16">
        <f t="shared" si="0"/>
        <v>5.7333333333333334</v>
      </c>
      <c r="D6" s="16" t="s">
        <v>75</v>
      </c>
      <c r="E6" s="17">
        <f>AVERAGE($A:$A)</f>
        <v>-6.3585964912280701</v>
      </c>
      <c r="F6" s="14">
        <f t="shared" si="1"/>
        <v>-1.1829168441908862</v>
      </c>
      <c r="G6" s="14">
        <f t="shared" si="2"/>
        <v>5</v>
      </c>
      <c r="H6" s="14">
        <f t="shared" si="3"/>
        <v>-12.233333333333334</v>
      </c>
      <c r="I6" s="14">
        <f t="shared" si="4"/>
        <v>-1.0444749335987367</v>
      </c>
      <c r="J6" s="14">
        <f>AVERAGE(H:H)</f>
        <v>-6.358596491228071</v>
      </c>
      <c r="K6" s="14">
        <f>1-EXP(-13.436+101.14*K2-223.73*K2^2)</f>
        <v>1</v>
      </c>
    </row>
    <row r="7" spans="1:12">
      <c r="A7" s="16">
        <v>-17.666666666666668</v>
      </c>
      <c r="B7" s="16">
        <f>_xlfn.RANK.EQ(C7,$C:$C,1)+COUNTIF($C$2:C7,C7)-1</f>
        <v>3</v>
      </c>
      <c r="C7" s="16">
        <f t="shared" si="0"/>
        <v>-17.666666666666668</v>
      </c>
      <c r="D7" s="16" t="s">
        <v>76</v>
      </c>
      <c r="E7" s="17" t="e">
        <f ca="1">_xlfn.MODE.SNGL(OFFSET($A$2,0,0,COUNT($A:$A),1))</f>
        <v>#N/A</v>
      </c>
      <c r="F7" s="14">
        <f t="shared" si="1"/>
        <v>-1.0592769170824312</v>
      </c>
      <c r="G7" s="14">
        <f t="shared" si="2"/>
        <v>6</v>
      </c>
      <c r="H7" s="14">
        <f t="shared" si="3"/>
        <v>-11.266666666666666</v>
      </c>
      <c r="I7" s="14">
        <f t="shared" si="4"/>
        <v>-1.192911908039237</v>
      </c>
    </row>
    <row r="8" spans="1:12">
      <c r="A8" s="16">
        <v>-12.233333333333334</v>
      </c>
      <c r="B8" s="16">
        <f>_xlfn.RANK.EQ(C8,$C:$C,1)+COUNTIF($C$2:C8,C8)-1</f>
        <v>5</v>
      </c>
      <c r="C8" s="16">
        <f t="shared" si="0"/>
        <v>-12.233333333333334</v>
      </c>
      <c r="D8" s="16" t="s">
        <v>77</v>
      </c>
      <c r="E8" s="17">
        <f>_xlfn.STDEV.S($A:$A)</f>
        <v>6.6173364370015104</v>
      </c>
      <c r="F8" s="14">
        <f t="shared" si="1"/>
        <v>-0.95001375566931956</v>
      </c>
      <c r="G8" s="14">
        <f t="shared" si="2"/>
        <v>7</v>
      </c>
      <c r="H8" s="14">
        <f t="shared" si="3"/>
        <v>-11.166666666666666</v>
      </c>
      <c r="I8" s="14">
        <f t="shared" si="4"/>
        <v>-1.3575671538563163</v>
      </c>
      <c r="J8" s="14">
        <f>_xlfn.STDEV.S(H:H)</f>
        <v>6.6173364370015078</v>
      </c>
    </row>
    <row r="9" spans="1:12">
      <c r="A9" s="16">
        <v>-11.266666666666666</v>
      </c>
      <c r="B9" s="16">
        <f>_xlfn.RANK.EQ(C9,$C:$C,1)+COUNTIF($C$2:C9,C9)-1</f>
        <v>6</v>
      </c>
      <c r="C9" s="16">
        <f t="shared" si="0"/>
        <v>-11.266666666666666</v>
      </c>
      <c r="D9" s="16" t="s">
        <v>78</v>
      </c>
      <c r="E9" s="17">
        <f>_xlfn.VAR.S($A:$A)</f>
        <v>43.789141520467844</v>
      </c>
      <c r="F9" s="14">
        <f t="shared" si="1"/>
        <v>-0.85105852683856875</v>
      </c>
      <c r="G9" s="14">
        <f t="shared" si="2"/>
        <v>8</v>
      </c>
      <c r="H9" s="14">
        <f t="shared" si="3"/>
        <v>-10.9</v>
      </c>
      <c r="I9" s="14">
        <f t="shared" si="4"/>
        <v>-1.162862597986976</v>
      </c>
    </row>
    <row r="10" spans="1:12">
      <c r="A10" s="16">
        <v>-11.166666666666666</v>
      </c>
      <c r="B10" s="16">
        <f>_xlfn.RANK.EQ(C10,$C:$C,1)+COUNTIF($C$2:C10,C10)-1</f>
        <v>7</v>
      </c>
      <c r="C10" s="16">
        <f t="shared" si="0"/>
        <v>-11.166666666666666</v>
      </c>
      <c r="D10" s="16" t="s">
        <v>79</v>
      </c>
      <c r="E10" s="17">
        <f>SKEW($A:$A)</f>
        <v>0.22005631312695959</v>
      </c>
      <c r="F10" s="14">
        <f t="shared" si="1"/>
        <v>-0.75980957100991864</v>
      </c>
      <c r="G10" s="14">
        <f t="shared" si="2"/>
        <v>9</v>
      </c>
      <c r="H10" s="14">
        <f t="shared" si="3"/>
        <v>-10.766666666666666</v>
      </c>
      <c r="I10" s="14">
        <f t="shared" si="4"/>
        <v>-1.2238416649158046</v>
      </c>
    </row>
    <row r="11" spans="1:12">
      <c r="A11" s="16">
        <v>3.3666666666666667</v>
      </c>
      <c r="B11" s="16">
        <f>_xlfn.RANK.EQ(C11,$C:$C,1)+COUNTIF($C$2:C11,C11)-1</f>
        <v>33</v>
      </c>
      <c r="C11" s="16">
        <f t="shared" si="0"/>
        <v>3.3666666666666667</v>
      </c>
      <c r="D11" s="16" t="s">
        <v>80</v>
      </c>
      <c r="E11" s="17">
        <f>KURT($A:$A)</f>
        <v>-0.19370419565381747</v>
      </c>
      <c r="F11" s="14">
        <f t="shared" si="1"/>
        <v>-0.67448975019608193</v>
      </c>
      <c r="G11" s="14">
        <f t="shared" si="2"/>
        <v>10</v>
      </c>
      <c r="H11" s="14">
        <f t="shared" si="3"/>
        <v>-10.726666666666667</v>
      </c>
      <c r="I11" s="14">
        <f t="shared" si="4"/>
        <v>-1.3146404484713883</v>
      </c>
      <c r="J11" s="14">
        <f>COUNT($A:$A)</f>
        <v>38</v>
      </c>
    </row>
    <row r="12" spans="1:12">
      <c r="A12" s="16">
        <v>-1.0999999999999999</v>
      </c>
      <c r="B12" s="16">
        <f>_xlfn.RANK.EQ(C12,$C:$C,1)+COUNTIF($C$2:C12,C12)-1</f>
        <v>31</v>
      </c>
      <c r="C12" s="16">
        <f t="shared" si="0"/>
        <v>-1.0999999999999999</v>
      </c>
      <c r="D12" s="16" t="s">
        <v>81</v>
      </c>
      <c r="E12" s="17">
        <f>COUNT($A:$A)</f>
        <v>38</v>
      </c>
      <c r="F12" s="14">
        <f t="shared" si="1"/>
        <v>-0.59382139299351966</v>
      </c>
      <c r="G12" s="14">
        <f t="shared" si="2"/>
        <v>11</v>
      </c>
      <c r="H12" s="14">
        <f t="shared" si="3"/>
        <v>-9.8333333333333339</v>
      </c>
      <c r="I12" s="14">
        <f t="shared" si="4"/>
        <v>-1.1925067357897061</v>
      </c>
      <c r="K12" s="14" t="e">
        <f>NA()</f>
        <v>#N/A</v>
      </c>
    </row>
    <row r="13" spans="1:12">
      <c r="A13" s="16">
        <v>-9.6</v>
      </c>
      <c r="B13" s="16">
        <f>_xlfn.RANK.EQ(C13,$C:$C,1)+COUNTIF($C$2:C13,C13)-1</f>
        <v>12</v>
      </c>
      <c r="C13" s="16">
        <f t="shared" si="0"/>
        <v>-9.6</v>
      </c>
      <c r="D13" s="16" t="s">
        <v>82</v>
      </c>
      <c r="E13" s="17">
        <f>E8/SQRT(E12)</f>
        <v>1.0734737209107619</v>
      </c>
      <c r="F13" s="14">
        <f t="shared" si="1"/>
        <v>-0.51684672765260964</v>
      </c>
      <c r="G13" s="14">
        <f t="shared" si="2"/>
        <v>12</v>
      </c>
      <c r="H13" s="14">
        <f t="shared" si="3"/>
        <v>-9.6</v>
      </c>
      <c r="I13" s="14">
        <f t="shared" si="4"/>
        <v>-1.2577568847698928</v>
      </c>
      <c r="J13" s="14">
        <v>1</v>
      </c>
      <c r="K13" s="14" t="e">
        <f>IF(E15-E14&gt;1.5*(E17-E15),E14,NA())</f>
        <v>#N/A</v>
      </c>
      <c r="L13" s="14">
        <v>1</v>
      </c>
    </row>
    <row r="14" spans="1:12">
      <c r="A14" s="16">
        <v>-7.2666666666666666</v>
      </c>
      <c r="B14" s="16">
        <f>_xlfn.RANK.EQ(C14,$C:$C,1)+COUNTIF($C$2:C14,C14)-1</f>
        <v>19</v>
      </c>
      <c r="C14" s="16">
        <f t="shared" si="0"/>
        <v>-7.2666666666666666</v>
      </c>
      <c r="D14" s="16" t="s">
        <v>83</v>
      </c>
      <c r="E14" s="17">
        <f>MIN($A:$A)</f>
        <v>-19.866666666666667</v>
      </c>
      <c r="F14" s="14">
        <f t="shared" si="1"/>
        <v>-0.44282165759651121</v>
      </c>
      <c r="G14" s="14">
        <f t="shared" si="2"/>
        <v>13</v>
      </c>
      <c r="H14" s="14">
        <f t="shared" si="3"/>
        <v>-9.5666666666666664</v>
      </c>
      <c r="I14" s="14">
        <f t="shared" si="4"/>
        <v>-1.3475459803253367</v>
      </c>
      <c r="K14" s="17">
        <f>MIN(E15-E14,(E17-E15))</f>
        <v>7.4700000000000006</v>
      </c>
    </row>
    <row r="15" spans="1:12">
      <c r="A15" s="16">
        <v>-6.0999999999999988</v>
      </c>
      <c r="B15" s="16">
        <f>_xlfn.RANK.EQ(C15,$C:$C,1)+COUNTIF($C$2:C15,C15)-1</f>
        <v>23</v>
      </c>
      <c r="C15" s="16">
        <f t="shared" si="0"/>
        <v>-6.0999999999999988</v>
      </c>
      <c r="D15" s="16" t="s">
        <v>84</v>
      </c>
      <c r="E15" s="17">
        <f>_xlfn.QUARTILE.INC($A:$A,1)</f>
        <v>-10.503333333333334</v>
      </c>
      <c r="F15" s="14">
        <f t="shared" si="1"/>
        <v>-0.37114932320228394</v>
      </c>
      <c r="G15" s="14">
        <f t="shared" si="2"/>
        <v>14</v>
      </c>
      <c r="H15" s="14">
        <f t="shared" si="3"/>
        <v>-8.5666666666666647</v>
      </c>
      <c r="I15" s="14">
        <f t="shared" si="4"/>
        <v>-1.2776870035887113</v>
      </c>
      <c r="K15" s="14">
        <v>-10.503333333333334</v>
      </c>
    </row>
    <row r="16" spans="1:12">
      <c r="A16" s="16">
        <v>-9.5666666666666664</v>
      </c>
      <c r="B16" s="16">
        <f>_xlfn.RANK.EQ(C16,$C:$C,1)+COUNTIF($C$2:C16,C16)-1</f>
        <v>13</v>
      </c>
      <c r="C16" s="16">
        <f t="shared" si="0"/>
        <v>-9.5666666666666664</v>
      </c>
      <c r="D16" s="16" t="s">
        <v>85</v>
      </c>
      <c r="E16" s="17">
        <f>MEDIAN($A:$A)</f>
        <v>-7.1166666666666663</v>
      </c>
      <c r="F16" s="14">
        <f t="shared" si="1"/>
        <v>-0.30133652085957613</v>
      </c>
      <c r="G16" s="14">
        <f t="shared" si="2"/>
        <v>15</v>
      </c>
      <c r="H16" s="14">
        <f t="shared" si="3"/>
        <v>-8.5333333333333332</v>
      </c>
      <c r="I16" s="14">
        <f t="shared" si="4"/>
        <v>-1.3221766679737894</v>
      </c>
      <c r="K16" s="14">
        <v>3.3866666666666676</v>
      </c>
    </row>
    <row r="17" spans="1:12">
      <c r="A17" s="16">
        <v>-6.2</v>
      </c>
      <c r="B17" s="16">
        <f>_xlfn.RANK.EQ(C17,$C:$C,1)+COUNTIF($C$2:C17,C17)-1</f>
        <v>22</v>
      </c>
      <c r="C17" s="16">
        <f t="shared" si="0"/>
        <v>-6.2</v>
      </c>
      <c r="D17" s="16" t="s">
        <v>86</v>
      </c>
      <c r="E17" s="17">
        <f>_xlfn.QUARTILE.INC($A:$A,3)</f>
        <v>-3.0333333333333337</v>
      </c>
      <c r="F17" s="14">
        <f t="shared" si="1"/>
        <v>-0.23296385427137245</v>
      </c>
      <c r="G17" s="14">
        <f t="shared" si="2"/>
        <v>16</v>
      </c>
      <c r="H17" s="14">
        <f t="shared" si="3"/>
        <v>-8.4999999999999982</v>
      </c>
      <c r="I17" s="14">
        <f t="shared" si="4"/>
        <v>-1.3955505074076597</v>
      </c>
      <c r="K17" s="14">
        <v>4.0833333333333321</v>
      </c>
    </row>
    <row r="18" spans="1:12">
      <c r="A18" s="16">
        <v>-4.4333333333333336</v>
      </c>
      <c r="B18" s="16">
        <f>_xlfn.RANK.EQ(C18,$C:$C,1)+COUNTIF($C$2:C18,C18)-1</f>
        <v>28</v>
      </c>
      <c r="C18" s="16">
        <f t="shared" si="0"/>
        <v>-4.4333333333333336</v>
      </c>
      <c r="D18" s="16" t="s">
        <v>87</v>
      </c>
      <c r="E18" s="17">
        <f>MAX($A:$A)</f>
        <v>5.8999999999999995</v>
      </c>
      <c r="F18" s="14">
        <f t="shared" si="1"/>
        <v>-0.1656644138685531</v>
      </c>
      <c r="G18" s="14">
        <f t="shared" si="2"/>
        <v>17</v>
      </c>
      <c r="H18" s="14">
        <f t="shared" si="3"/>
        <v>-8.1666666666666661</v>
      </c>
      <c r="I18" s="14">
        <f t="shared" si="4"/>
        <v>-1.4312330768151569</v>
      </c>
      <c r="K18" s="17">
        <f>MIN(E18-E17,(E17-E15))</f>
        <v>7.4700000000000006</v>
      </c>
    </row>
    <row r="19" spans="1:12">
      <c r="A19" s="16">
        <v>3.6999999999999997</v>
      </c>
      <c r="B19" s="16">
        <f>_xlfn.RANK.EQ(C19,$C:$C,1)+COUNTIF($C$2:C19,C19)-1</f>
        <v>35</v>
      </c>
      <c r="C19" s="16">
        <f t="shared" si="0"/>
        <v>3.6999999999999997</v>
      </c>
      <c r="D19" s="16" t="s">
        <v>88</v>
      </c>
      <c r="E19" s="17">
        <f>E18-E14</f>
        <v>25.766666666666666</v>
      </c>
      <c r="F19" s="14">
        <f t="shared" si="1"/>
        <v>-9.9107859822899172E-2</v>
      </c>
      <c r="G19" s="14">
        <f t="shared" si="2"/>
        <v>18</v>
      </c>
      <c r="H19" s="14">
        <f t="shared" si="3"/>
        <v>-7.3666666666666671</v>
      </c>
      <c r="I19" s="14">
        <f t="shared" si="4"/>
        <v>-1.3340833890467818</v>
      </c>
      <c r="J19" s="14">
        <v>1</v>
      </c>
      <c r="K19" s="14" t="e">
        <f>IF(E18-E17&gt;1.5*(E17-E15),E18,NA())</f>
        <v>#N/A</v>
      </c>
      <c r="L19" s="14">
        <v>1</v>
      </c>
    </row>
    <row r="20" spans="1:12">
      <c r="A20" s="16">
        <v>5.7666666666666657</v>
      </c>
      <c r="B20" s="16">
        <f>_xlfn.RANK.EQ(C20,$C:$C,1)+COUNTIF($C$2:C20,C20)-1</f>
        <v>37</v>
      </c>
      <c r="C20" s="16">
        <f t="shared" si="0"/>
        <v>5.7666666666666657</v>
      </c>
      <c r="D20" s="16" t="s">
        <v>89</v>
      </c>
      <c r="E20" s="17">
        <f>_xlfn.T.INV.2T((1-D22),E12-1)*E8/SQRT(E12)</f>
        <v>2.1750643625691986</v>
      </c>
      <c r="F20" s="14">
        <f t="shared" si="1"/>
        <v>-3.2987932937402764E-2</v>
      </c>
      <c r="G20" s="14">
        <f t="shared" si="2"/>
        <v>19</v>
      </c>
      <c r="H20" s="14">
        <f t="shared" si="3"/>
        <v>-7.2666666666666666</v>
      </c>
      <c r="I20" s="14">
        <f t="shared" si="4"/>
        <v>-1.393548851614856</v>
      </c>
      <c r="K20" s="14" t="e">
        <f>NA()</f>
        <v>#N/A</v>
      </c>
    </row>
    <row r="21" spans="1:12">
      <c r="A21" s="16">
        <v>-8.5333333333333332</v>
      </c>
      <c r="B21" s="16">
        <f>_xlfn.RANK.EQ(C21,$C:$C,1)+COUNTIF($C$2:C21,C21)-1</f>
        <v>15</v>
      </c>
      <c r="C21" s="16">
        <f t="shared" si="0"/>
        <v>-8.5333333333333332</v>
      </c>
      <c r="D21" s="16" t="s">
        <v>90</v>
      </c>
      <c r="E21" s="17">
        <f>E$6-E20</f>
        <v>-8.5336608537972687</v>
      </c>
      <c r="F21" s="14">
        <f t="shared" si="1"/>
        <v>3.2987932937402903E-2</v>
      </c>
      <c r="G21" s="14">
        <f t="shared" si="2"/>
        <v>20</v>
      </c>
      <c r="H21" s="14">
        <f t="shared" si="3"/>
        <v>-6.9666666666666659</v>
      </c>
      <c r="I21" s="14">
        <f t="shared" si="4"/>
        <v>-1.3944922156677553</v>
      </c>
      <c r="J21" s="16" t="str">
        <f>$D$6</f>
        <v>Mean</v>
      </c>
      <c r="K21" s="17">
        <f>$E$6</f>
        <v>-6.3585964912280701</v>
      </c>
      <c r="L21" s="14">
        <v>2</v>
      </c>
    </row>
    <row r="22" spans="1:12">
      <c r="A22" s="16">
        <v>-2.5666666666666669</v>
      </c>
      <c r="B22" s="16">
        <f>_xlfn.RANK.EQ(C22,$C:$C,1)+COUNTIF($C$2:C22,C22)-1</f>
        <v>29</v>
      </c>
      <c r="C22" s="16">
        <f t="shared" si="0"/>
        <v>-2.5666666666666669</v>
      </c>
      <c r="D22" s="16">
        <v>0.95</v>
      </c>
      <c r="E22" s="17">
        <f>E$6+E20</f>
        <v>-4.1835321286588716</v>
      </c>
      <c r="F22" s="14">
        <f t="shared" si="1"/>
        <v>9.9107859822899172E-2</v>
      </c>
      <c r="G22" s="14">
        <f t="shared" si="2"/>
        <v>21</v>
      </c>
      <c r="H22" s="14">
        <f t="shared" si="3"/>
        <v>-6.9333333333333327</v>
      </c>
      <c r="I22" s="14">
        <f t="shared" si="4"/>
        <v>-1.4498094897606109</v>
      </c>
      <c r="K22" s="17">
        <f>$E$21</f>
        <v>-8.5336608537972687</v>
      </c>
      <c r="L22" s="14">
        <v>2</v>
      </c>
    </row>
    <row r="23" spans="1:12">
      <c r="A23" s="16">
        <v>-10.9</v>
      </c>
      <c r="B23" s="16">
        <f>_xlfn.RANK.EQ(C23,$C:$C,1)+COUNTIF($C$2:C23,C23)-1</f>
        <v>8</v>
      </c>
      <c r="C23" s="16">
        <f t="shared" si="0"/>
        <v>-10.9</v>
      </c>
      <c r="D23" s="16">
        <v>-7.5666666666666673</v>
      </c>
      <c r="F23" s="14">
        <f t="shared" si="1"/>
        <v>0.1656644138685531</v>
      </c>
      <c r="G23" s="14">
        <f t="shared" si="2"/>
        <v>22</v>
      </c>
      <c r="H23" s="14">
        <f t="shared" si="3"/>
        <v>-6.2</v>
      </c>
      <c r="I23" s="14">
        <f t="shared" si="4"/>
        <v>-1.3265976594858353</v>
      </c>
      <c r="K23" s="17">
        <f>$E$22</f>
        <v>-4.1835321286588716</v>
      </c>
      <c r="L23" s="14">
        <v>2</v>
      </c>
    </row>
    <row r="24" spans="1:12">
      <c r="A24" s="16">
        <v>-6.9333333333333327</v>
      </c>
      <c r="B24" s="16">
        <f>_xlfn.RANK.EQ(C24,$C:$C,1)+COUNTIF($C$2:C24,C24)-1</f>
        <v>21</v>
      </c>
      <c r="C24" s="16">
        <f t="shared" si="0"/>
        <v>-6.9333333333333327</v>
      </c>
      <c r="D24" s="16" t="s">
        <v>91</v>
      </c>
      <c r="E24" s="17">
        <f>SQRT((E12-1)*E9/_xlfn.CHISQ.INV.RT((1-D22)/2,E12-1))</f>
        <v>5.3948748269148412</v>
      </c>
      <c r="F24" s="14">
        <f t="shared" si="1"/>
        <v>0.23296385427137234</v>
      </c>
      <c r="G24" s="14">
        <f t="shared" si="2"/>
        <v>23</v>
      </c>
      <c r="H24" s="14">
        <f t="shared" si="3"/>
        <v>-6.0999999999999988</v>
      </c>
      <c r="I24" s="14">
        <f t="shared" si="4"/>
        <v>-1.3375049968677082</v>
      </c>
      <c r="J24" s="16" t="str">
        <f>$D$16</f>
        <v>Median</v>
      </c>
      <c r="K24" s="17">
        <f>$E$16</f>
        <v>-7.1166666666666663</v>
      </c>
      <c r="L24" s="14">
        <v>1</v>
      </c>
    </row>
    <row r="25" spans="1:12">
      <c r="A25" s="16">
        <v>-6.9666666666666659</v>
      </c>
      <c r="B25" s="16">
        <f>_xlfn.RANK.EQ(C25,$C:$C,1)+COUNTIF($C$2:C25,C25)-1</f>
        <v>20</v>
      </c>
      <c r="C25" s="16">
        <f t="shared" si="0"/>
        <v>-6.9666666666666659</v>
      </c>
      <c r="D25" s="16">
        <v>-2.4333333333333331</v>
      </c>
      <c r="E25" s="17">
        <f>SQRT((E12-1)*E9/_xlfn.CHISQ.INV.RT(1-(1-D22)/2,E12-1))</f>
        <v>8.5611608562343378</v>
      </c>
      <c r="F25" s="14">
        <f t="shared" si="1"/>
        <v>0.3013365208595763</v>
      </c>
      <c r="G25" s="14">
        <f t="shared" si="2"/>
        <v>24</v>
      </c>
      <c r="H25" s="14">
        <f t="shared" si="3"/>
        <v>-5.9666666666666659</v>
      </c>
      <c r="I25" s="14">
        <f t="shared" si="4"/>
        <v>-1.3740846288613573</v>
      </c>
      <c r="K25" s="17">
        <f>$E$27</f>
        <v>-9.6</v>
      </c>
      <c r="L25" s="14">
        <v>1</v>
      </c>
    </row>
    <row r="26" spans="1:12">
      <c r="A26" s="16">
        <v>-10.766666666666666</v>
      </c>
      <c r="B26" s="16">
        <f>_xlfn.RANK.EQ(C26,$C:$C,1)+COUNTIF($C$2:C26,C26)-1</f>
        <v>9</v>
      </c>
      <c r="C26" s="16">
        <f t="shared" si="0"/>
        <v>-10.766666666666666</v>
      </c>
      <c r="D26" s="16">
        <v>-8.2000000000000011</v>
      </c>
      <c r="F26" s="14">
        <f t="shared" si="1"/>
        <v>0.37114932320228394</v>
      </c>
      <c r="G26" s="14">
        <f t="shared" si="2"/>
        <v>25</v>
      </c>
      <c r="H26" s="14">
        <f t="shared" si="3"/>
        <v>-5.5</v>
      </c>
      <c r="I26" s="14">
        <f t="shared" si="4"/>
        <v>-1.3614803520629823</v>
      </c>
      <c r="K26" s="17">
        <f>$E$28</f>
        <v>-6.9666666666666659</v>
      </c>
      <c r="L26" s="14">
        <v>1</v>
      </c>
    </row>
    <row r="27" spans="1:12">
      <c r="A27" s="16">
        <v>-8.5666666666666647</v>
      </c>
      <c r="B27" s="16">
        <f>_xlfn.RANK.EQ(C27,$C:$C,1)+COUNTIF($C$2:C27,C27)-1</f>
        <v>14</v>
      </c>
      <c r="C27" s="16">
        <f t="shared" si="0"/>
        <v>-8.5666666666666647</v>
      </c>
      <c r="D27" s="16" t="s">
        <v>92</v>
      </c>
      <c r="E27" s="17">
        <f>INDEX($A:$A,_xlfn.BINOM.INV(E12,0.5,(1-D22)/2))</f>
        <v>-9.6</v>
      </c>
      <c r="F27" s="14">
        <f t="shared" si="1"/>
        <v>0.44282165759651121</v>
      </c>
      <c r="G27" s="14">
        <f t="shared" si="2"/>
        <v>26</v>
      </c>
      <c r="H27" s="14">
        <f t="shared" si="3"/>
        <v>-4.8666666666666671</v>
      </c>
      <c r="I27" s="14">
        <f t="shared" si="4"/>
        <v>-1.2156193231467944</v>
      </c>
      <c r="J27" s="16" t="str">
        <f>$D$30</f>
        <v>Normal</v>
      </c>
      <c r="K27" s="17">
        <f>$E$6</f>
        <v>-6.3585964912280701</v>
      </c>
      <c r="L27" s="14">
        <v>2</v>
      </c>
    </row>
    <row r="28" spans="1:12">
      <c r="A28" s="16">
        <v>3.6666666666666665</v>
      </c>
      <c r="B28" s="16">
        <f>_xlfn.RANK.EQ(C28,$C:$C,1)+COUNTIF($C$2:C28,C28)-1</f>
        <v>34</v>
      </c>
      <c r="C28" s="16">
        <f t="shared" si="0"/>
        <v>3.6666666666666665</v>
      </c>
      <c r="D28" s="16">
        <v>-6.0666666666666664</v>
      </c>
      <c r="E28" s="17">
        <f>INDEX($A:$A,_xlfn.BINOM.INV(E12,0.5,(1-(1-D22)/2)))</f>
        <v>-6.9666666666666659</v>
      </c>
      <c r="F28" s="14">
        <f t="shared" si="1"/>
        <v>0.51684672765260953</v>
      </c>
      <c r="G28" s="14">
        <f t="shared" si="2"/>
        <v>27</v>
      </c>
      <c r="H28" s="14">
        <f t="shared" si="3"/>
        <v>-4.7</v>
      </c>
      <c r="I28" s="14">
        <f t="shared" si="4"/>
        <v>-1.2367365609972132</v>
      </c>
      <c r="K28" s="17">
        <f>$E$30</f>
        <v>-22.647432237562178</v>
      </c>
      <c r="L28" s="14">
        <v>2</v>
      </c>
    </row>
    <row r="29" spans="1:12">
      <c r="A29" s="16">
        <v>-8.1666666666666661</v>
      </c>
      <c r="B29" s="16">
        <f>_xlfn.RANK.EQ(C29,$C:$C,1)+COUNTIF($C$2:C29,C29)-1</f>
        <v>17</v>
      </c>
      <c r="C29" s="16">
        <f t="shared" si="0"/>
        <v>-8.1666666666666661</v>
      </c>
      <c r="D29" s="16">
        <v>-6.5</v>
      </c>
      <c r="F29" s="14">
        <f t="shared" si="1"/>
        <v>0.59382139299351988</v>
      </c>
      <c r="G29" s="14">
        <f t="shared" si="2"/>
        <v>28</v>
      </c>
      <c r="H29" s="14">
        <f t="shared" si="3"/>
        <v>-4.4333333333333336</v>
      </c>
      <c r="I29" s="14">
        <f t="shared" si="4"/>
        <v>-1.2206434109820332</v>
      </c>
      <c r="K29" s="17">
        <f>$E$31</f>
        <v>9.9302392551060379</v>
      </c>
      <c r="L29" s="14">
        <v>2</v>
      </c>
    </row>
    <row r="30" spans="1:12">
      <c r="A30" s="16">
        <v>-14.6</v>
      </c>
      <c r="B30" s="16">
        <f>_xlfn.RANK.EQ(C30,$C:$C,1)+COUNTIF($C$2:C30,C30)-1</f>
        <v>4</v>
      </c>
      <c r="C30" s="16">
        <f t="shared" si="0"/>
        <v>-14.6</v>
      </c>
      <c r="D30" s="16" t="s">
        <v>67</v>
      </c>
      <c r="E30" s="17">
        <f>E6-E8*E36</f>
        <v>-22.647432237562178</v>
      </c>
      <c r="F30" s="14">
        <f t="shared" si="1"/>
        <v>0.67448975019608193</v>
      </c>
      <c r="G30" s="14">
        <f t="shared" si="2"/>
        <v>29</v>
      </c>
      <c r="H30" s="14">
        <f t="shared" si="3"/>
        <v>-2.5666666666666669</v>
      </c>
      <c r="I30" s="14">
        <f t="shared" si="4"/>
        <v>-0.94041699523938982</v>
      </c>
      <c r="J30" s="16" t="str">
        <f>$D$39</f>
        <v>Nonparametric</v>
      </c>
      <c r="K30" s="17">
        <f>$E$6</f>
        <v>-6.3585964912280701</v>
      </c>
      <c r="L30" s="14">
        <v>1</v>
      </c>
    </row>
    <row r="31" spans="1:12">
      <c r="A31" s="16">
        <v>-10.726666666666667</v>
      </c>
      <c r="B31" s="16">
        <f>_xlfn.RANK.EQ(C31,$C:$C,1)+COUNTIF($C$2:C31,C31)-1</f>
        <v>10</v>
      </c>
      <c r="C31" s="16">
        <f t="shared" si="0"/>
        <v>-10.726666666666667</v>
      </c>
      <c r="D31" s="16">
        <v>0.95</v>
      </c>
      <c r="E31" s="17">
        <f>E6+E8*E36</f>
        <v>9.9302392551060379</v>
      </c>
      <c r="F31" s="14">
        <f t="shared" si="1"/>
        <v>0.75980957100991864</v>
      </c>
      <c r="G31" s="14">
        <f t="shared" si="2"/>
        <v>30</v>
      </c>
      <c r="H31" s="14">
        <f t="shared" si="3"/>
        <v>-2.0333333333333332</v>
      </c>
      <c r="I31" s="14">
        <f t="shared" si="4"/>
        <v>-0.91273010264039978</v>
      </c>
      <c r="K31" s="17">
        <f>$E$39</f>
        <v>-19.866666666666667</v>
      </c>
      <c r="L31" s="14">
        <v>1</v>
      </c>
    </row>
    <row r="32" spans="1:12">
      <c r="A32" s="16">
        <v>-7.3666666666666671</v>
      </c>
      <c r="B32" s="16">
        <f>_xlfn.RANK.EQ(C32,$C:$C,1)+COUNTIF($C$2:C32,C32)-1</f>
        <v>18</v>
      </c>
      <c r="C32" s="16">
        <f t="shared" si="0"/>
        <v>-7.3666666666666671</v>
      </c>
      <c r="D32" s="16">
        <v>-1.8</v>
      </c>
      <c r="F32" s="14">
        <f t="shared" si="1"/>
        <v>0.85105852683856942</v>
      </c>
      <c r="G32" s="14">
        <f t="shared" si="2"/>
        <v>31</v>
      </c>
      <c r="H32" s="14">
        <f t="shared" si="3"/>
        <v>-1.0999999999999999</v>
      </c>
      <c r="I32" s="14">
        <f t="shared" si="4"/>
        <v>-0.83915799154148829</v>
      </c>
      <c r="K32" s="17">
        <f>$E$40</f>
        <v>-7.2666666666666666</v>
      </c>
      <c r="L32" s="14">
        <v>1</v>
      </c>
    </row>
    <row r="33" spans="1:13">
      <c r="A33" s="16">
        <v>-2.0333333333333332</v>
      </c>
      <c r="B33" s="16">
        <f>_xlfn.RANK.EQ(C33,$C:$C,1)+COUNTIF($C$2:C33,C33)-1</f>
        <v>30</v>
      </c>
      <c r="C33" s="16">
        <f t="shared" si="0"/>
        <v>-2.0333333333333332</v>
      </c>
      <c r="D33" s="16" t="s">
        <v>95</v>
      </c>
      <c r="E33" s="17">
        <f>E6-E8*E37</f>
        <v>-20.467355888925283</v>
      </c>
      <c r="F33" s="14">
        <f t="shared" si="1"/>
        <v>0.95001375566931956</v>
      </c>
      <c r="G33" s="14">
        <f t="shared" si="2"/>
        <v>32</v>
      </c>
      <c r="H33" s="14">
        <f t="shared" si="3"/>
        <v>2.9</v>
      </c>
      <c r="I33" s="14">
        <f t="shared" si="4"/>
        <v>-0.58122023325443384</v>
      </c>
      <c r="J33" s="14">
        <v>-20</v>
      </c>
      <c r="K33" s="14">
        <f>COUNTIF($C$2:$C$39,"&lt;="&amp;J33)</f>
        <v>0</v>
      </c>
      <c r="L33" s="14">
        <f t="shared" ref="L33:L40" si="5">IF(4.3&lt;&gt;0,M$33/M$34*_xlfn.NORM.DIST(J33-4.3/2,AVERAGE($C$2:$C$39),_xlfn.STDEV.S($C$2:$C$39),FALSE),K33)</f>
        <v>0.83055226682750749</v>
      </c>
      <c r="M33" s="14">
        <f>MAX($K$33:$K$40)</f>
        <v>14</v>
      </c>
    </row>
    <row r="34" spans="1:13">
      <c r="A34" s="16">
        <v>-4.8666666666666671</v>
      </c>
      <c r="B34" s="16">
        <f>_xlfn.RANK.EQ(C34,$C:$C,1)+COUNTIF($C$2:C34,C34)-1</f>
        <v>26</v>
      </c>
      <c r="C34" s="16">
        <f t="shared" si="0"/>
        <v>-4.8666666666666671</v>
      </c>
      <c r="D34" s="16">
        <v>-4.1333333333333329</v>
      </c>
      <c r="E34" s="17">
        <f>E6+E8*E37</f>
        <v>7.7501629064691429</v>
      </c>
      <c r="F34" s="14">
        <f t="shared" si="1"/>
        <v>1.0592769170824312</v>
      </c>
      <c r="G34" s="14">
        <f t="shared" si="2"/>
        <v>33</v>
      </c>
      <c r="H34" s="14">
        <f t="shared" si="3"/>
        <v>3.3666666666666667</v>
      </c>
      <c r="I34" s="14">
        <f t="shared" si="4"/>
        <v>-0.5708053189946205</v>
      </c>
      <c r="J34" s="14">
        <f t="shared" ref="J34:J40" si="6">J33 + 4.3</f>
        <v>-15.7</v>
      </c>
      <c r="K34" s="14">
        <f t="shared" ref="K34:K40" si="7">COUNTIF($C$2:$C$39,"&lt;="&amp;J34)-COUNTIF($C$2:$C$39,"&lt;="&amp;J33)</f>
        <v>3</v>
      </c>
      <c r="L34" s="14">
        <f t="shared" si="5"/>
        <v>3.1705092376708301</v>
      </c>
      <c r="M34" s="14">
        <v>5.8936945059480592E-2</v>
      </c>
    </row>
    <row r="35" spans="1:13">
      <c r="A35" s="16">
        <v>-18.700000000000003</v>
      </c>
      <c r="B35" s="16">
        <f>_xlfn.RANK.EQ(C35,$C:$C,1)+COUNTIF($C$2:C35,C35)-1</f>
        <v>2</v>
      </c>
      <c r="C35" s="16">
        <f t="shared" si="0"/>
        <v>-18.700000000000003</v>
      </c>
      <c r="D35" s="16">
        <v>-6.9666666666666659</v>
      </c>
      <c r="F35" s="14">
        <f t="shared" si="1"/>
        <v>1.1829168441908862</v>
      </c>
      <c r="G35" s="14">
        <f t="shared" si="2"/>
        <v>34</v>
      </c>
      <c r="H35" s="14">
        <f t="shared" si="3"/>
        <v>3.6666666666666665</v>
      </c>
      <c r="I35" s="14">
        <f t="shared" si="4"/>
        <v>-0.48401644343728545</v>
      </c>
      <c r="J35" s="14">
        <f t="shared" si="6"/>
        <v>-11.399999999999999</v>
      </c>
      <c r="K35" s="14">
        <f t="shared" si="7"/>
        <v>2</v>
      </c>
      <c r="L35" s="14">
        <f t="shared" si="5"/>
        <v>7.9343231750223397</v>
      </c>
    </row>
    <row r="36" spans="1:13">
      <c r="A36" s="16">
        <v>5.8999999999999995</v>
      </c>
      <c r="B36" s="16">
        <f>_xlfn.RANK.EQ(C36,$C:$C,1)+COUNTIF($C$2:C36,C36)-1</f>
        <v>38</v>
      </c>
      <c r="C36" s="16">
        <f t="shared" si="0"/>
        <v>5.8999999999999995</v>
      </c>
      <c r="D36" s="16" t="s">
        <v>93</v>
      </c>
      <c r="E36" s="17">
        <f>-NORMSINV((1-D22)/2)*SQRT((E12-1)*(1+1/E12)/CHIINV(D31,E12-1))</f>
        <v>2.4615396090870374</v>
      </c>
      <c r="F36" s="14">
        <f t="shared" si="1"/>
        <v>1.3279018717558344</v>
      </c>
      <c r="G36" s="14">
        <f t="shared" si="2"/>
        <v>35</v>
      </c>
      <c r="H36" s="14">
        <f t="shared" si="3"/>
        <v>3.6999999999999997</v>
      </c>
      <c r="I36" s="14">
        <f t="shared" si="4"/>
        <v>-0.32503152583315392</v>
      </c>
      <c r="J36" s="14">
        <f t="shared" si="6"/>
        <v>-7.0999999999999988</v>
      </c>
      <c r="K36" s="14">
        <f t="shared" si="7"/>
        <v>14</v>
      </c>
      <c r="L36" s="14">
        <f t="shared" si="5"/>
        <v>13.01695959502303</v>
      </c>
    </row>
    <row r="37" spans="1:13">
      <c r="A37" s="16">
        <v>-4.7</v>
      </c>
      <c r="B37" s="16">
        <f>_xlfn.RANK.EQ(C37,$C:$C,1)+COUNTIF($C$2:C37,C37)-1</f>
        <v>27</v>
      </c>
      <c r="C37" s="16">
        <f t="shared" si="0"/>
        <v>-4.7</v>
      </c>
      <c r="D37" s="16" t="s">
        <v>94</v>
      </c>
      <c r="E37" s="17">
        <f>(-NORMSINV(1-D22)+SQRT((NORMSINV(1-D22))^2-(1-(NORMSINV(1-D31))^2/(2*(E12-1)))*((-NORMSINV(1-D22))^2--NORMSINV(1-D31)^2/E12)))/(1-(NORMSINV(1-D31))^2/(2*(E12-1)))</f>
        <v>2.1320903859151921</v>
      </c>
      <c r="F37" s="14">
        <f t="shared" si="1"/>
        <v>1.5079045914405591</v>
      </c>
      <c r="G37" s="14">
        <f t="shared" si="2"/>
        <v>36</v>
      </c>
      <c r="H37" s="14">
        <f t="shared" si="3"/>
        <v>5.7333333333333334</v>
      </c>
      <c r="I37" s="14">
        <f t="shared" si="4"/>
        <v>-0.1478596570554889</v>
      </c>
      <c r="J37" s="14">
        <f t="shared" si="6"/>
        <v>-2.7999999999999989</v>
      </c>
      <c r="K37" s="14">
        <f t="shared" si="7"/>
        <v>9</v>
      </c>
      <c r="L37" s="14">
        <f t="shared" si="5"/>
        <v>14</v>
      </c>
    </row>
    <row r="38" spans="1:13">
      <c r="A38" s="16">
        <v>-9.8333333333333339</v>
      </c>
      <c r="B38" s="16">
        <f>_xlfn.RANK.EQ(C38,$C:$C,1)+COUNTIF($C$2:C38,C38)-1</f>
        <v>11</v>
      </c>
      <c r="C38" s="16">
        <f t="shared" si="0"/>
        <v>-9.8333333333333339</v>
      </c>
      <c r="D38" s="16">
        <v>-8.0666666666666664</v>
      </c>
      <c r="F38" s="14">
        <f t="shared" si="1"/>
        <v>1.7568266072519048</v>
      </c>
      <c r="G38" s="14">
        <f t="shared" si="2"/>
        <v>37</v>
      </c>
      <c r="H38" s="14">
        <f t="shared" si="3"/>
        <v>5.7666666666666657</v>
      </c>
      <c r="I38" s="14">
        <f t="shared" si="4"/>
        <v>-0.12603168657677571</v>
      </c>
      <c r="J38" s="14">
        <f t="shared" si="6"/>
        <v>1.5000000000000009</v>
      </c>
      <c r="K38" s="14">
        <f t="shared" si="7"/>
        <v>3</v>
      </c>
      <c r="L38" s="14">
        <f t="shared" si="5"/>
        <v>9.8710947937081279</v>
      </c>
    </row>
    <row r="39" spans="1:13">
      <c r="A39" s="16">
        <v>-8.4999999999999982</v>
      </c>
      <c r="B39" s="16">
        <f>_xlfn.RANK.EQ(C39,$C:$C,1)+COUNTIF($C$2:C39,C39)-1</f>
        <v>16</v>
      </c>
      <c r="C39" s="16">
        <f t="shared" si="0"/>
        <v>-8.4999999999999982</v>
      </c>
      <c r="D39" s="16" t="s">
        <v>96</v>
      </c>
      <c r="E39" s="17">
        <f>SMALL($A:C,MAX(1,INT((E$12-_xlfn.BINOM.INV(E$12,D$40,D$31))/2)))</f>
        <v>-19.866666666666667</v>
      </c>
      <c r="F39" s="14">
        <f t="shared" si="1"/>
        <v>2.2215195883378365</v>
      </c>
      <c r="G39" s="14">
        <f t="shared" si="2"/>
        <v>38</v>
      </c>
      <c r="H39" s="14">
        <f t="shared" si="3"/>
        <v>5.8999999999999995</v>
      </c>
      <c r="I39" s="14">
        <f t="shared" si="4"/>
        <v>-0.1052462566058799</v>
      </c>
      <c r="J39" s="14">
        <f t="shared" si="6"/>
        <v>5.8000000000000007</v>
      </c>
      <c r="K39" s="14">
        <f t="shared" si="7"/>
        <v>6</v>
      </c>
      <c r="L39" s="14">
        <f t="shared" si="5"/>
        <v>4.5626947756230738</v>
      </c>
    </row>
    <row r="40" spans="1:13">
      <c r="D40" s="14">
        <v>0.95</v>
      </c>
      <c r="E40" s="17">
        <f>SMALL($A:C,MIN(E$12,INT(E$12+1-(E$12-_xlfn.BINOM.INV(E$12,D$40,D$31))/2)))</f>
        <v>-7.2666666666666666</v>
      </c>
      <c r="J40" s="14">
        <f t="shared" si="6"/>
        <v>10.100000000000001</v>
      </c>
      <c r="K40" s="14">
        <f t="shared" si="7"/>
        <v>1</v>
      </c>
      <c r="L40" s="14">
        <f t="shared" si="5"/>
        <v>1.3825992600240249</v>
      </c>
    </row>
    <row r="42" spans="1:13">
      <c r="D42" s="14" t="s">
        <v>69</v>
      </c>
      <c r="E42" s="17">
        <v>0.5</v>
      </c>
    </row>
  </sheetData>
  <pageMargins left="0.7" right="0.7" top="0.75" bottom="0.75" header="0.3" footer="0.3"/>
  <pageSetup scale="3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DD38-EEB5-4F5B-96F9-D0B350246C2A}">
  <sheetPr>
    <tabColor rgb="FF66FF66"/>
    <pageSetUpPr fitToPage="1"/>
  </sheetPr>
  <dimension ref="A1:M42"/>
  <sheetViews>
    <sheetView topLeftCell="B1" zoomScale="41" zoomScaleNormal="41" workbookViewId="0">
      <selection activeCell="C1" sqref="C1"/>
    </sheetView>
  </sheetViews>
  <sheetFormatPr defaultRowHeight="31.5"/>
  <cols>
    <col min="1" max="1" width="35.28515625" style="14" customWidth="1"/>
    <col min="2" max="2" width="9.28515625" style="14" bestFit="1" customWidth="1"/>
    <col min="3" max="3" width="14.42578125" style="14" bestFit="1" customWidth="1"/>
    <col min="4" max="4" width="18.85546875" style="14" bestFit="1" customWidth="1"/>
    <col min="5" max="5" width="17.28515625" style="17" bestFit="1" customWidth="1"/>
    <col min="6" max="10" width="9.28515625" style="14" bestFit="1" customWidth="1"/>
    <col min="11" max="11" width="17.28515625" style="14" bestFit="1" customWidth="1"/>
    <col min="12" max="12" width="9.28515625" style="14" bestFit="1" customWidth="1"/>
    <col min="13" max="13" width="4.85546875" style="14" customWidth="1"/>
    <col min="14" max="16384" width="9.140625" style="14"/>
  </cols>
  <sheetData>
    <row r="1" spans="1:12" ht="63">
      <c r="A1" s="23" t="s">
        <v>14</v>
      </c>
      <c r="B1" s="14" t="s">
        <v>70</v>
      </c>
      <c r="D1" s="14" t="s">
        <v>71</v>
      </c>
      <c r="E1" s="15" t="str">
        <f>IF(E2&gt;E5,"Non-Normal at 0.01",IF(E2&gt;E4,"Non-Normal at 0.05","Data is Normal"))</f>
        <v>Data is Normal</v>
      </c>
      <c r="K1" s="14" t="s">
        <v>98</v>
      </c>
    </row>
    <row r="2" spans="1:12">
      <c r="A2" s="23">
        <v>-4.4666666666666677</v>
      </c>
      <c r="B2" s="14">
        <f>_xlfn.RANK.EQ(C2,$C:$C,1)+COUNTIF($C$2:C2,C2)-1</f>
        <v>6</v>
      </c>
      <c r="C2" s="16">
        <f t="shared" ref="C2:C39" si="0">A2</f>
        <v>-4.4666666666666677</v>
      </c>
      <c r="D2" s="14" t="s">
        <v>72</v>
      </c>
      <c r="E2" s="17">
        <f>ABS(E12-ABS(SUM(I:I)))</f>
        <v>0.53503269090337824</v>
      </c>
      <c r="F2" s="14">
        <f t="shared" ref="F2:F39" si="1">_xlfn.NORM.S.INV((G2-0.5)/E$12)</f>
        <v>-2.2215195883378365</v>
      </c>
      <c r="G2" s="14">
        <f t="shared" ref="G2:G39" si="2">ROW(G2)-1</f>
        <v>1</v>
      </c>
      <c r="H2" s="14">
        <f t="shared" ref="H2:H39" si="3">VLOOKUP(G2,$B:$C,2,FALSE)</f>
        <v>-11.533333333333333</v>
      </c>
      <c r="I2" s="14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-0.18265821343168642</v>
      </c>
      <c r="K2" s="14">
        <f>E2*(1+0.75/E12+2.25/E12^2)</f>
        <v>0.54642621946659065</v>
      </c>
    </row>
    <row r="3" spans="1:12">
      <c r="A3" s="23">
        <v>7.0999999999999988</v>
      </c>
      <c r="B3" s="14">
        <f>_xlfn.RANK.EQ(C3,$C:$C,1)+COUNTIF($C$2:C3,C3)-1</f>
        <v>19</v>
      </c>
      <c r="C3" s="16">
        <f t="shared" si="0"/>
        <v>7.0999999999999988</v>
      </c>
      <c r="D3" s="20" t="s">
        <v>97</v>
      </c>
      <c r="E3" s="17">
        <f>IF(K2&lt;0.2,K6,IF(K2&lt;0.34,K5,IF(K2&lt;0.6,K4,IF(K2&lt;13,K3,0))))</f>
        <v>0.16001296760841352</v>
      </c>
      <c r="F3" s="14">
        <f t="shared" si="1"/>
        <v>-1.7568266072519048</v>
      </c>
      <c r="G3" s="14">
        <f t="shared" si="2"/>
        <v>2</v>
      </c>
      <c r="H3" s="14">
        <f t="shared" si="3"/>
        <v>-5.5333333333333341</v>
      </c>
      <c r="I3" s="14">
        <f t="shared" si="4"/>
        <v>-0.42216364116561911</v>
      </c>
      <c r="K3" s="14">
        <f>EXP(1.2937-5.709*K2+0.0186*K2^2)</f>
        <v>0.16197817599144018</v>
      </c>
    </row>
    <row r="4" spans="1:12">
      <c r="A4" s="23">
        <v>13.633333333333333</v>
      </c>
      <c r="B4" s="14">
        <f>_xlfn.RANK.EQ(C4,$C:$C,1)+COUNTIF($C$2:C4,C4)-1</f>
        <v>31</v>
      </c>
      <c r="C4" s="16">
        <f t="shared" si="0"/>
        <v>13.633333333333333</v>
      </c>
      <c r="D4" s="14" t="s">
        <v>73</v>
      </c>
      <c r="E4" s="17">
        <v>0.78700000000000003</v>
      </c>
      <c r="F4" s="14">
        <f t="shared" si="1"/>
        <v>-1.5079045914405589</v>
      </c>
      <c r="G4" s="14">
        <f t="shared" si="2"/>
        <v>3</v>
      </c>
      <c r="H4" s="14">
        <f t="shared" si="3"/>
        <v>-4.9666666666666659</v>
      </c>
      <c r="I4" s="14">
        <f t="shared" si="4"/>
        <v>-0.65938728127272306</v>
      </c>
      <c r="K4" s="14">
        <f>EXP(0.9177-4.279*K2-1.38*K2^2)</f>
        <v>0.16001296760841352</v>
      </c>
    </row>
    <row r="5" spans="1:12">
      <c r="A5" s="23">
        <v>15.933333333333335</v>
      </c>
      <c r="B5" s="14">
        <f>_xlfn.RANK.EQ(C5,$C:$C,1)+COUNTIF($C$2:C5,C5)-1</f>
        <v>33</v>
      </c>
      <c r="C5" s="16">
        <f t="shared" si="0"/>
        <v>15.933333333333335</v>
      </c>
      <c r="D5" s="14" t="s">
        <v>74</v>
      </c>
      <c r="E5" s="17">
        <v>1.0920000000000001</v>
      </c>
      <c r="F5" s="14">
        <f t="shared" si="1"/>
        <v>-1.3279018717558333</v>
      </c>
      <c r="G5" s="14">
        <f t="shared" si="2"/>
        <v>4</v>
      </c>
      <c r="H5" s="14">
        <f t="shared" si="3"/>
        <v>-4.7</v>
      </c>
      <c r="I5" s="14">
        <f t="shared" si="4"/>
        <v>-0.9032290741922806</v>
      </c>
      <c r="K5" s="14">
        <f>1-EXP(-8.318+42.796*K2-59.938*K2^2)</f>
        <v>0.94095930050322241</v>
      </c>
    </row>
    <row r="6" spans="1:12">
      <c r="A6" s="23">
        <v>18.366666666666667</v>
      </c>
      <c r="B6" s="14">
        <f>_xlfn.RANK.EQ(C6,$C:$C,1)+COUNTIF($C$2:C6,C6)-1</f>
        <v>34</v>
      </c>
      <c r="C6" s="16">
        <f t="shared" si="0"/>
        <v>18.366666666666667</v>
      </c>
      <c r="D6" s="14" t="s">
        <v>75</v>
      </c>
      <c r="E6" s="17">
        <f>AVERAGE($A:$A)</f>
        <v>6.3833333333333337</v>
      </c>
      <c r="F6" s="14">
        <f t="shared" si="1"/>
        <v>-1.1829168441908862</v>
      </c>
      <c r="G6" s="14">
        <f t="shared" si="2"/>
        <v>5</v>
      </c>
      <c r="H6" s="14">
        <f t="shared" si="3"/>
        <v>-4.6333333333333329</v>
      </c>
      <c r="I6" s="14">
        <f t="shared" si="4"/>
        <v>-1.1545138239809567</v>
      </c>
      <c r="J6" s="14">
        <f>AVERAGE(H:H)</f>
        <v>6.3833333333333329</v>
      </c>
      <c r="K6" s="14">
        <f>1-EXP(-13.436+101.14*K2-223.73*K2^2)</f>
        <v>0.99999999998571931</v>
      </c>
    </row>
    <row r="7" spans="1:12">
      <c r="A7" s="23">
        <v>5.666666666666667</v>
      </c>
      <c r="B7" s="14">
        <f>_xlfn.RANK.EQ(C7,$C:$C,1)+COUNTIF($C$2:C7,C7)-1</f>
        <v>18</v>
      </c>
      <c r="C7" s="16">
        <f t="shared" si="0"/>
        <v>5.666666666666667</v>
      </c>
      <c r="D7" s="14" t="s">
        <v>76</v>
      </c>
      <c r="E7" s="17">
        <f ca="1">_xlfn.MODE.SNGL(OFFSET($A$2,0,0,COUNT($A:$A),1))</f>
        <v>12</v>
      </c>
      <c r="F7" s="14">
        <f t="shared" si="1"/>
        <v>-1.0592769170824312</v>
      </c>
      <c r="G7" s="14">
        <f t="shared" si="2"/>
        <v>6</v>
      </c>
      <c r="H7" s="14">
        <f t="shared" si="3"/>
        <v>-4.4666666666666677</v>
      </c>
      <c r="I7" s="14">
        <f t="shared" si="4"/>
        <v>-1.2560515241372547</v>
      </c>
    </row>
    <row r="8" spans="1:12">
      <c r="A8" s="23">
        <v>-2.4666666666666668</v>
      </c>
      <c r="B8" s="14">
        <f>_xlfn.RANK.EQ(C8,$C:$C,1)+COUNTIF($C$2:C8,C8)-1</f>
        <v>9</v>
      </c>
      <c r="C8" s="16">
        <f t="shared" si="0"/>
        <v>-2.4666666666666668</v>
      </c>
      <c r="D8" s="14" t="s">
        <v>77</v>
      </c>
      <c r="E8" s="17">
        <f>_xlfn.STDEV.S($A:$A)</f>
        <v>8.4794637982779477</v>
      </c>
      <c r="F8" s="14">
        <f t="shared" si="1"/>
        <v>-0.95001375566931956</v>
      </c>
      <c r="G8" s="14">
        <f t="shared" si="2"/>
        <v>7</v>
      </c>
      <c r="H8" s="14">
        <f t="shared" si="3"/>
        <v>-4.3</v>
      </c>
      <c r="I8" s="14">
        <f t="shared" si="4"/>
        <v>-1.3356304549242202</v>
      </c>
      <c r="J8" s="14">
        <f>_xlfn.STDEV.S(H:H)</f>
        <v>8.4794637982779477</v>
      </c>
    </row>
    <row r="9" spans="1:12">
      <c r="A9" s="23">
        <v>4.9666666666666659</v>
      </c>
      <c r="B9" s="14">
        <f>_xlfn.RANK.EQ(C9,$C:$C,1)+COUNTIF($C$2:C9,C9)-1</f>
        <v>17</v>
      </c>
      <c r="C9" s="16">
        <f t="shared" si="0"/>
        <v>4.9666666666666659</v>
      </c>
      <c r="D9" s="14" t="s">
        <v>78</v>
      </c>
      <c r="E9" s="17">
        <f>_xlfn.VAR.S($A:$A)</f>
        <v>71.901306306306282</v>
      </c>
      <c r="F9" s="14">
        <f t="shared" si="1"/>
        <v>-0.85105852683856875</v>
      </c>
      <c r="G9" s="14">
        <f t="shared" si="2"/>
        <v>8</v>
      </c>
      <c r="H9" s="14">
        <f t="shared" si="3"/>
        <v>-4.0333333333333332</v>
      </c>
      <c r="I9" s="14">
        <f t="shared" si="4"/>
        <v>-1.5153241037379042</v>
      </c>
    </row>
    <row r="10" spans="1:12">
      <c r="A10" s="23">
        <v>-4.9666666666666659</v>
      </c>
      <c r="B10" s="14">
        <f>_xlfn.RANK.EQ(C10,$C:$C,1)+COUNTIF($C$2:C10,C10)-1</f>
        <v>3</v>
      </c>
      <c r="C10" s="16">
        <f t="shared" si="0"/>
        <v>-4.9666666666666659</v>
      </c>
      <c r="D10" s="14" t="s">
        <v>79</v>
      </c>
      <c r="E10" s="17">
        <f>SKEW($A:$A)</f>
        <v>-0.16609716047605122</v>
      </c>
      <c r="F10" s="14">
        <f t="shared" si="1"/>
        <v>-0.75980957100991864</v>
      </c>
      <c r="G10" s="14">
        <f t="shared" si="2"/>
        <v>9</v>
      </c>
      <c r="H10" s="14">
        <f t="shared" si="3"/>
        <v>-2.4666666666666668</v>
      </c>
      <c r="I10" s="14">
        <f t="shared" si="4"/>
        <v>-1.5625299781619684</v>
      </c>
    </row>
    <row r="11" spans="1:12">
      <c r="A11" s="23">
        <v>-5.5333333333333341</v>
      </c>
      <c r="B11" s="14">
        <f>_xlfn.RANK.EQ(C11,$C:$C,1)+COUNTIF($C$2:C11,C11)-1</f>
        <v>2</v>
      </c>
      <c r="C11" s="16">
        <f t="shared" si="0"/>
        <v>-5.5333333333333341</v>
      </c>
      <c r="D11" s="14" t="s">
        <v>80</v>
      </c>
      <c r="E11" s="17">
        <f>KURT($A:$A)</f>
        <v>-0.96823677792708729</v>
      </c>
      <c r="F11" s="14">
        <f t="shared" si="1"/>
        <v>-0.67448975019608193</v>
      </c>
      <c r="G11" s="14">
        <f t="shared" si="2"/>
        <v>10</v>
      </c>
      <c r="H11" s="14">
        <f t="shared" si="3"/>
        <v>-2.1333333333333333</v>
      </c>
      <c r="I11" s="14">
        <f t="shared" si="4"/>
        <v>-1.6997668665063845</v>
      </c>
      <c r="J11" s="14">
        <f>COUNT($A:$A)</f>
        <v>38</v>
      </c>
    </row>
    <row r="12" spans="1:12">
      <c r="A12" s="23">
        <v>12.299999999999999</v>
      </c>
      <c r="B12" s="14">
        <f>_xlfn.RANK.EQ(C12,$C:$C,1)+COUNTIF($C$2:C12,C12)-1</f>
        <v>27</v>
      </c>
      <c r="C12" s="16">
        <f t="shared" si="0"/>
        <v>12.299999999999999</v>
      </c>
      <c r="D12" s="14" t="s">
        <v>81</v>
      </c>
      <c r="E12" s="17">
        <f>COUNT($A:$A)</f>
        <v>38</v>
      </c>
      <c r="F12" s="14">
        <f t="shared" si="1"/>
        <v>-0.59382139299351966</v>
      </c>
      <c r="G12" s="14">
        <f t="shared" si="2"/>
        <v>11</v>
      </c>
      <c r="H12" s="14">
        <f t="shared" si="3"/>
        <v>1.8333333333333333</v>
      </c>
      <c r="I12" s="14">
        <f t="shared" si="4"/>
        <v>-1.5160020475736335</v>
      </c>
      <c r="K12" s="14" t="e">
        <f>NA()</f>
        <v>#N/A</v>
      </c>
    </row>
    <row r="13" spans="1:12">
      <c r="A13" s="23">
        <v>8.5666666666666682</v>
      </c>
      <c r="B13" s="14">
        <f>_xlfn.RANK.EQ(C13,$C:$C,1)+COUNTIF($C$2:C13,C13)-1</f>
        <v>23</v>
      </c>
      <c r="C13" s="16">
        <f t="shared" si="0"/>
        <v>8.5666666666666682</v>
      </c>
      <c r="D13" s="14" t="s">
        <v>82</v>
      </c>
      <c r="E13" s="17">
        <f>E8/SQRT(E12)</f>
        <v>1.3755506677835023</v>
      </c>
      <c r="F13" s="14">
        <f t="shared" si="1"/>
        <v>-0.51684672765260964</v>
      </c>
      <c r="G13" s="14">
        <f t="shared" si="2"/>
        <v>12</v>
      </c>
      <c r="H13" s="14">
        <f t="shared" si="3"/>
        <v>2.2333333333333334</v>
      </c>
      <c r="I13" s="14">
        <f t="shared" si="4"/>
        <v>-1.5615559069254932</v>
      </c>
      <c r="J13" s="14">
        <v>1</v>
      </c>
      <c r="K13" s="14" t="e">
        <f>IF(E15-E14&gt;1.5*(E17-E15),E14,NA())</f>
        <v>#N/A</v>
      </c>
      <c r="L13" s="14">
        <v>1</v>
      </c>
    </row>
    <row r="14" spans="1:12">
      <c r="A14" s="23">
        <v>18.433333333333334</v>
      </c>
      <c r="B14" s="14">
        <f>_xlfn.RANK.EQ(C14,$C:$C,1)+COUNTIF($C$2:C14,C14)-1</f>
        <v>35</v>
      </c>
      <c r="C14" s="16">
        <f t="shared" si="0"/>
        <v>18.433333333333334</v>
      </c>
      <c r="D14" s="14" t="s">
        <v>83</v>
      </c>
      <c r="E14" s="17">
        <f>MIN($A:$A)</f>
        <v>-11.533333333333333</v>
      </c>
      <c r="F14" s="14">
        <f t="shared" si="1"/>
        <v>-0.44282165759651121</v>
      </c>
      <c r="G14" s="14">
        <f t="shared" si="2"/>
        <v>13</v>
      </c>
      <c r="H14" s="14">
        <f t="shared" si="3"/>
        <v>2.5333333333333332</v>
      </c>
      <c r="I14" s="14">
        <f t="shared" si="4"/>
        <v>-1.6415781156245881</v>
      </c>
      <c r="K14" s="17">
        <f>MIN(E15-E14,(E17-E15))</f>
        <v>10.391666666666666</v>
      </c>
    </row>
    <row r="15" spans="1:12">
      <c r="A15" s="23">
        <v>4.333333333333333</v>
      </c>
      <c r="B15" s="14">
        <f>_xlfn.RANK.EQ(C15,$C:$C,1)+COUNTIF($C$2:C15,C15)-1</f>
        <v>16</v>
      </c>
      <c r="C15" s="16">
        <f t="shared" si="0"/>
        <v>4.333333333333333</v>
      </c>
      <c r="D15" s="14" t="s">
        <v>84</v>
      </c>
      <c r="E15" s="17">
        <f>_xlfn.QUARTILE.INC($A:$A,1)</f>
        <v>-1.1416666666666666</v>
      </c>
      <c r="F15" s="14">
        <f t="shared" si="1"/>
        <v>-0.37114932320228394</v>
      </c>
      <c r="G15" s="14">
        <f t="shared" si="2"/>
        <v>14</v>
      </c>
      <c r="H15" s="14">
        <f t="shared" si="3"/>
        <v>2.7666666666666671</v>
      </c>
      <c r="I15" s="14">
        <f t="shared" si="4"/>
        <v>-1.7514424604933474</v>
      </c>
      <c r="K15" s="14">
        <v>-1.1416666666666666</v>
      </c>
    </row>
    <row r="16" spans="1:12">
      <c r="A16" s="23">
        <v>8.4</v>
      </c>
      <c r="B16" s="14">
        <f>_xlfn.RANK.EQ(C16,$C:$C,1)+COUNTIF($C$2:C16,C16)-1</f>
        <v>22</v>
      </c>
      <c r="C16" s="16">
        <f t="shared" si="0"/>
        <v>8.4</v>
      </c>
      <c r="D16" s="14" t="s">
        <v>85</v>
      </c>
      <c r="E16" s="17">
        <f>MEDIAN($A:$A)</f>
        <v>7.1499999999999995</v>
      </c>
      <c r="F16" s="14">
        <f t="shared" si="1"/>
        <v>-0.30133652085957613</v>
      </c>
      <c r="G16" s="14">
        <f t="shared" si="2"/>
        <v>15</v>
      </c>
      <c r="H16" s="14">
        <f t="shared" si="3"/>
        <v>3.8333333333333335</v>
      </c>
      <c r="I16" s="14">
        <f t="shared" si="4"/>
        <v>-1.5311560217455586</v>
      </c>
      <c r="K16" s="14">
        <v>8.2916666666666661</v>
      </c>
    </row>
    <row r="17" spans="1:12">
      <c r="A17" s="23">
        <v>-4.3</v>
      </c>
      <c r="B17" s="14">
        <f>_xlfn.RANK.EQ(C17,$C:$C,1)+COUNTIF($C$2:C17,C17)-1</f>
        <v>7</v>
      </c>
      <c r="C17" s="16">
        <f t="shared" si="0"/>
        <v>-4.3</v>
      </c>
      <c r="D17" s="14" t="s">
        <v>86</v>
      </c>
      <c r="E17" s="17">
        <f>_xlfn.QUARTILE.INC($A:$A,3)</f>
        <v>13.125</v>
      </c>
      <c r="F17" s="14">
        <f t="shared" si="1"/>
        <v>-0.23296385427137245</v>
      </c>
      <c r="G17" s="14">
        <f t="shared" si="2"/>
        <v>16</v>
      </c>
      <c r="H17" s="14">
        <f t="shared" si="3"/>
        <v>4.333333333333333</v>
      </c>
      <c r="I17" s="14">
        <f t="shared" si="4"/>
        <v>-1.4891739446706769</v>
      </c>
      <c r="K17" s="14">
        <v>5.9750000000000005</v>
      </c>
    </row>
    <row r="18" spans="1:12">
      <c r="A18" s="23">
        <v>7.2</v>
      </c>
      <c r="B18" s="14">
        <f>_xlfn.RANK.EQ(C18,$C:$C,1)+COUNTIF($C$2:C18,C18)-1</f>
        <v>20</v>
      </c>
      <c r="C18" s="16">
        <f t="shared" si="0"/>
        <v>7.2</v>
      </c>
      <c r="D18" s="14" t="s">
        <v>87</v>
      </c>
      <c r="E18" s="17">
        <f>MAX($A:$A)</f>
        <v>19.866666666666667</v>
      </c>
      <c r="F18" s="14">
        <f t="shared" si="1"/>
        <v>-0.1656644138685531</v>
      </c>
      <c r="G18" s="14">
        <f t="shared" si="2"/>
        <v>17</v>
      </c>
      <c r="H18" s="14">
        <f t="shared" si="3"/>
        <v>4.9666666666666659</v>
      </c>
      <c r="I18" s="14">
        <f t="shared" si="4"/>
        <v>-1.5083485785015005</v>
      </c>
      <c r="K18" s="17">
        <f>MIN(E18-E17,(E17-E15))</f>
        <v>6.7416666666666671</v>
      </c>
    </row>
    <row r="19" spans="1:12">
      <c r="A19" s="23">
        <v>8.2666666666666675</v>
      </c>
      <c r="B19" s="14">
        <f>_xlfn.RANK.EQ(C19,$C:$C,1)+COUNTIF($C$2:C19,C19)-1</f>
        <v>21</v>
      </c>
      <c r="C19" s="16">
        <f t="shared" si="0"/>
        <v>8.2666666666666675</v>
      </c>
      <c r="D19" s="14" t="s">
        <v>88</v>
      </c>
      <c r="E19" s="17">
        <f>E18-E14</f>
        <v>31.4</v>
      </c>
      <c r="F19" s="14">
        <f t="shared" si="1"/>
        <v>-9.9107859822899172E-2</v>
      </c>
      <c r="G19" s="14">
        <f t="shared" si="2"/>
        <v>18</v>
      </c>
      <c r="H19" s="14">
        <f t="shared" si="3"/>
        <v>5.666666666666667</v>
      </c>
      <c r="I19" s="14">
        <f t="shared" si="4"/>
        <v>-1.5191185031337942</v>
      </c>
      <c r="J19" s="14">
        <v>1</v>
      </c>
      <c r="K19" s="14" t="e">
        <f>IF(E18-E17&gt;1.5*(E17-E15),E18,NA())</f>
        <v>#N/A</v>
      </c>
      <c r="L19" s="14">
        <v>1</v>
      </c>
    </row>
    <row r="20" spans="1:12">
      <c r="A20" s="23">
        <v>2.7666666666666671</v>
      </c>
      <c r="B20" s="14">
        <f>_xlfn.RANK.EQ(C20,$C:$C,1)+COUNTIF($C$2:C20,C20)-1</f>
        <v>14</v>
      </c>
      <c r="C20" s="16">
        <f t="shared" si="0"/>
        <v>2.7666666666666671</v>
      </c>
      <c r="D20" s="14" t="s">
        <v>89</v>
      </c>
      <c r="E20" s="17">
        <f>_xlfn.T.INV.2T((1-D22),E12-1)*E8/SQRT(E12)</f>
        <v>2.7871303955775901</v>
      </c>
      <c r="F20" s="14">
        <f t="shared" si="1"/>
        <v>-3.2987932937402764E-2</v>
      </c>
      <c r="G20" s="14">
        <f t="shared" si="2"/>
        <v>19</v>
      </c>
      <c r="H20" s="14">
        <f t="shared" si="3"/>
        <v>7.0999999999999988</v>
      </c>
      <c r="I20" s="14">
        <f t="shared" si="4"/>
        <v>-1.3640733586187415</v>
      </c>
      <c r="K20" s="14" t="e">
        <f>NA()</f>
        <v>#N/A</v>
      </c>
    </row>
    <row r="21" spans="1:12">
      <c r="A21" s="23">
        <v>12</v>
      </c>
      <c r="B21" s="14">
        <f>_xlfn.RANK.EQ(C21,$C:$C,1)+COUNTIF($C$2:C21,C21)-1</f>
        <v>25</v>
      </c>
      <c r="C21" s="16">
        <f t="shared" si="0"/>
        <v>12</v>
      </c>
      <c r="D21" s="14" t="s">
        <v>90</v>
      </c>
      <c r="E21" s="17">
        <f>E$6-E20</f>
        <v>3.5962029377557436</v>
      </c>
      <c r="F21" s="14">
        <f t="shared" si="1"/>
        <v>3.2987932937402903E-2</v>
      </c>
      <c r="G21" s="14">
        <f t="shared" si="2"/>
        <v>20</v>
      </c>
      <c r="H21" s="14">
        <f t="shared" si="3"/>
        <v>7.2</v>
      </c>
      <c r="I21" s="14">
        <f t="shared" si="4"/>
        <v>-1.4184709875421238</v>
      </c>
      <c r="J21" s="14" t="str">
        <f>$D$6</f>
        <v>Mean</v>
      </c>
      <c r="K21" s="17">
        <f>$E$6</f>
        <v>6.3833333333333337</v>
      </c>
      <c r="L21" s="14">
        <v>2</v>
      </c>
    </row>
    <row r="22" spans="1:12">
      <c r="A22" s="23">
        <v>13.166666666666666</v>
      </c>
      <c r="B22" s="14">
        <f>_xlfn.RANK.EQ(C22,$C:$C,1)+COUNTIF($C$2:C22,C22)-1</f>
        <v>29</v>
      </c>
      <c r="C22" s="16">
        <f t="shared" si="0"/>
        <v>13.166666666666666</v>
      </c>
      <c r="D22" s="14">
        <v>0.95</v>
      </c>
      <c r="E22" s="17">
        <f>E$6+E20</f>
        <v>9.1704637289109243</v>
      </c>
      <c r="F22" s="14">
        <f t="shared" si="1"/>
        <v>9.9107859822899172E-2</v>
      </c>
      <c r="G22" s="14">
        <f t="shared" si="2"/>
        <v>21</v>
      </c>
      <c r="H22" s="14">
        <f t="shared" si="3"/>
        <v>8.2666666666666675</v>
      </c>
      <c r="I22" s="14">
        <f t="shared" si="4"/>
        <v>-1.2507037327783517</v>
      </c>
      <c r="K22" s="17">
        <f>$E$21</f>
        <v>3.5962029377557436</v>
      </c>
      <c r="L22" s="14">
        <v>2</v>
      </c>
    </row>
    <row r="23" spans="1:12">
      <c r="A23" s="23">
        <v>-11.533333333333333</v>
      </c>
      <c r="B23" s="14">
        <f>_xlfn.RANK.EQ(C23,$C:$C,1)+COUNTIF($C$2:C23,C23)-1</f>
        <v>1</v>
      </c>
      <c r="C23" s="16">
        <f t="shared" si="0"/>
        <v>-11.533333333333333</v>
      </c>
      <c r="F23" s="14">
        <f t="shared" si="1"/>
        <v>0.1656644138685531</v>
      </c>
      <c r="G23" s="14">
        <f t="shared" si="2"/>
        <v>22</v>
      </c>
      <c r="H23" s="14">
        <f t="shared" si="3"/>
        <v>8.4</v>
      </c>
      <c r="I23" s="14">
        <f t="shared" si="4"/>
        <v>-1.2327909908402146</v>
      </c>
      <c r="K23" s="17">
        <f>$E$22</f>
        <v>9.1704637289109243</v>
      </c>
      <c r="L23" s="14">
        <v>2</v>
      </c>
    </row>
    <row r="24" spans="1:12">
      <c r="A24" s="23">
        <v>19.600000000000001</v>
      </c>
      <c r="B24" s="14">
        <f>_xlfn.RANK.EQ(C24,$C:$C,1)+COUNTIF($C$2:C24,C24)-1</f>
        <v>37</v>
      </c>
      <c r="C24" s="16">
        <f t="shared" si="0"/>
        <v>19.600000000000001</v>
      </c>
      <c r="D24" s="14" t="s">
        <v>91</v>
      </c>
      <c r="E24" s="17">
        <f>SQRT((E12-1)*E9/_xlfn.CHISQ.INV.RT((1-D22)/2,E12-1))</f>
        <v>6.9129998491952085</v>
      </c>
      <c r="F24" s="14">
        <f t="shared" si="1"/>
        <v>0.23296385427137234</v>
      </c>
      <c r="G24" s="14">
        <f t="shared" si="2"/>
        <v>23</v>
      </c>
      <c r="H24" s="14">
        <f t="shared" si="3"/>
        <v>8.5666666666666682</v>
      </c>
      <c r="I24" s="14">
        <f t="shared" si="4"/>
        <v>-1.2155818612903708</v>
      </c>
      <c r="J24" s="14" t="str">
        <f>$D$16</f>
        <v>Median</v>
      </c>
      <c r="K24" s="17">
        <f>$E$16</f>
        <v>7.1499999999999995</v>
      </c>
      <c r="L24" s="14">
        <v>1</v>
      </c>
    </row>
    <row r="25" spans="1:12">
      <c r="A25" s="23">
        <v>-2.1333333333333333</v>
      </c>
      <c r="B25" s="14">
        <f>_xlfn.RANK.EQ(C25,$C:$C,1)+COUNTIF($C$2:C25,C25)-1</f>
        <v>10</v>
      </c>
      <c r="C25" s="16">
        <f t="shared" si="0"/>
        <v>-2.1333333333333333</v>
      </c>
      <c r="E25" s="17">
        <f>SQRT((E12-1)*E9/_xlfn.CHISQ.INV.RT(1-(1-D22)/2,E12-1))</f>
        <v>10.970283019880364</v>
      </c>
      <c r="F25" s="14">
        <f t="shared" si="1"/>
        <v>0.3013365208595763</v>
      </c>
      <c r="G25" s="14">
        <f t="shared" si="2"/>
        <v>24</v>
      </c>
      <c r="H25" s="14">
        <f t="shared" si="3"/>
        <v>9.6</v>
      </c>
      <c r="I25" s="14">
        <f t="shared" si="4"/>
        <v>-1.1319058701574065</v>
      </c>
      <c r="K25" s="17">
        <f>$E$27</f>
        <v>8.5666666666666682</v>
      </c>
      <c r="L25" s="14">
        <v>1</v>
      </c>
    </row>
    <row r="26" spans="1:12">
      <c r="A26" s="23">
        <v>13.700000000000001</v>
      </c>
      <c r="B26" s="14">
        <f>_xlfn.RANK.EQ(C26,$C:$C,1)+COUNTIF($C$2:C26,C26)-1</f>
        <v>32</v>
      </c>
      <c r="C26" s="16">
        <f t="shared" si="0"/>
        <v>13.700000000000001</v>
      </c>
      <c r="F26" s="14">
        <f t="shared" si="1"/>
        <v>0.37114932320228394</v>
      </c>
      <c r="G26" s="14">
        <f t="shared" si="2"/>
        <v>25</v>
      </c>
      <c r="H26" s="14">
        <f t="shared" si="3"/>
        <v>12</v>
      </c>
      <c r="I26" s="14">
        <f t="shared" si="4"/>
        <v>-0.90341727382554537</v>
      </c>
      <c r="K26" s="17">
        <f>$E$28</f>
        <v>-2.1333333333333333</v>
      </c>
      <c r="L26" s="14">
        <v>1</v>
      </c>
    </row>
    <row r="27" spans="1:12">
      <c r="A27" s="23">
        <v>1.8333333333333333</v>
      </c>
      <c r="B27" s="14">
        <f>_xlfn.RANK.EQ(C27,$C:$C,1)+COUNTIF($C$2:C27,C27)-1</f>
        <v>11</v>
      </c>
      <c r="C27" s="16">
        <f t="shared" si="0"/>
        <v>1.8333333333333333</v>
      </c>
      <c r="D27" s="14" t="s">
        <v>92</v>
      </c>
      <c r="E27" s="17">
        <f>INDEX($A:$A,_xlfn.BINOM.INV(E12,0.5,(1-D22)/2))</f>
        <v>8.5666666666666682</v>
      </c>
      <c r="F27" s="14">
        <f t="shared" si="1"/>
        <v>0.44282165759651121</v>
      </c>
      <c r="G27" s="14">
        <f t="shared" si="2"/>
        <v>26</v>
      </c>
      <c r="H27" s="14">
        <f t="shared" si="3"/>
        <v>12</v>
      </c>
      <c r="I27" s="14">
        <f t="shared" si="4"/>
        <v>-0.92033616501580784</v>
      </c>
      <c r="J27" s="14" t="str">
        <f>$D$30</f>
        <v>Normal</v>
      </c>
      <c r="K27" s="17">
        <f>$E$6</f>
        <v>6.3833333333333337</v>
      </c>
      <c r="L27" s="14">
        <v>2</v>
      </c>
    </row>
    <row r="28" spans="1:12">
      <c r="A28" s="23">
        <v>19.866666666666667</v>
      </c>
      <c r="B28" s="14">
        <f>_xlfn.RANK.EQ(C28,$C:$C,1)+COUNTIF($C$2:C28,C28)-1</f>
        <v>38</v>
      </c>
      <c r="C28" s="16">
        <f t="shared" si="0"/>
        <v>19.866666666666667</v>
      </c>
      <c r="E28" s="17">
        <f>INDEX($A:$A,_xlfn.BINOM.INV(E12,0.5,(1-(1-D22)/2)))</f>
        <v>-2.1333333333333333</v>
      </c>
      <c r="F28" s="14">
        <f t="shared" si="1"/>
        <v>0.51684672765260953</v>
      </c>
      <c r="G28" s="14">
        <f t="shared" si="2"/>
        <v>27</v>
      </c>
      <c r="H28" s="14">
        <f t="shared" si="3"/>
        <v>12.299999999999999</v>
      </c>
      <c r="I28" s="14">
        <f t="shared" si="4"/>
        <v>-0.90979989311232701</v>
      </c>
      <c r="K28" s="17">
        <f>$E$30</f>
        <v>-14.489202669947453</v>
      </c>
      <c r="L28" s="14">
        <v>2</v>
      </c>
    </row>
    <row r="29" spans="1:12">
      <c r="A29" s="23">
        <v>2.2333333333333334</v>
      </c>
      <c r="B29" s="14">
        <f>_xlfn.RANK.EQ(C29,$C:$C,1)+COUNTIF($C$2:C29,C29)-1</f>
        <v>12</v>
      </c>
      <c r="C29" s="16">
        <f t="shared" si="0"/>
        <v>2.2333333333333334</v>
      </c>
      <c r="F29" s="14">
        <f t="shared" si="1"/>
        <v>0.59382139299351988</v>
      </c>
      <c r="G29" s="14">
        <f t="shared" si="2"/>
        <v>28</v>
      </c>
      <c r="H29" s="14">
        <f t="shared" si="3"/>
        <v>13</v>
      </c>
      <c r="I29" s="14">
        <f t="shared" si="4"/>
        <v>-0.86270360951270253</v>
      </c>
      <c r="K29" s="17">
        <f>$E$31</f>
        <v>27.255869336614118</v>
      </c>
      <c r="L29" s="14">
        <v>2</v>
      </c>
    </row>
    <row r="30" spans="1:12">
      <c r="A30" s="23">
        <v>-4.7</v>
      </c>
      <c r="B30" s="14">
        <f>_xlfn.RANK.EQ(C30,$C:$C,1)+COUNTIF($C$2:C30,C30)-1</f>
        <v>4</v>
      </c>
      <c r="C30" s="16">
        <f t="shared" si="0"/>
        <v>-4.7</v>
      </c>
      <c r="D30" s="14" t="s">
        <v>67</v>
      </c>
      <c r="E30" s="17">
        <f>E6-E8*E36</f>
        <v>-14.489202669947453</v>
      </c>
      <c r="F30" s="14">
        <f t="shared" si="1"/>
        <v>0.67448975019608193</v>
      </c>
      <c r="G30" s="14">
        <f t="shared" si="2"/>
        <v>29</v>
      </c>
      <c r="H30" s="14">
        <f t="shared" si="3"/>
        <v>13.166666666666666</v>
      </c>
      <c r="I30" s="14">
        <f t="shared" si="4"/>
        <v>-0.61436928933339208</v>
      </c>
      <c r="J30" s="14" t="str">
        <f>$D$39</f>
        <v>Nonparametric</v>
      </c>
      <c r="K30" s="17">
        <f>$E$6</f>
        <v>6.3833333333333337</v>
      </c>
      <c r="L30" s="14">
        <v>1</v>
      </c>
    </row>
    <row r="31" spans="1:12">
      <c r="A31" s="23">
        <v>3.8333333333333335</v>
      </c>
      <c r="B31" s="14">
        <f>_xlfn.RANK.EQ(C31,$C:$C,1)+COUNTIF($C$2:C31,C31)-1</f>
        <v>15</v>
      </c>
      <c r="C31" s="16">
        <f t="shared" si="0"/>
        <v>3.8333333333333335</v>
      </c>
      <c r="D31" s="14">
        <v>0.95</v>
      </c>
      <c r="E31" s="17">
        <f>E6+E8*E36</f>
        <v>27.255869336614118</v>
      </c>
      <c r="F31" s="14">
        <f t="shared" si="1"/>
        <v>0.75980957100991864</v>
      </c>
      <c r="G31" s="14">
        <f t="shared" si="2"/>
        <v>30</v>
      </c>
      <c r="H31" s="14">
        <f t="shared" si="3"/>
        <v>13.366666666666665</v>
      </c>
      <c r="I31" s="14">
        <f t="shared" si="4"/>
        <v>-0.60563293986492894</v>
      </c>
      <c r="K31" s="17">
        <f>$E$39</f>
        <v>-11.533333333333333</v>
      </c>
      <c r="L31" s="14">
        <v>1</v>
      </c>
    </row>
    <row r="32" spans="1:12">
      <c r="A32" s="23">
        <v>13</v>
      </c>
      <c r="B32" s="14">
        <f>_xlfn.RANK.EQ(C32,$C:$C,1)+COUNTIF($C$2:C32,C32)-1</f>
        <v>28</v>
      </c>
      <c r="C32" s="16">
        <f t="shared" si="0"/>
        <v>13</v>
      </c>
      <c r="F32" s="14">
        <f t="shared" si="1"/>
        <v>0.85105852683856942</v>
      </c>
      <c r="G32" s="14">
        <f t="shared" si="2"/>
        <v>31</v>
      </c>
      <c r="H32" s="14">
        <f t="shared" si="3"/>
        <v>13.633333333333333</v>
      </c>
      <c r="I32" s="14">
        <f t="shared" si="4"/>
        <v>-0.53715806121260556</v>
      </c>
      <c r="K32" s="17">
        <f>$E$40</f>
        <v>4.9666666666666659</v>
      </c>
      <c r="L32" s="14">
        <v>1</v>
      </c>
    </row>
    <row r="33" spans="1:13">
      <c r="A33" s="23">
        <v>13.366666666666665</v>
      </c>
      <c r="B33" s="14">
        <f>_xlfn.RANK.EQ(C33,$C:$C,1)+COUNTIF($C$2:C33,C33)-1</f>
        <v>30</v>
      </c>
      <c r="C33" s="16">
        <f t="shared" si="0"/>
        <v>13.366666666666665</v>
      </c>
      <c r="D33" s="14" t="s">
        <v>95</v>
      </c>
      <c r="E33" s="17">
        <f>E6-E8*E37</f>
        <v>-11.695649908690996</v>
      </c>
      <c r="F33" s="14">
        <f t="shared" si="1"/>
        <v>0.95001375566931956</v>
      </c>
      <c r="G33" s="14">
        <f t="shared" si="2"/>
        <v>32</v>
      </c>
      <c r="H33" s="14">
        <f t="shared" si="3"/>
        <v>13.700000000000001</v>
      </c>
      <c r="I33" s="14">
        <f t="shared" si="4"/>
        <v>-0.53956291971831305</v>
      </c>
      <c r="J33" s="14">
        <v>-12</v>
      </c>
      <c r="K33" s="14">
        <f>COUNTIF($C$2:$C$39,"&lt;="&amp;J33)</f>
        <v>0</v>
      </c>
      <c r="L33" s="14">
        <f t="shared" ref="L33:L40" si="5">IF(5.2&lt;&gt;0,M$33/M$34*_xlfn.NORM.DIST(J33-5.2/2,AVERAGE($C$2:$C$39),_xlfn.STDEV.S($C$2:$C$39),FALSE),K33)</f>
        <v>0.42131289161783997</v>
      </c>
      <c r="M33" s="14">
        <f>MAX($K$33:$K$40)</f>
        <v>9</v>
      </c>
    </row>
    <row r="34" spans="1:13">
      <c r="A34" s="23">
        <v>-4.0333333333333332</v>
      </c>
      <c r="B34" s="14">
        <f>_xlfn.RANK.EQ(C34,$C:$C,1)+COUNTIF($C$2:C34,C34)-1</f>
        <v>8</v>
      </c>
      <c r="C34" s="16">
        <f t="shared" si="0"/>
        <v>-4.0333333333333332</v>
      </c>
      <c r="E34" s="17">
        <f>E6+E8*E37</f>
        <v>24.462316575357661</v>
      </c>
      <c r="F34" s="14">
        <f t="shared" si="1"/>
        <v>1.0592769170824312</v>
      </c>
      <c r="G34" s="14">
        <f t="shared" si="2"/>
        <v>33</v>
      </c>
      <c r="H34" s="14">
        <f t="shared" si="3"/>
        <v>15.933333333333335</v>
      </c>
      <c r="I34" s="14">
        <f t="shared" si="4"/>
        <v>-0.41915645937442486</v>
      </c>
      <c r="J34" s="14">
        <f t="shared" ref="J34:J40" si="6">J33 + 5.2</f>
        <v>-6.8</v>
      </c>
      <c r="K34" s="14">
        <f t="shared" ref="K34:K40" si="7">COUNTIF($C$2:$C$39,"&lt;="&amp;J34)-COUNTIF($C$2:$C$39,"&lt;="&amp;J33)</f>
        <v>1</v>
      </c>
      <c r="L34" s="14">
        <f t="shared" si="5"/>
        <v>1.5922181249948115</v>
      </c>
      <c r="M34" s="14">
        <v>4.7037059849076163E-2</v>
      </c>
    </row>
    <row r="35" spans="1:13">
      <c r="A35" s="23">
        <v>-4.6333333333333329</v>
      </c>
      <c r="B35" s="14">
        <f>_xlfn.RANK.EQ(C35,$C:$C,1)+COUNTIF($C$2:C35,C35)-1</f>
        <v>5</v>
      </c>
      <c r="C35" s="16">
        <f t="shared" si="0"/>
        <v>-4.6333333333333329</v>
      </c>
      <c r="F35" s="14">
        <f t="shared" si="1"/>
        <v>1.1829168441908862</v>
      </c>
      <c r="G35" s="14">
        <f t="shared" si="2"/>
        <v>34</v>
      </c>
      <c r="H35" s="14">
        <f t="shared" si="3"/>
        <v>18.366666666666667</v>
      </c>
      <c r="I35" s="14">
        <f t="shared" si="4"/>
        <v>-0.32448083438341019</v>
      </c>
      <c r="J35" s="14">
        <f t="shared" si="6"/>
        <v>-1.5999999999999996</v>
      </c>
      <c r="K35" s="14">
        <f t="shared" si="7"/>
        <v>9</v>
      </c>
      <c r="L35" s="14">
        <f t="shared" si="5"/>
        <v>4.1311864425676985</v>
      </c>
    </row>
    <row r="36" spans="1:13">
      <c r="A36" s="23">
        <v>9.6</v>
      </c>
      <c r="B36" s="14">
        <f>_xlfn.RANK.EQ(C36,$C:$C,1)+COUNTIF($C$2:C36,C36)-1</f>
        <v>24</v>
      </c>
      <c r="C36" s="16">
        <f t="shared" si="0"/>
        <v>9.6</v>
      </c>
      <c r="D36" s="14" t="s">
        <v>93</v>
      </c>
      <c r="E36" s="17">
        <f>-NORMSINV((1-D22)/2)*SQRT((E12-1)*(1+1/E12)/CHIINV(D31,E12-1))</f>
        <v>2.4615396090870374</v>
      </c>
      <c r="F36" s="14">
        <f t="shared" si="1"/>
        <v>1.3279018717558344</v>
      </c>
      <c r="G36" s="14">
        <f t="shared" si="2"/>
        <v>35</v>
      </c>
      <c r="H36" s="14">
        <f t="shared" si="3"/>
        <v>18.433333333333334</v>
      </c>
      <c r="I36" s="14">
        <f t="shared" si="4"/>
        <v>-0.32920729596225545</v>
      </c>
      <c r="J36" s="14">
        <f t="shared" si="6"/>
        <v>3.6000000000000005</v>
      </c>
      <c r="K36" s="14">
        <f t="shared" si="7"/>
        <v>4</v>
      </c>
      <c r="L36" s="14">
        <f t="shared" si="5"/>
        <v>7.3590447529614558</v>
      </c>
    </row>
    <row r="37" spans="1:13">
      <c r="A37" s="23">
        <v>12</v>
      </c>
      <c r="B37" s="14">
        <f>_xlfn.RANK.EQ(C37,$C:$C,1)+COUNTIF($C$2:C37,C37)-1</f>
        <v>26</v>
      </c>
      <c r="C37" s="16">
        <f t="shared" si="0"/>
        <v>12</v>
      </c>
      <c r="D37" s="14" t="s">
        <v>94</v>
      </c>
      <c r="E37" s="17">
        <f>(-NORMSINV(1-D22)+SQRT((NORMSINV(1-D22))^2-(1-(NORMSINV(1-D31))^2/(2*(E12-1)))*((-NORMSINV(1-D22))^2--NORMSINV(1-D31)^2/E12)))/(1-(NORMSINV(1-D31))^2/(2*(E12-1)))</f>
        <v>2.1320903859151921</v>
      </c>
      <c r="F37" s="14">
        <f t="shared" si="1"/>
        <v>1.5079045914405591</v>
      </c>
      <c r="G37" s="14">
        <f t="shared" si="2"/>
        <v>36</v>
      </c>
      <c r="H37" s="14">
        <f t="shared" si="3"/>
        <v>18.666666666666668</v>
      </c>
      <c r="I37" s="14">
        <f t="shared" si="4"/>
        <v>-0.32004712580680683</v>
      </c>
      <c r="J37" s="14">
        <f t="shared" si="6"/>
        <v>8.8000000000000007</v>
      </c>
      <c r="K37" s="14">
        <f t="shared" si="7"/>
        <v>9</v>
      </c>
      <c r="L37" s="14">
        <f t="shared" si="5"/>
        <v>9</v>
      </c>
    </row>
    <row r="38" spans="1:13">
      <c r="A38" s="23">
        <v>2.5333333333333332</v>
      </c>
      <c r="B38" s="14">
        <f>_xlfn.RANK.EQ(C38,$C:$C,1)+COUNTIF($C$2:C38,C38)-1</f>
        <v>13</v>
      </c>
      <c r="C38" s="16">
        <f t="shared" si="0"/>
        <v>2.5333333333333332</v>
      </c>
      <c r="F38" s="14">
        <f t="shared" si="1"/>
        <v>1.7568266072519048</v>
      </c>
      <c r="G38" s="14">
        <f t="shared" si="2"/>
        <v>37</v>
      </c>
      <c r="H38" s="14">
        <f t="shared" si="3"/>
        <v>19.600000000000001</v>
      </c>
      <c r="I38" s="14">
        <f t="shared" si="4"/>
        <v>-0.27801311414798663</v>
      </c>
      <c r="J38" s="14">
        <f t="shared" si="6"/>
        <v>14</v>
      </c>
      <c r="K38" s="14">
        <f t="shared" si="7"/>
        <v>9</v>
      </c>
      <c r="L38" s="14">
        <f t="shared" si="5"/>
        <v>7.5568011021066566</v>
      </c>
    </row>
    <row r="39" spans="1:13">
      <c r="A39" s="23">
        <v>18.666666666666668</v>
      </c>
      <c r="B39" s="14">
        <f>_xlfn.RANK.EQ(C39,$C:$C,1)+COUNTIF($C$2:C39,C39)-1</f>
        <v>36</v>
      </c>
      <c r="C39" s="16">
        <f t="shared" si="0"/>
        <v>18.666666666666668</v>
      </c>
      <c r="D39" s="14" t="s">
        <v>96</v>
      </c>
      <c r="E39" s="17">
        <f>SMALL($A:C,MAX(1,INT((E$12-_xlfn.BINOM.INV(E$12,D$40,D$31))/2)))</f>
        <v>-11.533333333333333</v>
      </c>
      <c r="F39" s="14">
        <f t="shared" si="1"/>
        <v>2.2215195883378365</v>
      </c>
      <c r="G39" s="14">
        <f t="shared" si="2"/>
        <v>38</v>
      </c>
      <c r="H39" s="14">
        <f t="shared" si="3"/>
        <v>19.866666666666667</v>
      </c>
      <c r="I39" s="14">
        <f t="shared" si="4"/>
        <v>-0.14799036822605927</v>
      </c>
      <c r="J39" s="14">
        <f t="shared" si="6"/>
        <v>19.2</v>
      </c>
      <c r="K39" s="14">
        <f t="shared" si="7"/>
        <v>4</v>
      </c>
      <c r="L39" s="14">
        <f t="shared" si="5"/>
        <v>4.3562007998778345</v>
      </c>
    </row>
    <row r="40" spans="1:13">
      <c r="D40" s="14">
        <v>0.95</v>
      </c>
      <c r="E40" s="17">
        <f>SMALL($A:C,MIN(E$12,INT(E$12+1-(E$12-_xlfn.BINOM.INV(E$12,D$40,D$31))/2)))</f>
        <v>4.9666666666666659</v>
      </c>
      <c r="J40" s="14">
        <f t="shared" si="6"/>
        <v>24.4</v>
      </c>
      <c r="K40" s="14">
        <f t="shared" si="7"/>
        <v>2</v>
      </c>
      <c r="L40" s="14">
        <f t="shared" si="5"/>
        <v>1.724059325650537</v>
      </c>
    </row>
    <row r="42" spans="1:13">
      <c r="D42" s="14" t="s">
        <v>69</v>
      </c>
      <c r="E42" s="17">
        <v>0.5</v>
      </c>
    </row>
  </sheetData>
  <pageMargins left="0.7" right="0.7" top="0.75" bottom="0.75" header="0.3" footer="0.3"/>
  <pageSetup scale="4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3BB5-EF07-4B19-A8A4-342FFB58B5F5}">
  <sheetPr>
    <tabColor rgb="FF66FF66"/>
    <pageSetUpPr fitToPage="1"/>
  </sheetPr>
  <dimension ref="A1:M42"/>
  <sheetViews>
    <sheetView zoomScale="37" zoomScaleNormal="37" workbookViewId="0">
      <selection activeCell="D11" sqref="D11"/>
    </sheetView>
  </sheetViews>
  <sheetFormatPr defaultRowHeight="36"/>
  <cols>
    <col min="1" max="1" width="45" style="26" customWidth="1"/>
    <col min="2" max="2" width="9.42578125" style="26" bestFit="1" customWidth="1"/>
    <col min="3" max="3" width="16.7109375" style="26" bestFit="1" customWidth="1"/>
    <col min="4" max="4" width="55.7109375" style="26" customWidth="1"/>
    <col min="5" max="5" width="71.140625" style="29" customWidth="1"/>
    <col min="6" max="10" width="9.42578125" style="26" bestFit="1" customWidth="1"/>
    <col min="11" max="11" width="19.42578125" style="26" bestFit="1" customWidth="1"/>
    <col min="12" max="12" width="9.42578125" style="26" bestFit="1" customWidth="1"/>
    <col min="13" max="13" width="4.85546875" style="26" customWidth="1"/>
    <col min="14" max="16384" width="9.140625" style="26"/>
  </cols>
  <sheetData>
    <row r="1" spans="1:12">
      <c r="A1" s="25" t="s">
        <v>18</v>
      </c>
      <c r="B1" s="26" t="s">
        <v>70</v>
      </c>
      <c r="D1" s="26" t="s">
        <v>71</v>
      </c>
      <c r="E1" s="27" t="str">
        <f>IF(E2&gt;E5,"Non-Normal at 0.01",IF(E2&gt;E4,"Non-Normal at 0.05","Data is Normal"))</f>
        <v>Non-Normal at 0.01</v>
      </c>
      <c r="K1" s="26" t="s">
        <v>98</v>
      </c>
    </row>
    <row r="2" spans="1:12">
      <c r="A2" s="25">
        <v>-7.7666666666666657</v>
      </c>
      <c r="B2" s="26">
        <f>_xlfn.RANK.EQ(C2,$C:$C,1)+COUNTIF($C$2:C2,C2)-1</f>
        <v>12</v>
      </c>
      <c r="C2" s="28">
        <f t="shared" ref="C2:C39" si="0">A2</f>
        <v>-7.7666666666666657</v>
      </c>
      <c r="D2" s="26" t="s">
        <v>72</v>
      </c>
      <c r="E2" s="29">
        <f>ABS(E12-ABS(SUM(I:I)))</f>
        <v>1.2486781411246923</v>
      </c>
      <c r="F2" s="26">
        <f t="shared" ref="F2:F39" si="1">_xlfn.NORM.S.INV((G2-0.5)/E$12)</f>
        <v>-2.2215195883378365</v>
      </c>
      <c r="G2" s="26">
        <f t="shared" ref="G2:G39" si="2">ROW(G2)-1</f>
        <v>1</v>
      </c>
      <c r="H2" s="26">
        <f t="shared" ref="H2:H39" si="3">VLOOKUP(G2,$B:$C,2,FALSE)</f>
        <v>-11.633333333333333</v>
      </c>
      <c r="I2" s="26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-0.23616005833934439</v>
      </c>
      <c r="K2" s="26">
        <f>E2*(1+0.75/E12+2.25/E12^2)</f>
        <v>1.2752687594346535</v>
      </c>
    </row>
    <row r="3" spans="1:12">
      <c r="A3" s="25">
        <v>-4.8</v>
      </c>
      <c r="B3" s="26">
        <f>_xlfn.RANK.EQ(C3,$C:$C,1)+COUNTIF($C$2:C3,C3)-1</f>
        <v>29</v>
      </c>
      <c r="C3" s="28">
        <f t="shared" si="0"/>
        <v>-4.8</v>
      </c>
      <c r="D3" s="30" t="s">
        <v>97</v>
      </c>
      <c r="E3" s="29">
        <f>IF(K2&lt;0.2,K6,IF(K2&lt;0.34,K5,IF(K2&lt;0.6,K4,IF(K2&lt;13,K3,0))))</f>
        <v>2.5888022188385461E-3</v>
      </c>
      <c r="F3" s="26">
        <f t="shared" si="1"/>
        <v>-1.7568266072519048</v>
      </c>
      <c r="G3" s="26">
        <f t="shared" si="2"/>
        <v>2</v>
      </c>
      <c r="H3" s="26">
        <f t="shared" si="3"/>
        <v>-11.6</v>
      </c>
      <c r="I3" s="26">
        <f t="shared" si="4"/>
        <v>-0.67391994347501849</v>
      </c>
      <c r="K3" s="26">
        <f>EXP(1.2937-5.709*K2+0.0186*K2^2)</f>
        <v>2.5888022188385461E-3</v>
      </c>
    </row>
    <row r="4" spans="1:12">
      <c r="A4" s="25">
        <v>-4.833333333333333</v>
      </c>
      <c r="B4" s="26">
        <f>_xlfn.RANK.EQ(C4,$C:$C,1)+COUNTIF($C$2:C4,C4)-1</f>
        <v>27</v>
      </c>
      <c r="C4" s="28">
        <f t="shared" si="0"/>
        <v>-4.833333333333333</v>
      </c>
      <c r="D4" s="26" t="s">
        <v>73</v>
      </c>
      <c r="E4" s="29">
        <v>0.78700000000000003</v>
      </c>
      <c r="F4" s="26">
        <f t="shared" si="1"/>
        <v>-1.5079045914405589</v>
      </c>
      <c r="G4" s="26">
        <f t="shared" si="2"/>
        <v>3</v>
      </c>
      <c r="H4" s="26">
        <f t="shared" si="3"/>
        <v>-10.899999999999999</v>
      </c>
      <c r="I4" s="26">
        <f t="shared" si="4"/>
        <v>-0.94265735009620633</v>
      </c>
      <c r="K4" s="26">
        <f>EXP(0.9177-4.279*K2-1.38*K2^2)</f>
        <v>1.1323237002984017E-3</v>
      </c>
    </row>
    <row r="5" spans="1:12">
      <c r="A5" s="31">
        <v>4.1333333333333337</v>
      </c>
      <c r="B5" s="26">
        <f>_xlfn.RANK.EQ(C5,$C:$C,1)+COUNTIF($C$2:C5,C5)-1</f>
        <v>37</v>
      </c>
      <c r="C5" s="28">
        <f t="shared" si="0"/>
        <v>4.1333333333333337</v>
      </c>
      <c r="D5" s="26" t="s">
        <v>74</v>
      </c>
      <c r="E5" s="29">
        <v>1.0920000000000001</v>
      </c>
      <c r="F5" s="26">
        <f t="shared" si="1"/>
        <v>-1.3279018717558333</v>
      </c>
      <c r="G5" s="26">
        <f t="shared" si="2"/>
        <v>4</v>
      </c>
      <c r="H5" s="26">
        <f t="shared" si="3"/>
        <v>-9.7999999999999989</v>
      </c>
      <c r="I5" s="26">
        <f t="shared" si="4"/>
        <v>-0.66136398482412084</v>
      </c>
      <c r="K5" s="26">
        <f>1-EXP(-8.318+42.796*K2-59.938*K2^2)</f>
        <v>1</v>
      </c>
    </row>
    <row r="6" spans="1:12">
      <c r="A6" s="25">
        <v>-2.6666666666666665</v>
      </c>
      <c r="B6" s="26">
        <f>_xlfn.RANK.EQ(C6,$C:$C,1)+COUNTIF($C$2:C6,C6)-1</f>
        <v>34</v>
      </c>
      <c r="C6" s="28">
        <f t="shared" si="0"/>
        <v>-2.6666666666666665</v>
      </c>
      <c r="D6" s="26" t="s">
        <v>75</v>
      </c>
      <c r="E6" s="29">
        <f>AVERAGE($A:$A)</f>
        <v>-5.9235087719298249</v>
      </c>
      <c r="F6" s="26">
        <f t="shared" si="1"/>
        <v>-1.1829168441908862</v>
      </c>
      <c r="G6" s="26">
        <f t="shared" si="2"/>
        <v>5</v>
      </c>
      <c r="H6" s="26">
        <f t="shared" si="3"/>
        <v>-9.5333333333333332</v>
      </c>
      <c r="I6" s="26">
        <f t="shared" si="4"/>
        <v>-0.82397223667240138</v>
      </c>
      <c r="J6" s="26">
        <f>AVERAGE(H:H)</f>
        <v>-5.9235087719298241</v>
      </c>
      <c r="K6" s="26">
        <f>1-EXP(-13.436+101.14*K2-223.73*K2^2)</f>
        <v>1</v>
      </c>
    </row>
    <row r="7" spans="1:12">
      <c r="A7" s="25">
        <v>-7.2</v>
      </c>
      <c r="B7" s="26">
        <f>_xlfn.RANK.EQ(C7,$C:$C,1)+COUNTIF($C$2:C7,C7)-1</f>
        <v>15</v>
      </c>
      <c r="C7" s="28">
        <f t="shared" si="0"/>
        <v>-7.2</v>
      </c>
      <c r="D7" s="26" t="s">
        <v>76</v>
      </c>
      <c r="E7" s="32" t="s">
        <v>99</v>
      </c>
      <c r="F7" s="26">
        <f t="shared" si="1"/>
        <v>-1.0592769170824312</v>
      </c>
      <c r="G7" s="26">
        <f t="shared" si="2"/>
        <v>6</v>
      </c>
      <c r="H7" s="26">
        <f t="shared" si="3"/>
        <v>-8.8933333333333326</v>
      </c>
      <c r="I7" s="26">
        <f t="shared" si="4"/>
        <v>-0.90526952877765077</v>
      </c>
    </row>
    <row r="8" spans="1:12">
      <c r="A8" s="25">
        <v>-8.6333333333333346</v>
      </c>
      <c r="B8" s="26">
        <f>_xlfn.RANK.EQ(C8,$C:$C,1)+COUNTIF($C$2:C8,C8)-1</f>
        <v>8</v>
      </c>
      <c r="C8" s="28">
        <f t="shared" si="0"/>
        <v>-8.6333333333333346</v>
      </c>
      <c r="D8" s="26" t="s">
        <v>77</v>
      </c>
      <c r="E8" s="29">
        <f>_xlfn.STDEV.S($A:$A)</f>
        <v>3.6853664803538262</v>
      </c>
      <c r="F8" s="26">
        <f t="shared" si="1"/>
        <v>-0.95001375566931956</v>
      </c>
      <c r="G8" s="26">
        <f t="shared" si="2"/>
        <v>7</v>
      </c>
      <c r="H8" s="26">
        <f t="shared" si="3"/>
        <v>-8.6666666666666661</v>
      </c>
      <c r="I8" s="26">
        <f t="shared" si="4"/>
        <v>-0.89506057240718973</v>
      </c>
      <c r="J8" s="26">
        <f>_xlfn.STDEV.S(H:H)</f>
        <v>3.6853664803538289</v>
      </c>
    </row>
    <row r="9" spans="1:12">
      <c r="A9" s="25">
        <v>-10.899999999999999</v>
      </c>
      <c r="B9" s="26">
        <f>_xlfn.RANK.EQ(C9,$C:$C,1)+COUNTIF($C$2:C9,C9)-1</f>
        <v>3</v>
      </c>
      <c r="C9" s="28">
        <f t="shared" si="0"/>
        <v>-10.899999999999999</v>
      </c>
      <c r="D9" s="26" t="s">
        <v>78</v>
      </c>
      <c r="E9" s="29">
        <f>_xlfn.VAR.S($A:$A)</f>
        <v>13.581926094515548</v>
      </c>
      <c r="F9" s="26">
        <f t="shared" si="1"/>
        <v>-0.85105852683856875</v>
      </c>
      <c r="G9" s="26">
        <f t="shared" si="2"/>
        <v>8</v>
      </c>
      <c r="H9" s="26">
        <f t="shared" si="3"/>
        <v>-8.6333333333333346</v>
      </c>
      <c r="I9" s="26">
        <f t="shared" si="4"/>
        <v>-1.0240678583014933</v>
      </c>
    </row>
    <row r="10" spans="1:12">
      <c r="A10" s="25">
        <v>-5.8</v>
      </c>
      <c r="B10" s="26">
        <f>_xlfn.RANK.EQ(C10,$C:$C,1)+COUNTIF($C$2:C10,C10)-1</f>
        <v>23</v>
      </c>
      <c r="C10" s="28">
        <f t="shared" si="0"/>
        <v>-5.8</v>
      </c>
      <c r="D10" s="26" t="s">
        <v>79</v>
      </c>
      <c r="E10" s="29">
        <f>SKEW($A:$A)</f>
        <v>1.2851593289960364</v>
      </c>
      <c r="F10" s="26">
        <f t="shared" si="1"/>
        <v>-0.75980957100991864</v>
      </c>
      <c r="G10" s="26">
        <f t="shared" si="2"/>
        <v>9</v>
      </c>
      <c r="H10" s="26">
        <f t="shared" si="3"/>
        <v>-8.4</v>
      </c>
      <c r="I10" s="26">
        <f t="shared" si="4"/>
        <v>-1.0677603381420311</v>
      </c>
    </row>
    <row r="11" spans="1:12">
      <c r="A11" s="25">
        <v>-8.6666666666666661</v>
      </c>
      <c r="B11" s="26">
        <f>_xlfn.RANK.EQ(C11,$C:$C,1)+COUNTIF($C$2:C11,C11)-1</f>
        <v>7</v>
      </c>
      <c r="C11" s="28">
        <f t="shared" si="0"/>
        <v>-8.6666666666666661</v>
      </c>
      <c r="D11" s="26" t="s">
        <v>80</v>
      </c>
      <c r="E11" s="29">
        <f>KURT($A:$A)</f>
        <v>2.3044832606585768</v>
      </c>
      <c r="F11" s="26">
        <f t="shared" si="1"/>
        <v>-0.67448975019608193</v>
      </c>
      <c r="G11" s="26">
        <f t="shared" si="2"/>
        <v>10</v>
      </c>
      <c r="H11" s="26">
        <f t="shared" si="3"/>
        <v>-8.4</v>
      </c>
      <c r="I11" s="26">
        <f t="shared" si="4"/>
        <v>-1.1750324956603388</v>
      </c>
      <c r="J11" s="26">
        <f>COUNT($A:$A)</f>
        <v>38</v>
      </c>
    </row>
    <row r="12" spans="1:12">
      <c r="A12" s="25">
        <v>-4.666666666666667</v>
      </c>
      <c r="B12" s="26">
        <f>_xlfn.RANK.EQ(C12,$C:$C,1)+COUNTIF($C$2:C12,C12)-1</f>
        <v>30</v>
      </c>
      <c r="C12" s="28">
        <f t="shared" si="0"/>
        <v>-4.666666666666667</v>
      </c>
      <c r="D12" s="26" t="s">
        <v>81</v>
      </c>
      <c r="E12" s="29">
        <f>COUNT($A:$A)</f>
        <v>38</v>
      </c>
      <c r="F12" s="26">
        <f t="shared" si="1"/>
        <v>-0.59382139299351966</v>
      </c>
      <c r="G12" s="26">
        <f t="shared" si="2"/>
        <v>11</v>
      </c>
      <c r="H12" s="26">
        <f t="shared" si="3"/>
        <v>-8.2666666666666675</v>
      </c>
      <c r="I12" s="26">
        <f t="shared" si="4"/>
        <v>-1.2686271055466452</v>
      </c>
      <c r="K12" s="26" t="e">
        <f>NA()</f>
        <v>#N/A</v>
      </c>
    </row>
    <row r="13" spans="1:12">
      <c r="A13" s="25">
        <v>-9.7999999999999989</v>
      </c>
      <c r="B13" s="26">
        <f>_xlfn.RANK.EQ(C13,$C:$C,1)+COUNTIF($C$2:C13,C13)-1</f>
        <v>4</v>
      </c>
      <c r="C13" s="28">
        <f t="shared" si="0"/>
        <v>-9.7999999999999989</v>
      </c>
      <c r="D13" s="26" t="s">
        <v>82</v>
      </c>
      <c r="E13" s="29">
        <f>E8/SQRT(E12)</f>
        <v>0.5978453878306742</v>
      </c>
      <c r="F13" s="26">
        <f t="shared" si="1"/>
        <v>-0.51684672765260964</v>
      </c>
      <c r="G13" s="26">
        <f t="shared" si="2"/>
        <v>12</v>
      </c>
      <c r="H13" s="26">
        <f t="shared" si="3"/>
        <v>-7.7666666666666657</v>
      </c>
      <c r="I13" s="26">
        <f t="shared" si="4"/>
        <v>-1.2916238853774005</v>
      </c>
      <c r="J13" s="26">
        <v>1</v>
      </c>
      <c r="K13" s="26" t="e">
        <f>IF(E15-E14&gt;1.5*(E17-E15),E14,NA())</f>
        <v>#N/A</v>
      </c>
      <c r="L13" s="26">
        <v>1</v>
      </c>
    </row>
    <row r="14" spans="1:12">
      <c r="A14" s="25">
        <v>-5.9666666666666659</v>
      </c>
      <c r="B14" s="26">
        <f>_xlfn.RANK.EQ(C14,$C:$C,1)+COUNTIF($C$2:C14,C14)-1</f>
        <v>21</v>
      </c>
      <c r="C14" s="28">
        <f t="shared" si="0"/>
        <v>-5.9666666666666659</v>
      </c>
      <c r="D14" s="26" t="s">
        <v>83</v>
      </c>
      <c r="E14" s="29">
        <f>MIN($A:$A)</f>
        <v>-11.633333333333333</v>
      </c>
      <c r="F14" s="26">
        <f t="shared" si="1"/>
        <v>-0.44282165759651121</v>
      </c>
      <c r="G14" s="26">
        <f t="shared" si="2"/>
        <v>13</v>
      </c>
      <c r="H14" s="26">
        <f t="shared" si="3"/>
        <v>-7.3666666666666663</v>
      </c>
      <c r="I14" s="26">
        <f t="shared" si="4"/>
        <v>-1.3018736946537701</v>
      </c>
      <c r="K14" s="29">
        <f>MIN(E15-E14,(E17-E15))</f>
        <v>3.2666666666666657</v>
      </c>
    </row>
    <row r="15" spans="1:12">
      <c r="A15" s="25">
        <v>-6.4333333333333336</v>
      </c>
      <c r="B15" s="26">
        <f>_xlfn.RANK.EQ(C15,$C:$C,1)+COUNTIF($C$2:C15,C15)-1</f>
        <v>20</v>
      </c>
      <c r="C15" s="28">
        <f t="shared" si="0"/>
        <v>-6.4333333333333336</v>
      </c>
      <c r="D15" s="26" t="s">
        <v>84</v>
      </c>
      <c r="E15" s="29">
        <f>_xlfn.QUARTILE.INC($A:$A,1)</f>
        <v>-8.3666666666666671</v>
      </c>
      <c r="F15" s="26">
        <f t="shared" si="1"/>
        <v>-0.37114932320228394</v>
      </c>
      <c r="G15" s="26">
        <f t="shared" si="2"/>
        <v>14</v>
      </c>
      <c r="H15" s="26">
        <f t="shared" si="3"/>
        <v>-7.333333333333333</v>
      </c>
      <c r="I15" s="26">
        <f t="shared" si="4"/>
        <v>-1.3625224327025047</v>
      </c>
      <c r="K15" s="26">
        <v>-8.3666666666666671</v>
      </c>
    </row>
    <row r="16" spans="1:12">
      <c r="A16" s="25">
        <v>-11.6</v>
      </c>
      <c r="B16" s="26">
        <f>_xlfn.RANK.EQ(C16,$C:$C,1)+COUNTIF($C$2:C16,C16)-1</f>
        <v>2</v>
      </c>
      <c r="C16" s="28">
        <f t="shared" si="0"/>
        <v>-11.6</v>
      </c>
      <c r="D16" s="26" t="s">
        <v>85</v>
      </c>
      <c r="E16" s="29">
        <f>MEDIAN($A:$A)</f>
        <v>-6.4666666666666668</v>
      </c>
      <c r="F16" s="26">
        <f t="shared" si="1"/>
        <v>-0.30133652085957613</v>
      </c>
      <c r="G16" s="26">
        <f t="shared" si="2"/>
        <v>15</v>
      </c>
      <c r="H16" s="26">
        <f t="shared" si="3"/>
        <v>-7.2</v>
      </c>
      <c r="I16" s="26">
        <f t="shared" si="4"/>
        <v>-1.3311842048547455</v>
      </c>
      <c r="K16" s="26">
        <v>1.9000000000000004</v>
      </c>
    </row>
    <row r="17" spans="1:12">
      <c r="A17" s="25">
        <v>-9.5333333333333332</v>
      </c>
      <c r="B17" s="26">
        <f>_xlfn.RANK.EQ(C17,$C:$C,1)+COUNTIF($C$2:C17,C17)-1</f>
        <v>5</v>
      </c>
      <c r="C17" s="28">
        <f t="shared" si="0"/>
        <v>-9.5333333333333332</v>
      </c>
      <c r="D17" s="26" t="s">
        <v>86</v>
      </c>
      <c r="E17" s="29">
        <f>_xlfn.QUARTILE.INC($A:$A,3)</f>
        <v>-4.8083333333333336</v>
      </c>
      <c r="F17" s="26">
        <f t="shared" si="1"/>
        <v>-0.23296385427137245</v>
      </c>
      <c r="G17" s="26">
        <f t="shared" si="2"/>
        <v>16</v>
      </c>
      <c r="H17" s="26">
        <f t="shared" si="3"/>
        <v>-6.8</v>
      </c>
      <c r="I17" s="26">
        <f t="shared" si="4"/>
        <v>-1.322910393571634</v>
      </c>
      <c r="K17" s="26">
        <v>1.6583333333333332</v>
      </c>
    </row>
    <row r="18" spans="1:12">
      <c r="A18" s="25">
        <v>-6.5666666666666664</v>
      </c>
      <c r="B18" s="26">
        <f>_xlfn.RANK.EQ(C18,$C:$C,1)+COUNTIF($C$2:C18,C18)-1</f>
        <v>18</v>
      </c>
      <c r="C18" s="28">
        <f t="shared" si="0"/>
        <v>-6.5666666666666664</v>
      </c>
      <c r="D18" s="26" t="s">
        <v>87</v>
      </c>
      <c r="E18" s="29">
        <f>MAX($A:$A)</f>
        <v>4.6333333333333329</v>
      </c>
      <c r="F18" s="26">
        <f t="shared" si="1"/>
        <v>-0.1656644138685531</v>
      </c>
      <c r="G18" s="26">
        <f t="shared" si="2"/>
        <v>17</v>
      </c>
      <c r="H18" s="26">
        <f t="shared" si="3"/>
        <v>-6.666666666666667</v>
      </c>
      <c r="I18" s="26">
        <f t="shared" si="4"/>
        <v>-1.3658563846188245</v>
      </c>
      <c r="K18" s="29">
        <f>MIN(E18-E17,(E17-E15))</f>
        <v>3.5583333333333336</v>
      </c>
    </row>
    <row r="19" spans="1:12">
      <c r="A19" s="25">
        <v>2.8333333333333335</v>
      </c>
      <c r="B19" s="26">
        <f>_xlfn.RANK.EQ(C19,$C:$C,1)+COUNTIF($C$2:C19,C19)-1</f>
        <v>36</v>
      </c>
      <c r="C19" s="28">
        <f t="shared" si="0"/>
        <v>2.8333333333333335</v>
      </c>
      <c r="D19" s="26" t="s">
        <v>88</v>
      </c>
      <c r="E19" s="29">
        <f>E18-E14</f>
        <v>16.266666666666666</v>
      </c>
      <c r="F19" s="26">
        <f t="shared" si="1"/>
        <v>-9.9107859822899172E-2</v>
      </c>
      <c r="G19" s="26">
        <f t="shared" si="2"/>
        <v>18</v>
      </c>
      <c r="H19" s="26">
        <f t="shared" si="3"/>
        <v>-6.5666666666666664</v>
      </c>
      <c r="I19" s="26">
        <f t="shared" si="4"/>
        <v>-1.4056382757815276</v>
      </c>
      <c r="J19" s="26">
        <v>1</v>
      </c>
      <c r="K19" s="26">
        <f>IF(E18-E17&gt;1.5*(E17-E15),E18,NA())</f>
        <v>4.6333333333333329</v>
      </c>
      <c r="L19" s="26">
        <v>1</v>
      </c>
    </row>
    <row r="20" spans="1:12">
      <c r="A20" s="25">
        <v>-4.2333333333333334</v>
      </c>
      <c r="B20" s="26">
        <f>_xlfn.RANK.EQ(C20,$C:$C,1)+COUNTIF($C$2:C20,C20)-1</f>
        <v>31</v>
      </c>
      <c r="C20" s="28">
        <f t="shared" si="0"/>
        <v>-4.2333333333333334</v>
      </c>
      <c r="D20" s="26" t="s">
        <v>89</v>
      </c>
      <c r="E20" s="29">
        <f>_xlfn.T.INV.2T((1-D22),E12-1)*E8/SQRT(E12)</f>
        <v>1.2113498188792264</v>
      </c>
      <c r="F20" s="26">
        <f t="shared" si="1"/>
        <v>-3.2987932937402764E-2</v>
      </c>
      <c r="G20" s="26">
        <f t="shared" si="2"/>
        <v>19</v>
      </c>
      <c r="H20" s="26">
        <f t="shared" si="3"/>
        <v>-6.5</v>
      </c>
      <c r="I20" s="26">
        <f t="shared" si="4"/>
        <v>-1.3774189288360388</v>
      </c>
      <c r="K20" s="26" t="e">
        <f>NA()</f>
        <v>#N/A</v>
      </c>
    </row>
    <row r="21" spans="1:12">
      <c r="A21" s="25">
        <v>-11.633333333333333</v>
      </c>
      <c r="B21" s="26">
        <f>_xlfn.RANK.EQ(C21,$C:$C,1)+COUNTIF($C$2:C21,C21)-1</f>
        <v>1</v>
      </c>
      <c r="C21" s="28">
        <f t="shared" si="0"/>
        <v>-11.633333333333333</v>
      </c>
      <c r="D21" s="26" t="s">
        <v>90</v>
      </c>
      <c r="E21" s="29">
        <f>E$6-E20</f>
        <v>-7.1348585908090509</v>
      </c>
      <c r="F21" s="26">
        <f t="shared" si="1"/>
        <v>3.2987932937402903E-2</v>
      </c>
      <c r="G21" s="26">
        <f t="shared" si="2"/>
        <v>20</v>
      </c>
      <c r="H21" s="26">
        <f t="shared" si="3"/>
        <v>-6.4333333333333336</v>
      </c>
      <c r="I21" s="26">
        <f t="shared" si="4"/>
        <v>-1.4221595632397186</v>
      </c>
      <c r="J21" s="26" t="str">
        <f>$D$6</f>
        <v>Mean</v>
      </c>
      <c r="K21" s="29">
        <f>$E$6</f>
        <v>-5.9235087719298249</v>
      </c>
      <c r="L21" s="26">
        <v>2</v>
      </c>
    </row>
    <row r="22" spans="1:12">
      <c r="A22" s="25">
        <v>-4.833333333333333</v>
      </c>
      <c r="B22" s="26">
        <f>_xlfn.RANK.EQ(C22,$C:$C,1)+COUNTIF($C$2:C22,C22)-1</f>
        <v>28</v>
      </c>
      <c r="C22" s="28">
        <f t="shared" si="0"/>
        <v>-4.833333333333333</v>
      </c>
      <c r="D22" s="26">
        <v>0.95</v>
      </c>
      <c r="E22" s="29">
        <f>E$6+E20</f>
        <v>-4.712158953050599</v>
      </c>
      <c r="F22" s="26">
        <f t="shared" si="1"/>
        <v>9.9107859822899172E-2</v>
      </c>
      <c r="G22" s="26">
        <f t="shared" si="2"/>
        <v>21</v>
      </c>
      <c r="H22" s="26">
        <f t="shared" si="3"/>
        <v>-5.9666666666666659</v>
      </c>
      <c r="I22" s="26">
        <f t="shared" si="4"/>
        <v>-1.3658767477353602</v>
      </c>
      <c r="K22" s="29">
        <f>$E$21</f>
        <v>-7.1348585908090509</v>
      </c>
      <c r="L22" s="26">
        <v>2</v>
      </c>
    </row>
    <row r="23" spans="1:12">
      <c r="A23" s="25">
        <v>-8.4</v>
      </c>
      <c r="B23" s="26">
        <f>_xlfn.RANK.EQ(C23,$C:$C,1)+COUNTIF($C$2:C23,C23)-1</f>
        <v>9</v>
      </c>
      <c r="C23" s="28">
        <f t="shared" si="0"/>
        <v>-8.4</v>
      </c>
      <c r="F23" s="26">
        <f t="shared" si="1"/>
        <v>0.1656644138685531</v>
      </c>
      <c r="G23" s="26">
        <f t="shared" si="2"/>
        <v>22</v>
      </c>
      <c r="H23" s="26">
        <f t="shared" si="3"/>
        <v>-5.8666666666666671</v>
      </c>
      <c r="I23" s="26">
        <f t="shared" si="4"/>
        <v>-1.3870974112575261</v>
      </c>
      <c r="K23" s="29">
        <f>$E$22</f>
        <v>-4.712158953050599</v>
      </c>
      <c r="L23" s="26">
        <v>2</v>
      </c>
    </row>
    <row r="24" spans="1:12">
      <c r="A24" s="25">
        <v>-2.9333333333333336</v>
      </c>
      <c r="B24" s="26">
        <f>_xlfn.RANK.EQ(C24,$C:$C,1)+COUNTIF($C$2:C24,C24)-1</f>
        <v>33</v>
      </c>
      <c r="C24" s="28">
        <f t="shared" si="0"/>
        <v>-2.9333333333333336</v>
      </c>
      <c r="D24" s="26" t="s">
        <v>91</v>
      </c>
      <c r="E24" s="29">
        <f>SQRT((E12-1)*E9/_xlfn.CHISQ.INV.RT((1-D22)/2,E12-1))</f>
        <v>3.0045458685829951</v>
      </c>
      <c r="F24" s="26">
        <f t="shared" si="1"/>
        <v>0.23296385427137234</v>
      </c>
      <c r="G24" s="26">
        <f t="shared" si="2"/>
        <v>23</v>
      </c>
      <c r="H24" s="26">
        <f t="shared" si="3"/>
        <v>-5.8</v>
      </c>
      <c r="I24" s="26">
        <f t="shared" si="4"/>
        <v>-1.4064280361976484</v>
      </c>
      <c r="J24" s="26" t="str">
        <f>$D$16</f>
        <v>Median</v>
      </c>
      <c r="K24" s="29">
        <f>$E$16</f>
        <v>-6.4666666666666668</v>
      </c>
      <c r="L24" s="26">
        <v>1</v>
      </c>
    </row>
    <row r="25" spans="1:12">
      <c r="A25" s="25">
        <v>-5.166666666666667</v>
      </c>
      <c r="B25" s="26">
        <f>_xlfn.RANK.EQ(C25,$C:$C,1)+COUNTIF($C$2:C25,C25)-1</f>
        <v>25</v>
      </c>
      <c r="C25" s="28">
        <f t="shared" si="0"/>
        <v>-5.166666666666667</v>
      </c>
      <c r="E25" s="29">
        <f>SQRT((E12-1)*E9/_xlfn.CHISQ.INV.RT(1-(1-D22)/2,E12-1))</f>
        <v>4.7679327706632195</v>
      </c>
      <c r="F25" s="26">
        <f t="shared" si="1"/>
        <v>0.3013365208595763</v>
      </c>
      <c r="G25" s="26">
        <f t="shared" si="2"/>
        <v>24</v>
      </c>
      <c r="H25" s="26">
        <f t="shared" si="3"/>
        <v>-5.7333333333333334</v>
      </c>
      <c r="I25" s="26">
        <f t="shared" si="4"/>
        <v>-1.3682098049784412</v>
      </c>
      <c r="K25" s="29">
        <f>$E$27</f>
        <v>-9.7999999999999989</v>
      </c>
      <c r="L25" s="26">
        <v>1</v>
      </c>
    </row>
    <row r="26" spans="1:12">
      <c r="A26" s="25">
        <v>-5.8666666666666671</v>
      </c>
      <c r="B26" s="26">
        <f>_xlfn.RANK.EQ(C26,$C:$C,1)+COUNTIF($C$2:C26,C26)-1</f>
        <v>22</v>
      </c>
      <c r="C26" s="28">
        <f t="shared" si="0"/>
        <v>-5.8666666666666671</v>
      </c>
      <c r="F26" s="26">
        <f t="shared" si="1"/>
        <v>0.37114932320228394</v>
      </c>
      <c r="G26" s="26">
        <f t="shared" si="2"/>
        <v>25</v>
      </c>
      <c r="H26" s="26">
        <f t="shared" si="3"/>
        <v>-5.166666666666667</v>
      </c>
      <c r="I26" s="26">
        <f t="shared" si="4"/>
        <v>-1.2569239167290414</v>
      </c>
      <c r="K26" s="29">
        <f>$E$28</f>
        <v>-5.166666666666667</v>
      </c>
      <c r="L26" s="26">
        <v>1</v>
      </c>
    </row>
    <row r="27" spans="1:12">
      <c r="A27" s="25">
        <v>-6.666666666666667</v>
      </c>
      <c r="B27" s="26">
        <f>_xlfn.RANK.EQ(C27,$C:$C,1)+COUNTIF($C$2:C27,C27)-1</f>
        <v>17</v>
      </c>
      <c r="C27" s="28">
        <f t="shared" si="0"/>
        <v>-6.666666666666667</v>
      </c>
      <c r="D27" s="26" t="s">
        <v>92</v>
      </c>
      <c r="E27" s="29">
        <f>INDEX($A:$A,_xlfn.BINOM.INV(E12,0.5,(1-D22)/2))</f>
        <v>-9.7999999999999989</v>
      </c>
      <c r="F27" s="26">
        <f t="shared" si="1"/>
        <v>0.44282165759651121</v>
      </c>
      <c r="G27" s="26">
        <f t="shared" si="2"/>
        <v>26</v>
      </c>
      <c r="H27" s="26">
        <f t="shared" si="3"/>
        <v>-4.9666666666666668</v>
      </c>
      <c r="I27" s="26">
        <f t="shared" si="4"/>
        <v>-1.2535394190124638</v>
      </c>
      <c r="J27" s="26" t="str">
        <f>$D$30</f>
        <v>Normal</v>
      </c>
      <c r="K27" s="29">
        <f>$E$6</f>
        <v>-5.9235087719298249</v>
      </c>
      <c r="L27" s="26">
        <v>2</v>
      </c>
    </row>
    <row r="28" spans="1:12">
      <c r="A28" s="25">
        <v>-4.9666666666666668</v>
      </c>
      <c r="B28" s="26">
        <f>_xlfn.RANK.EQ(C28,$C:$C,1)+COUNTIF($C$2:C28,C28)-1</f>
        <v>26</v>
      </c>
      <c r="C28" s="28">
        <f t="shared" si="0"/>
        <v>-4.9666666666666668</v>
      </c>
      <c r="E28" s="29">
        <f>INDEX($A:$A,_xlfn.BINOM.INV(E12,0.5,(1-(1-D22)/2)))</f>
        <v>-5.166666666666667</v>
      </c>
      <c r="F28" s="26">
        <f t="shared" si="1"/>
        <v>0.51684672765260953</v>
      </c>
      <c r="G28" s="26">
        <f t="shared" si="2"/>
        <v>27</v>
      </c>
      <c r="H28" s="26">
        <f t="shared" si="3"/>
        <v>-4.833333333333333</v>
      </c>
      <c r="I28" s="26">
        <f t="shared" si="4"/>
        <v>-1.1895444479617709</v>
      </c>
      <c r="K28" s="29">
        <f>$E$30</f>
        <v>-14.995184337322453</v>
      </c>
      <c r="L28" s="26">
        <v>2</v>
      </c>
    </row>
    <row r="29" spans="1:12">
      <c r="A29" s="25">
        <v>-8.2666666666666675</v>
      </c>
      <c r="B29" s="26">
        <f>_xlfn.RANK.EQ(C29,$C:$C,1)+COUNTIF($C$2:C29,C29)-1</f>
        <v>11</v>
      </c>
      <c r="C29" s="28">
        <f t="shared" si="0"/>
        <v>-8.2666666666666675</v>
      </c>
      <c r="F29" s="26">
        <f t="shared" si="1"/>
        <v>0.59382139299351988</v>
      </c>
      <c r="G29" s="26">
        <f t="shared" si="2"/>
        <v>28</v>
      </c>
      <c r="H29" s="26">
        <f t="shared" si="3"/>
        <v>-4.833333333333333</v>
      </c>
      <c r="I29" s="26">
        <f t="shared" si="4"/>
        <v>-1.1411426834661664</v>
      </c>
      <c r="K29" s="29">
        <f>$E$31</f>
        <v>3.1481667934628028</v>
      </c>
      <c r="L29" s="26">
        <v>2</v>
      </c>
    </row>
    <row r="30" spans="1:12">
      <c r="A30" s="25">
        <v>-5.7333333333333334</v>
      </c>
      <c r="B30" s="26">
        <f>_xlfn.RANK.EQ(C30,$C:$C,1)+COUNTIF($C$2:C30,C30)-1</f>
        <v>24</v>
      </c>
      <c r="C30" s="28">
        <f t="shared" si="0"/>
        <v>-5.7333333333333334</v>
      </c>
      <c r="D30" s="26" t="s">
        <v>67</v>
      </c>
      <c r="E30" s="29">
        <f>E6-E8*E36</f>
        <v>-14.995184337322453</v>
      </c>
      <c r="F30" s="26">
        <f t="shared" si="1"/>
        <v>0.67448975019608193</v>
      </c>
      <c r="G30" s="26">
        <f t="shared" si="2"/>
        <v>29</v>
      </c>
      <c r="H30" s="26">
        <f t="shared" si="3"/>
        <v>-4.8</v>
      </c>
      <c r="I30" s="26">
        <f t="shared" si="4"/>
        <v>-1.1507493576696213</v>
      </c>
      <c r="J30" s="26" t="str">
        <f>$D$39</f>
        <v>Nonparametric</v>
      </c>
      <c r="K30" s="29">
        <f>$E$6</f>
        <v>-5.9235087719298249</v>
      </c>
      <c r="L30" s="26">
        <v>1</v>
      </c>
    </row>
    <row r="31" spans="1:12">
      <c r="A31" s="25">
        <v>-6.5</v>
      </c>
      <c r="B31" s="26">
        <f>_xlfn.RANK.EQ(C31,$C:$C,1)+COUNTIF($C$2:C31,C31)-1</f>
        <v>19</v>
      </c>
      <c r="C31" s="28">
        <f t="shared" si="0"/>
        <v>-6.5</v>
      </c>
      <c r="D31" s="26">
        <v>0.95</v>
      </c>
      <c r="E31" s="29">
        <f>E6+E8*E36</f>
        <v>3.1481667934628028</v>
      </c>
      <c r="F31" s="26">
        <f t="shared" si="1"/>
        <v>0.75980957100991864</v>
      </c>
      <c r="G31" s="26">
        <f t="shared" si="2"/>
        <v>30</v>
      </c>
      <c r="H31" s="26">
        <f t="shared" si="3"/>
        <v>-4.666666666666667</v>
      </c>
      <c r="I31" s="26">
        <f t="shared" si="4"/>
        <v>-1.1571806796909965</v>
      </c>
      <c r="K31" s="29">
        <f>$E$39</f>
        <v>-11.633333333333333</v>
      </c>
      <c r="L31" s="26">
        <v>1</v>
      </c>
    </row>
    <row r="32" spans="1:12">
      <c r="A32" s="25">
        <v>-4.2</v>
      </c>
      <c r="B32" s="26">
        <f>_xlfn.RANK.EQ(C32,$C:$C,1)+COUNTIF($C$2:C32,C32)-1</f>
        <v>32</v>
      </c>
      <c r="C32" s="28">
        <f t="shared" si="0"/>
        <v>-4.2</v>
      </c>
      <c r="F32" s="26">
        <f t="shared" si="1"/>
        <v>0.85105852683856942</v>
      </c>
      <c r="G32" s="26">
        <f t="shared" si="2"/>
        <v>31</v>
      </c>
      <c r="H32" s="26">
        <f t="shared" si="3"/>
        <v>-4.2333333333333334</v>
      </c>
      <c r="I32" s="26">
        <f t="shared" si="4"/>
        <v>-1.048603857348948</v>
      </c>
      <c r="K32" s="29">
        <f>$E$40</f>
        <v>-6.5</v>
      </c>
      <c r="L32" s="26">
        <v>1</v>
      </c>
    </row>
    <row r="33" spans="1:13">
      <c r="A33" s="25">
        <v>-2.6666666666666665</v>
      </c>
      <c r="B33" s="26">
        <f>_xlfn.RANK.EQ(C33,$C:$C,1)+COUNTIF($C$2:C33,C33)-1</f>
        <v>35</v>
      </c>
      <c r="C33" s="28">
        <f t="shared" si="0"/>
        <v>-2.6666666666666665</v>
      </c>
      <c r="D33" s="26" t="s">
        <v>95</v>
      </c>
      <c r="E33" s="29">
        <f>E6-E8*E37</f>
        <v>-13.781043213266328</v>
      </c>
      <c r="F33" s="26">
        <f t="shared" si="1"/>
        <v>0.95001375566931956</v>
      </c>
      <c r="G33" s="26">
        <f t="shared" si="2"/>
        <v>32</v>
      </c>
      <c r="H33" s="26">
        <f t="shared" si="3"/>
        <v>-4.2</v>
      </c>
      <c r="I33" s="26">
        <f t="shared" si="4"/>
        <v>-1.0691556434386582</v>
      </c>
      <c r="J33" s="26">
        <v>-12</v>
      </c>
      <c r="K33" s="26">
        <f>COUNTIF($C$2:$C$39,"&lt;="&amp;J33)</f>
        <v>0</v>
      </c>
      <c r="L33" s="26">
        <f t="shared" ref="L33:L40" si="5">IF(2.7&lt;&gt;0,M$33/M$34*_xlfn.NORM.DIST(J33-2.7/2,AVERAGE($C$2:$C$39),_xlfn.STDEV.S($C$2:$C$39),FALSE),K33)</f>
        <v>2.0024584462924797</v>
      </c>
      <c r="M33" s="26">
        <f>MAX($K$33:$K$40)</f>
        <v>15</v>
      </c>
    </row>
    <row r="34" spans="1:13">
      <c r="A34" s="25">
        <v>-7.3666666666666663</v>
      </c>
      <c r="B34" s="26">
        <f>_xlfn.RANK.EQ(C34,$C:$C,1)+COUNTIF($C$2:C34,C34)-1</f>
        <v>13</v>
      </c>
      <c r="C34" s="28">
        <f t="shared" si="0"/>
        <v>-7.3666666666666663</v>
      </c>
      <c r="E34" s="29">
        <f>E6+E8*E37</f>
        <v>1.9340256694066777</v>
      </c>
      <c r="F34" s="26">
        <f t="shared" si="1"/>
        <v>1.0592769170824312</v>
      </c>
      <c r="G34" s="26">
        <f t="shared" si="2"/>
        <v>33</v>
      </c>
      <c r="H34" s="26">
        <f t="shared" si="3"/>
        <v>-2.9333333333333336</v>
      </c>
      <c r="I34" s="26">
        <f t="shared" si="4"/>
        <v>-0.80370409153428635</v>
      </c>
      <c r="J34" s="26">
        <f t="shared" ref="J34:J40" si="6">J33 + 2.7</f>
        <v>-9.3000000000000007</v>
      </c>
      <c r="K34" s="26">
        <f t="shared" ref="K34:K40" si="7">COUNTIF($C$2:$C$39,"&lt;="&amp;J34)-COUNTIF($C$2:$C$39,"&lt;="&amp;J33)</f>
        <v>5</v>
      </c>
      <c r="L34" s="26">
        <f t="shared" si="5"/>
        <v>6.7015793527854255</v>
      </c>
      <c r="M34" s="26">
        <v>0.10645768612659386</v>
      </c>
    </row>
    <row r="35" spans="1:13">
      <c r="A35" s="25">
        <v>-6.8</v>
      </c>
      <c r="B35" s="26">
        <f>_xlfn.RANK.EQ(C35,$C:$C,1)+COUNTIF($C$2:C35,C35)-1</f>
        <v>16</v>
      </c>
      <c r="C35" s="28">
        <f t="shared" si="0"/>
        <v>-6.8</v>
      </c>
      <c r="F35" s="26">
        <f t="shared" si="1"/>
        <v>1.1829168441908862</v>
      </c>
      <c r="G35" s="26">
        <f t="shared" si="2"/>
        <v>34</v>
      </c>
      <c r="H35" s="26">
        <f t="shared" si="3"/>
        <v>-2.6666666666666665</v>
      </c>
      <c r="I35" s="26">
        <f t="shared" si="4"/>
        <v>-0.68322918878740446</v>
      </c>
      <c r="J35" s="26">
        <f t="shared" si="6"/>
        <v>-6.6000000000000005</v>
      </c>
      <c r="K35" s="26">
        <f t="shared" si="7"/>
        <v>12</v>
      </c>
      <c r="L35" s="26">
        <f t="shared" si="5"/>
        <v>13.112527535618668</v>
      </c>
    </row>
    <row r="36" spans="1:13">
      <c r="A36" s="25">
        <v>4.6333333333333329</v>
      </c>
      <c r="B36" s="26">
        <f>_xlfn.RANK.EQ(C36,$C:$C,1)+COUNTIF($C$2:C36,C36)-1</f>
        <v>38</v>
      </c>
      <c r="C36" s="28">
        <f t="shared" si="0"/>
        <v>4.6333333333333329</v>
      </c>
      <c r="D36" s="26" t="s">
        <v>93</v>
      </c>
      <c r="E36" s="29">
        <f>-NORMSINV((1-D22)/2)*SQRT((E12-1)*(1+1/E12)/CHIINV(D31,E12-1))</f>
        <v>2.4615396090870374</v>
      </c>
      <c r="F36" s="26">
        <f t="shared" si="1"/>
        <v>1.3279018717558344</v>
      </c>
      <c r="G36" s="26">
        <f t="shared" si="2"/>
        <v>35</v>
      </c>
      <c r="H36" s="26">
        <f t="shared" si="3"/>
        <v>-2.6666666666666665</v>
      </c>
      <c r="I36" s="26">
        <f t="shared" si="4"/>
        <v>-0.66658680783712532</v>
      </c>
      <c r="J36" s="26">
        <f t="shared" si="6"/>
        <v>-3.9000000000000004</v>
      </c>
      <c r="K36" s="26">
        <f t="shared" si="7"/>
        <v>15</v>
      </c>
      <c r="L36" s="26">
        <f t="shared" si="5"/>
        <v>15</v>
      </c>
    </row>
    <row r="37" spans="1:13">
      <c r="A37" s="25">
        <v>-8.8933333333333326</v>
      </c>
      <c r="B37" s="26">
        <f>_xlfn.RANK.EQ(C37,$C:$C,1)+COUNTIF($C$2:C37,C37)-1</f>
        <v>6</v>
      </c>
      <c r="C37" s="28">
        <f t="shared" si="0"/>
        <v>-8.8933333333333326</v>
      </c>
      <c r="D37" s="26" t="s">
        <v>94</v>
      </c>
      <c r="E37" s="29">
        <f>(-NORMSINV(1-D22)+SQRT((NORMSINV(1-D22))^2-(1-(NORMSINV(1-D31))^2/(2*(E12-1)))*((-NORMSINV(1-D22))^2--NORMSINV(1-D31)^2/E12)))/(1-(NORMSINV(1-D31))^2/(2*(E12-1)))</f>
        <v>2.1320903859151921</v>
      </c>
      <c r="F37" s="26">
        <f t="shared" si="1"/>
        <v>1.5079045914405591</v>
      </c>
      <c r="G37" s="26">
        <f t="shared" si="2"/>
        <v>36</v>
      </c>
      <c r="H37" s="26">
        <f t="shared" si="3"/>
        <v>2.8333333333333335</v>
      </c>
      <c r="I37" s="26">
        <f t="shared" si="4"/>
        <v>-0.18945701393475839</v>
      </c>
      <c r="J37" s="26">
        <f t="shared" si="6"/>
        <v>-1.2000000000000002</v>
      </c>
      <c r="K37" s="26">
        <f t="shared" si="7"/>
        <v>3</v>
      </c>
      <c r="L37" s="26">
        <f t="shared" si="5"/>
        <v>10.032096521491603</v>
      </c>
    </row>
    <row r="38" spans="1:13">
      <c r="A38" s="25">
        <v>-8.4</v>
      </c>
      <c r="B38" s="26">
        <f>_xlfn.RANK.EQ(C38,$C:$C,1)+COUNTIF($C$2:C38,C38)-1</f>
        <v>10</v>
      </c>
      <c r="C38" s="28">
        <f t="shared" si="0"/>
        <v>-8.4</v>
      </c>
      <c r="F38" s="26">
        <f t="shared" si="1"/>
        <v>1.7568266072519048</v>
      </c>
      <c r="G38" s="26">
        <f t="shared" si="2"/>
        <v>37</v>
      </c>
      <c r="H38" s="26">
        <f t="shared" si="3"/>
        <v>4.1333333333333337</v>
      </c>
      <c r="I38" s="26">
        <f t="shared" si="4"/>
        <v>-0.12855219321719152</v>
      </c>
      <c r="J38" s="26">
        <f t="shared" si="6"/>
        <v>1.5</v>
      </c>
      <c r="K38" s="26">
        <f t="shared" si="7"/>
        <v>0</v>
      </c>
      <c r="L38" s="26">
        <f t="shared" si="5"/>
        <v>3.9227239040851982</v>
      </c>
    </row>
    <row r="39" spans="1:13">
      <c r="A39" s="25">
        <v>-7.333333333333333</v>
      </c>
      <c r="B39" s="26">
        <f>_xlfn.RANK.EQ(C39,$C:$C,1)+COUNTIF($C$2:C39,C39)-1</f>
        <v>14</v>
      </c>
      <c r="C39" s="28">
        <f t="shared" si="0"/>
        <v>-7.333333333333333</v>
      </c>
      <c r="D39" s="26" t="s">
        <v>96</v>
      </c>
      <c r="E39" s="29">
        <f>SMALL($A:C,MAX(1,INT((E$12-_xlfn.BINOM.INV(E$12,D$40,D$31))/2)))</f>
        <v>-11.633333333333333</v>
      </c>
      <c r="F39" s="26">
        <f t="shared" si="1"/>
        <v>2.2215195883378365</v>
      </c>
      <c r="G39" s="26">
        <f t="shared" si="2"/>
        <v>38</v>
      </c>
      <c r="H39" s="26">
        <f t="shared" si="3"/>
        <v>4.6333333333333329</v>
      </c>
      <c r="I39" s="26">
        <f t="shared" si="4"/>
        <v>-0.12761760444867895</v>
      </c>
      <c r="J39" s="26">
        <f t="shared" si="6"/>
        <v>4.2</v>
      </c>
      <c r="K39" s="26">
        <f t="shared" si="7"/>
        <v>2</v>
      </c>
      <c r="L39" s="26">
        <f t="shared" si="5"/>
        <v>0.89676650573129846</v>
      </c>
    </row>
    <row r="40" spans="1:13">
      <c r="D40" s="26">
        <v>0.95</v>
      </c>
      <c r="E40" s="29">
        <f>SMALL($A:C,MIN(E$12,INT(E$12+1-(E$12-_xlfn.BINOM.INV(E$12,D$40,D$31))/2)))</f>
        <v>-6.5</v>
      </c>
      <c r="J40" s="26">
        <f t="shared" si="6"/>
        <v>6.9</v>
      </c>
      <c r="K40" s="26">
        <f t="shared" si="7"/>
        <v>1</v>
      </c>
      <c r="L40" s="26">
        <f t="shared" si="5"/>
        <v>0.11985788586829685</v>
      </c>
    </row>
    <row r="42" spans="1:13">
      <c r="D42" s="26" t="s">
        <v>69</v>
      </c>
      <c r="E42" s="29">
        <v>0.5</v>
      </c>
    </row>
  </sheetData>
  <pageMargins left="0.7" right="0.7" top="0.75" bottom="0.75" header="0.3" footer="0.3"/>
  <pageSetup scale="3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B5E1-4400-44E2-A8BE-092539BC34FE}">
  <sheetPr>
    <tabColor rgb="FF66FF66"/>
    <pageSetUpPr fitToPage="1"/>
  </sheetPr>
  <dimension ref="A1:M42"/>
  <sheetViews>
    <sheetView zoomScale="47" zoomScaleNormal="47" workbookViewId="0">
      <selection activeCell="D1" sqref="D1"/>
    </sheetView>
  </sheetViews>
  <sheetFormatPr defaultRowHeight="33.75"/>
  <cols>
    <col min="1" max="1" width="17.7109375" style="38" bestFit="1" customWidth="1"/>
    <col min="2" max="2" width="16.140625" style="38" bestFit="1" customWidth="1"/>
    <col min="3" max="3" width="17.7109375" style="38" bestFit="1" customWidth="1"/>
    <col min="4" max="4" width="79.140625" style="38" customWidth="1"/>
    <col min="5" max="5" width="18.85546875" style="39" bestFit="1" customWidth="1"/>
    <col min="6" max="6" width="16.7109375" style="38" bestFit="1" customWidth="1"/>
    <col min="7" max="7" width="9.140625" style="38" customWidth="1"/>
    <col min="8" max="8" width="16.140625" style="38" bestFit="1" customWidth="1"/>
    <col min="9" max="10" width="9.42578125" style="38" bestFit="1" customWidth="1"/>
    <col min="11" max="11" width="17.7109375" style="38" bestFit="1" customWidth="1"/>
    <col min="12" max="12" width="9.42578125" style="38" bestFit="1" customWidth="1"/>
    <col min="13" max="13" width="4.85546875" style="38" customWidth="1"/>
    <col min="14" max="16384" width="9.140625" style="38"/>
  </cols>
  <sheetData>
    <row r="1" spans="1:12" ht="101.25">
      <c r="A1" s="37" t="s">
        <v>100</v>
      </c>
      <c r="B1" s="38" t="s">
        <v>70</v>
      </c>
      <c r="D1" s="38" t="s">
        <v>71</v>
      </c>
      <c r="E1" s="37" t="str">
        <f>IF(E2&gt;E5,"Non-Normal at 0.01",IF(E2&gt;E4,"Non-Normal at 0.05","Data is Normal"))</f>
        <v>Non-Normal at 0.01</v>
      </c>
      <c r="G1" s="38" t="s">
        <v>98</v>
      </c>
      <c r="K1" s="38" t="s">
        <v>98</v>
      </c>
    </row>
    <row r="2" spans="1:12">
      <c r="A2" s="39">
        <v>1.2486781411246923</v>
      </c>
      <c r="B2" s="39">
        <f>_xlfn.RANK.EQ(C2,$C:$C,1)+COUNTIF($C$2:C2,C2)-1</f>
        <v>14</v>
      </c>
      <c r="C2" s="39">
        <f t="shared" ref="C2:C22" si="0">A2</f>
        <v>1.2486781411246923</v>
      </c>
      <c r="D2" s="39" t="s">
        <v>72</v>
      </c>
      <c r="E2" s="39">
        <f>ABS(E12-ABS(SUM(I:I)))</f>
        <v>3.009419778254852</v>
      </c>
      <c r="F2" s="38">
        <f t="shared" ref="F2:F22" si="1">_xlfn.NORM.S.INV((G2-0.5)/E$12)</f>
        <v>-1.9599639845400538</v>
      </c>
      <c r="G2" s="39">
        <f t="shared" ref="G2:G22" si="2">ROW(G2)-1</f>
        <v>1</v>
      </c>
      <c r="H2" s="38">
        <f t="shared" ref="H2:H22" si="3">VLOOKUP(G2,$B:$C,2,FALSE)</f>
        <v>-11.633333333333333</v>
      </c>
      <c r="I2" s="38">
        <f t="shared" ref="I2:I22" si="4">IF(ISERROR((2*G2 -1)/J$11*(LN(_xlfn.NORM.DIST(H2,J$6,J$8,TRUE))+LN(1-_xlfn.NORM.DIST(INDEX(H:H,J$11-G2+2,,1),J$6,J$8,TRUE)))),"",(2*G2 -1)/J$11*(LN(_xlfn.NORM.DIST(H2,J$6,J$8,TRUE))+LN(1-_xlfn.NORM.DIST(INDEX(H:H,J$11-G2+2,,1),J$6,J$8,TRUE))))</f>
        <v>-0.23592818580060693</v>
      </c>
      <c r="K2" s="38">
        <f>E2*(1+0.75/E12+2.25/E12^2)</f>
        <v>3.1392010061920925</v>
      </c>
    </row>
    <row r="3" spans="1:12">
      <c r="A3" s="39">
        <v>2.5888022188385461E-3</v>
      </c>
      <c r="B3" s="39">
        <f>_xlfn.RANK.EQ(C3,$C:$C,1)+COUNTIF($C$2:C3,C3)-1</f>
        <v>9</v>
      </c>
      <c r="C3" s="39">
        <f t="shared" si="0"/>
        <v>2.5888022188385461E-3</v>
      </c>
      <c r="D3" s="40" t="s">
        <v>97</v>
      </c>
      <c r="E3" s="39">
        <f>IF(K2&lt;0.2,K6,IF(K2&lt;0.34,K5,IF(K2&lt;0.6,K4,IF(K2&lt;13,K3,0))))</f>
        <v>7.2136671546257679E-8</v>
      </c>
      <c r="F3" s="38">
        <f t="shared" si="1"/>
        <v>-1.4395314709384572</v>
      </c>
      <c r="G3" s="39">
        <f t="shared" si="2"/>
        <v>2</v>
      </c>
      <c r="H3" s="38">
        <f t="shared" si="3"/>
        <v>-8.3666666666666671</v>
      </c>
      <c r="I3" s="38">
        <f t="shared" si="4"/>
        <v>-0.56831887008293391</v>
      </c>
      <c r="K3" s="38">
        <f>EXP(1.2937-5.709*K2+0.0186*K2^2)</f>
        <v>7.2136671546257679E-8</v>
      </c>
    </row>
    <row r="4" spans="1:12">
      <c r="A4" s="39">
        <v>0.78700000000000003</v>
      </c>
      <c r="B4" s="39">
        <f>_xlfn.RANK.EQ(C4,$C:$C,1)+COUNTIF($C$2:C4,C4)-1</f>
        <v>11</v>
      </c>
      <c r="C4" s="39">
        <f t="shared" si="0"/>
        <v>0.78700000000000003</v>
      </c>
      <c r="D4" s="39" t="s">
        <v>73</v>
      </c>
      <c r="E4" s="39">
        <v>0.78700000000000003</v>
      </c>
      <c r="F4" s="38">
        <f t="shared" si="1"/>
        <v>-1.1503493803760083</v>
      </c>
      <c r="G4" s="39">
        <f t="shared" si="2"/>
        <v>3</v>
      </c>
      <c r="H4" s="38">
        <f t="shared" si="3"/>
        <v>-7.1348585908090509</v>
      </c>
      <c r="I4" s="38">
        <f t="shared" si="4"/>
        <v>-0.63338357572034854</v>
      </c>
      <c r="K4" s="38">
        <f>EXP(0.9177-4.279*K2-1.38*K2^2)</f>
        <v>4.5574147838369195E-12</v>
      </c>
    </row>
    <row r="5" spans="1:12">
      <c r="A5" s="39">
        <v>1.0920000000000001</v>
      </c>
      <c r="B5" s="39">
        <f>_xlfn.RANK.EQ(C5,$C:$C,1)+COUNTIF($C$2:C5,C5)-1</f>
        <v>12</v>
      </c>
      <c r="C5" s="39">
        <f t="shared" si="0"/>
        <v>1.0920000000000001</v>
      </c>
      <c r="D5" s="39" t="s">
        <v>74</v>
      </c>
      <c r="E5" s="39">
        <v>1.0920000000000001</v>
      </c>
      <c r="F5" s="38">
        <f t="shared" si="1"/>
        <v>-0.93458929107347943</v>
      </c>
      <c r="G5" s="39">
        <f t="shared" si="2"/>
        <v>4</v>
      </c>
      <c r="H5" s="38">
        <f t="shared" si="3"/>
        <v>-6.4666666666666668</v>
      </c>
      <c r="I5" s="38">
        <f t="shared" si="4"/>
        <v>-0.82694950589943406</v>
      </c>
      <c r="K5" s="38">
        <f>1-EXP(-8.318+42.796*K2-59.938*K2^2)</f>
        <v>1</v>
      </c>
    </row>
    <row r="6" spans="1:12">
      <c r="A6" s="39">
        <v>-5.9235087719298249</v>
      </c>
      <c r="B6" s="39">
        <f>_xlfn.RANK.EQ(C6,$C:$C,1)+COUNTIF($C$2:C6,C6)-1</f>
        <v>5</v>
      </c>
      <c r="C6" s="39">
        <f t="shared" si="0"/>
        <v>-5.9235087719298249</v>
      </c>
      <c r="D6" s="39" t="s">
        <v>75</v>
      </c>
      <c r="E6" s="39">
        <f>AVERAGE($A:$A)</f>
        <v>1.7825435499393969</v>
      </c>
      <c r="F6" s="39">
        <f t="shared" si="1"/>
        <v>-0.75541502636046909</v>
      </c>
      <c r="G6" s="39">
        <f t="shared" si="2"/>
        <v>5</v>
      </c>
      <c r="H6" s="38">
        <f t="shared" si="3"/>
        <v>-5.9235087719298249</v>
      </c>
      <c r="I6" s="38">
        <f t="shared" si="4"/>
        <v>-0.98147731696932805</v>
      </c>
      <c r="J6" s="38">
        <f>AVERAGE(H:H)</f>
        <v>1.6976605237518065</v>
      </c>
      <c r="K6" s="38">
        <f>1-EXP(-13.436+101.14*K2-223.73*K2^2)</f>
        <v>1</v>
      </c>
    </row>
    <row r="7" spans="1:12">
      <c r="A7" s="39"/>
      <c r="B7" s="39">
        <f>_xlfn.RANK.EQ(C7,$C:$C,1)+COUNTIF($C$2:C7,C7)-1</f>
        <v>8</v>
      </c>
      <c r="C7" s="39">
        <f t="shared" si="0"/>
        <v>0</v>
      </c>
      <c r="D7" s="39" t="s">
        <v>76</v>
      </c>
      <c r="E7" s="39" t="e">
        <f ca="1">_xlfn.MODE.SNGL(OFFSET($A$2,0,0,COUNT($A:$A),1))</f>
        <v>#N/A</v>
      </c>
      <c r="F7" s="38">
        <f t="shared" si="1"/>
        <v>-0.59776012604247841</v>
      </c>
      <c r="G7" s="38">
        <f t="shared" si="2"/>
        <v>6</v>
      </c>
      <c r="H7" s="38">
        <f t="shared" si="3"/>
        <v>-4.8083333333333336</v>
      </c>
      <c r="I7" s="38">
        <f t="shared" si="4"/>
        <v>-1.0842271191244968</v>
      </c>
    </row>
    <row r="8" spans="1:12">
      <c r="A8" s="39">
        <v>3.6853664803538262</v>
      </c>
      <c r="B8" s="39">
        <f>_xlfn.RANK.EQ(C8,$C:$C,1)+COUNTIF($C$2:C8,C8)-1</f>
        <v>17</v>
      </c>
      <c r="C8" s="39">
        <f t="shared" si="0"/>
        <v>3.6853664803538262</v>
      </c>
      <c r="D8" s="39" t="s">
        <v>77</v>
      </c>
      <c r="E8" s="39">
        <f>_xlfn.STDEV.S($A:$A)</f>
        <v>10.894720461032112</v>
      </c>
      <c r="F8" s="39">
        <f t="shared" si="1"/>
        <v>-0.45376219016987951</v>
      </c>
      <c r="G8" s="38">
        <f t="shared" si="2"/>
        <v>7</v>
      </c>
      <c r="H8" s="38">
        <f t="shared" si="3"/>
        <v>-4.712158953050599</v>
      </c>
      <c r="I8" s="38">
        <f t="shared" si="4"/>
        <v>-1.2724537997509908</v>
      </c>
      <c r="J8" s="38">
        <f>_xlfn.STDEV.S(H:H)</f>
        <v>10.625982068433023</v>
      </c>
    </row>
    <row r="9" spans="1:12">
      <c r="A9" s="39">
        <v>13.581926094515548</v>
      </c>
      <c r="B9" s="39">
        <f>_xlfn.RANK.EQ(C9,$C:$C,1)+COUNTIF($C$2:C9,C9)-1</f>
        <v>19</v>
      </c>
      <c r="C9" s="39">
        <f t="shared" si="0"/>
        <v>13.581926094515548</v>
      </c>
      <c r="D9" s="39" t="s">
        <v>78</v>
      </c>
      <c r="E9" s="39">
        <f>_xlfn.VAR.S($A:$A)</f>
        <v>118.69493392403176</v>
      </c>
      <c r="F9" s="38">
        <f t="shared" si="1"/>
        <v>-0.3186393639643752</v>
      </c>
      <c r="G9" s="38">
        <f t="shared" si="2"/>
        <v>8</v>
      </c>
      <c r="H9" s="38">
        <f t="shared" si="3"/>
        <v>0</v>
      </c>
      <c r="I9" s="38">
        <f t="shared" si="4"/>
        <v>-1.1146390335694691</v>
      </c>
    </row>
    <row r="10" spans="1:12">
      <c r="A10" s="39">
        <v>1.2851593289960364</v>
      </c>
      <c r="B10" s="39">
        <f>_xlfn.RANK.EQ(C10,$C:$C,1)+COUNTIF($C$2:C10,C10)-1</f>
        <v>15</v>
      </c>
      <c r="C10" s="39">
        <f t="shared" si="0"/>
        <v>1.2851593289960364</v>
      </c>
      <c r="D10" s="39" t="s">
        <v>79</v>
      </c>
      <c r="E10" s="39">
        <f>SKEW($A:$A)</f>
        <v>2.101072565783241</v>
      </c>
      <c r="F10" s="38">
        <f t="shared" si="1"/>
        <v>-0.18911842627279254</v>
      </c>
      <c r="G10" s="38">
        <f t="shared" si="2"/>
        <v>9</v>
      </c>
      <c r="H10" s="38">
        <f t="shared" si="3"/>
        <v>2.5888022188385461E-3</v>
      </c>
      <c r="I10" s="38">
        <f t="shared" si="4"/>
        <v>-1.2557627602002763</v>
      </c>
    </row>
    <row r="11" spans="1:12">
      <c r="A11" s="39">
        <v>2.3044832606585768</v>
      </c>
      <c r="B11" s="39">
        <f>_xlfn.RANK.EQ(C11,$C:$C,1)+COUNTIF($C$2:C11,C11)-1</f>
        <v>16</v>
      </c>
      <c r="C11" s="39">
        <f t="shared" si="0"/>
        <v>2.3044832606585768</v>
      </c>
      <c r="D11" s="39" t="s">
        <v>80</v>
      </c>
      <c r="E11" s="39">
        <f>KURT($A:$A)</f>
        <v>5.9221802714426026</v>
      </c>
      <c r="F11" s="39">
        <f t="shared" si="1"/>
        <v>-6.2706777943213846E-2</v>
      </c>
      <c r="G11" s="38">
        <f t="shared" si="2"/>
        <v>10</v>
      </c>
      <c r="H11" s="38">
        <f t="shared" si="3"/>
        <v>0.5978453878306742</v>
      </c>
      <c r="I11" s="38">
        <f t="shared" si="4"/>
        <v>-1.3359489940449216</v>
      </c>
      <c r="J11" s="38">
        <f>COUNT($A:$A)</f>
        <v>20</v>
      </c>
    </row>
    <row r="12" spans="1:12">
      <c r="A12" s="39">
        <v>38</v>
      </c>
      <c r="B12" s="39">
        <f>_xlfn.RANK.EQ(C12,$C:$C,1)+COUNTIF($C$2:C12,C12)-1</f>
        <v>21</v>
      </c>
      <c r="C12" s="39">
        <f t="shared" si="0"/>
        <v>38</v>
      </c>
      <c r="D12" s="39" t="s">
        <v>81</v>
      </c>
      <c r="E12" s="39">
        <f>COUNT($A:$A)</f>
        <v>20</v>
      </c>
      <c r="F12" s="38">
        <f t="shared" si="1"/>
        <v>6.2706777943213846E-2</v>
      </c>
      <c r="G12" s="39">
        <f t="shared" si="2"/>
        <v>11</v>
      </c>
      <c r="H12" s="38">
        <f t="shared" si="3"/>
        <v>0.78700000000000003</v>
      </c>
      <c r="I12" s="38">
        <f t="shared" si="4"/>
        <v>-1.4467117903996995</v>
      </c>
      <c r="K12" s="38" t="e">
        <f>NA()</f>
        <v>#N/A</v>
      </c>
    </row>
    <row r="13" spans="1:12">
      <c r="A13" s="39">
        <v>0.5978453878306742</v>
      </c>
      <c r="B13" s="39">
        <f>_xlfn.RANK.EQ(C13,$C:$C,1)+COUNTIF($C$2:C13,C13)-1</f>
        <v>10</v>
      </c>
      <c r="C13" s="39">
        <f t="shared" si="0"/>
        <v>0.5978453878306742</v>
      </c>
      <c r="D13" s="39" t="s">
        <v>82</v>
      </c>
      <c r="E13" s="39">
        <f>E8/SQRT(E12)</f>
        <v>2.4361335546725651</v>
      </c>
      <c r="F13" s="39">
        <f t="shared" si="1"/>
        <v>0.18911842627279243</v>
      </c>
      <c r="G13" s="39">
        <f t="shared" si="2"/>
        <v>12</v>
      </c>
      <c r="H13" s="39">
        <f t="shared" si="3"/>
        <v>1.0920000000000001</v>
      </c>
      <c r="I13" s="38">
        <f t="shared" si="4"/>
        <v>-1.510505261012568</v>
      </c>
      <c r="J13" s="38">
        <v>1</v>
      </c>
      <c r="K13" s="38" t="e">
        <f>IF(E15-E14&gt;1.5*(E17-E15),E14,NA())</f>
        <v>#N/A</v>
      </c>
      <c r="L13" s="38">
        <v>1</v>
      </c>
    </row>
    <row r="14" spans="1:12">
      <c r="A14" s="39">
        <v>-11.633333333333333</v>
      </c>
      <c r="B14" s="39">
        <f>_xlfn.RANK.EQ(C14,$C:$C,1)+COUNTIF($C$2:C14,C14)-1</f>
        <v>1</v>
      </c>
      <c r="C14" s="39">
        <f t="shared" si="0"/>
        <v>-11.633333333333333</v>
      </c>
      <c r="D14" s="39" t="s">
        <v>83</v>
      </c>
      <c r="E14" s="39">
        <f>MIN($A:$A)</f>
        <v>-11.633333333333333</v>
      </c>
      <c r="F14" s="38">
        <f t="shared" si="1"/>
        <v>0.3186393639643752</v>
      </c>
      <c r="G14" s="39">
        <f t="shared" si="2"/>
        <v>13</v>
      </c>
      <c r="H14" s="38">
        <f t="shared" si="3"/>
        <v>1.2113498188792264</v>
      </c>
      <c r="I14" s="38">
        <f t="shared" si="4"/>
        <v>-1.6299751790075674</v>
      </c>
      <c r="K14" s="39">
        <f>MIN(E15-E14,(E17-E15))</f>
        <v>6.5462061403508764</v>
      </c>
    </row>
    <row r="15" spans="1:12">
      <c r="A15" s="39">
        <v>-8.3666666666666671</v>
      </c>
      <c r="B15" s="39">
        <f>_xlfn.RANK.EQ(C15,$C:$C,1)+COUNTIF($C$2:C15,C15)-1</f>
        <v>2</v>
      </c>
      <c r="C15" s="39">
        <f t="shared" si="0"/>
        <v>-8.3666666666666671</v>
      </c>
      <c r="D15" s="39" t="s">
        <v>84</v>
      </c>
      <c r="E15" s="39">
        <f>_xlfn.QUARTILE.INC($A:$A,1)</f>
        <v>-5.0871271929824564</v>
      </c>
      <c r="F15" s="38">
        <f t="shared" si="1"/>
        <v>0.45376219016987968</v>
      </c>
      <c r="G15" s="39">
        <f t="shared" si="2"/>
        <v>14</v>
      </c>
      <c r="H15" s="38">
        <f t="shared" si="3"/>
        <v>1.2486781411246923</v>
      </c>
      <c r="I15" s="38">
        <f t="shared" si="4"/>
        <v>-1.4127869218640794</v>
      </c>
      <c r="K15" s="38">
        <v>-5.0871271929824564</v>
      </c>
    </row>
    <row r="16" spans="1:12">
      <c r="A16" s="39">
        <v>-6.4666666666666668</v>
      </c>
      <c r="B16" s="39">
        <f>_xlfn.RANK.EQ(C16,$C:$C,1)+COUNTIF($C$2:C16,C16)-1</f>
        <v>4</v>
      </c>
      <c r="C16" s="39">
        <f t="shared" si="0"/>
        <v>-6.4666666666666668</v>
      </c>
      <c r="D16" s="39" t="s">
        <v>85</v>
      </c>
      <c r="E16" s="39">
        <f>MEDIAN($A:$A)</f>
        <v>0.9395</v>
      </c>
      <c r="F16" s="38">
        <f t="shared" si="1"/>
        <v>0.59776012604247841</v>
      </c>
      <c r="G16" s="39">
        <f t="shared" si="2"/>
        <v>15</v>
      </c>
      <c r="H16" s="38">
        <f t="shared" si="3"/>
        <v>1.2851593289960364</v>
      </c>
      <c r="I16" s="38">
        <f t="shared" si="4"/>
        <v>-1.507360043816703</v>
      </c>
      <c r="K16" s="38">
        <v>6.0266271929824562</v>
      </c>
    </row>
    <row r="17" spans="1:12">
      <c r="A17" s="39">
        <v>-4.8083333333333336</v>
      </c>
      <c r="B17" s="39">
        <f>_xlfn.RANK.EQ(C17,$C:$C,1)+COUNTIF($C$2:C17,C17)-1</f>
        <v>6</v>
      </c>
      <c r="C17" s="39">
        <f t="shared" si="0"/>
        <v>-4.8083333333333336</v>
      </c>
      <c r="D17" s="39" t="s">
        <v>86</v>
      </c>
      <c r="E17" s="39">
        <f>_xlfn.QUARTILE.INC($A:$A,3)</f>
        <v>2.6497040655823891</v>
      </c>
      <c r="F17" s="38">
        <f t="shared" si="1"/>
        <v>0.75541502636046909</v>
      </c>
      <c r="G17" s="39">
        <f t="shared" si="2"/>
        <v>16</v>
      </c>
      <c r="H17" s="38">
        <f t="shared" si="3"/>
        <v>2.3044832606585768</v>
      </c>
      <c r="I17" s="38">
        <f t="shared" si="4"/>
        <v>-1.423847782723094</v>
      </c>
      <c r="K17" s="38">
        <v>1.7102040655823891</v>
      </c>
    </row>
    <row r="18" spans="1:12">
      <c r="A18" s="39">
        <v>4.6333333333333329</v>
      </c>
      <c r="B18" s="39">
        <f>_xlfn.RANK.EQ(C18,$C:$C,1)+COUNTIF($C$2:C18,C18)-1</f>
        <v>18</v>
      </c>
      <c r="C18" s="39">
        <f t="shared" si="0"/>
        <v>4.6333333333333329</v>
      </c>
      <c r="D18" s="39" t="s">
        <v>87</v>
      </c>
      <c r="E18" s="39">
        <f>MAX($A:$A)</f>
        <v>38</v>
      </c>
      <c r="F18" s="38">
        <f t="shared" si="1"/>
        <v>0.9345892910734801</v>
      </c>
      <c r="G18" s="39">
        <f t="shared" si="2"/>
        <v>17</v>
      </c>
      <c r="H18" s="38">
        <f t="shared" si="3"/>
        <v>3.6853664803538262</v>
      </c>
      <c r="I18" s="38">
        <f t="shared" si="4"/>
        <v>-1.3277838171820071</v>
      </c>
      <c r="K18" s="39">
        <f>MIN(E18-E17,(E17-E15))</f>
        <v>7.7368312585648455</v>
      </c>
    </row>
    <row r="19" spans="1:12">
      <c r="A19" s="39">
        <v>16.266666666666666</v>
      </c>
      <c r="B19" s="39">
        <f>_xlfn.RANK.EQ(C19,$C:$C,1)+COUNTIF($C$2:C19,C19)-1</f>
        <v>20</v>
      </c>
      <c r="C19" s="39">
        <f t="shared" si="0"/>
        <v>16.266666666666666</v>
      </c>
      <c r="D19" s="39" t="s">
        <v>88</v>
      </c>
      <c r="E19" s="39">
        <f>E18-E14</f>
        <v>49.633333333333333</v>
      </c>
      <c r="F19" s="39">
        <f t="shared" si="1"/>
        <v>1.1503493803760083</v>
      </c>
      <c r="G19" s="39">
        <f t="shared" si="2"/>
        <v>18</v>
      </c>
      <c r="H19" s="39">
        <f t="shared" si="3"/>
        <v>4.6333333333333329</v>
      </c>
      <c r="I19" s="38">
        <f t="shared" si="4"/>
        <v>-1.2652871825969945</v>
      </c>
      <c r="J19" s="38">
        <v>1</v>
      </c>
      <c r="K19" s="38">
        <f>IF(E18-E17&gt;1.5*(E17-E15),E18,NA())</f>
        <v>38</v>
      </c>
      <c r="L19" s="38">
        <v>1</v>
      </c>
    </row>
    <row r="20" spans="1:12">
      <c r="A20" s="39">
        <v>1.2113498188792264</v>
      </c>
      <c r="B20" s="39">
        <f>_xlfn.RANK.EQ(C20,$C:$C,1)+COUNTIF($C$2:C20,C20)-1</f>
        <v>13</v>
      </c>
      <c r="C20" s="39">
        <f t="shared" si="0"/>
        <v>1.2113498188792264</v>
      </c>
      <c r="D20" s="39" t="s">
        <v>89</v>
      </c>
      <c r="E20" s="39">
        <f>_xlfn.T.INV.2T((1-D22),E12-1)*E8/SQRT(E12)</f>
        <v>5.0988861296808965</v>
      </c>
      <c r="F20" s="38">
        <f t="shared" si="1"/>
        <v>1.4395314709384563</v>
      </c>
      <c r="G20" s="39">
        <f t="shared" si="2"/>
        <v>19</v>
      </c>
      <c r="H20" s="38">
        <f t="shared" si="3"/>
        <v>13.581926094515548</v>
      </c>
      <c r="I20" s="38">
        <f t="shared" si="4"/>
        <v>-0.60993000732414049</v>
      </c>
      <c r="K20" s="38" t="e">
        <f>NA()</f>
        <v>#N/A</v>
      </c>
    </row>
    <row r="21" spans="1:12">
      <c r="A21" s="39">
        <v>-7.1348585908090509</v>
      </c>
      <c r="B21" s="39">
        <f>_xlfn.RANK.EQ(C21,$C:$C,1)+COUNTIF($C$2:C21,C21)-1</f>
        <v>3</v>
      </c>
      <c r="C21" s="39">
        <f t="shared" si="0"/>
        <v>-7.1348585908090509</v>
      </c>
      <c r="D21" s="39" t="s">
        <v>90</v>
      </c>
      <c r="E21" s="39">
        <f>E$6-E20</f>
        <v>-3.3163425797414998</v>
      </c>
      <c r="F21" s="39">
        <f t="shared" si="1"/>
        <v>1.9599639845400536</v>
      </c>
      <c r="G21" s="39">
        <f t="shared" si="2"/>
        <v>20</v>
      </c>
      <c r="H21" s="39">
        <f t="shared" si="3"/>
        <v>16.266666666666666</v>
      </c>
      <c r="I21" s="38">
        <f t="shared" si="4"/>
        <v>-0.38951642081495069</v>
      </c>
      <c r="J21" s="39" t="str">
        <f>$D$6</f>
        <v>Mean</v>
      </c>
      <c r="K21" s="39">
        <f>$E$6</f>
        <v>1.7825435499393969</v>
      </c>
      <c r="L21" s="38">
        <v>2</v>
      </c>
    </row>
    <row r="22" spans="1:12">
      <c r="A22" s="39">
        <v>-4.712158953050599</v>
      </c>
      <c r="B22" s="39">
        <f>_xlfn.RANK.EQ(C22,$C:$C,1)+COUNTIF($C$2:C22,C22)-1</f>
        <v>7</v>
      </c>
      <c r="C22" s="39">
        <f t="shared" si="0"/>
        <v>-4.712158953050599</v>
      </c>
      <c r="D22" s="39">
        <v>0.95</v>
      </c>
      <c r="E22" s="39">
        <f>E$6+E20</f>
        <v>6.8814296796202932</v>
      </c>
      <c r="F22" s="38" t="e">
        <f t="shared" si="1"/>
        <v>#NUM!</v>
      </c>
      <c r="G22" s="39">
        <f t="shared" si="2"/>
        <v>21</v>
      </c>
      <c r="H22" s="39">
        <f t="shared" si="3"/>
        <v>38</v>
      </c>
      <c r="I22" s="38">
        <f t="shared" si="4"/>
        <v>-1.1766262103502427</v>
      </c>
      <c r="K22" s="39">
        <f>$E$21</f>
        <v>-3.3163425797414998</v>
      </c>
      <c r="L22" s="38">
        <v>2</v>
      </c>
    </row>
    <row r="23" spans="1:12">
      <c r="K23" s="39">
        <f>$E$22</f>
        <v>6.8814296796202932</v>
      </c>
      <c r="L23" s="38">
        <v>2</v>
      </c>
    </row>
    <row r="24" spans="1:12">
      <c r="D24" s="38" t="s">
        <v>91</v>
      </c>
      <c r="E24" s="39">
        <f>SQRT((E12-1)*E9/_xlfn.CHISQ.INV.RT((1-D22)/2,E12-1))</f>
        <v>8.2853302595240592</v>
      </c>
      <c r="J24" s="39" t="str">
        <f>$D$16</f>
        <v>Median</v>
      </c>
      <c r="K24" s="39">
        <f>$E$16</f>
        <v>0.9395</v>
      </c>
      <c r="L24" s="38">
        <v>1</v>
      </c>
    </row>
    <row r="25" spans="1:12">
      <c r="E25" s="39">
        <f>SQRT((E12-1)*E9/_xlfn.CHISQ.INV.RT(1-(1-D22)/2,E12-1))</f>
        <v>15.912519688831203</v>
      </c>
      <c r="K25" s="39">
        <f>$E$27</f>
        <v>-5.9235087719298249</v>
      </c>
      <c r="L25" s="38">
        <v>1</v>
      </c>
    </row>
    <row r="26" spans="1:12">
      <c r="K26" s="39">
        <f>$E$28</f>
        <v>-11.633333333333333</v>
      </c>
      <c r="L26" s="38">
        <v>1</v>
      </c>
    </row>
    <row r="27" spans="1:12">
      <c r="D27" s="38" t="s">
        <v>92</v>
      </c>
      <c r="E27" s="39">
        <f>INDEX($A:$A,_xlfn.BINOM.INV(E12,0.5,(1-D22)/2))</f>
        <v>-5.9235087719298249</v>
      </c>
      <c r="J27" s="38" t="str">
        <f>$D$30</f>
        <v>Normal</v>
      </c>
      <c r="K27" s="39">
        <f>$E$6</f>
        <v>1.7825435499393969</v>
      </c>
      <c r="L27" s="38">
        <v>2</v>
      </c>
    </row>
    <row r="28" spans="1:12">
      <c r="E28" s="39">
        <f>INDEX($A:$A,_xlfn.BINOM.INV(E12,0.5,(1-(1-D22)/2)))</f>
        <v>-11.633333333333333</v>
      </c>
      <c r="K28" s="39">
        <f>$E$30</f>
        <v>-28.202830939771626</v>
      </c>
      <c r="L28" s="38">
        <v>2</v>
      </c>
    </row>
    <row r="29" spans="1:12">
      <c r="K29" s="39">
        <f>$E$31</f>
        <v>31.767918039650421</v>
      </c>
      <c r="L29" s="38">
        <v>2</v>
      </c>
    </row>
    <row r="30" spans="1:12">
      <c r="D30" s="38" t="s">
        <v>67</v>
      </c>
      <c r="E30" s="39">
        <f>E6-E8*E36</f>
        <v>-28.202830939771626</v>
      </c>
      <c r="J30" s="38" t="str">
        <f>$D$39</f>
        <v>Nonparametric</v>
      </c>
      <c r="K30" s="39">
        <f>$E$6</f>
        <v>1.7825435499393969</v>
      </c>
      <c r="L30" s="38">
        <v>1</v>
      </c>
    </row>
    <row r="31" spans="1:12">
      <c r="D31" s="38">
        <v>0.95</v>
      </c>
      <c r="E31" s="39">
        <f>E6+E8*E36</f>
        <v>31.767918039650421</v>
      </c>
      <c r="K31" s="39">
        <f>$E$39</f>
        <v>-11.633333333333333</v>
      </c>
      <c r="L31" s="38">
        <v>1</v>
      </c>
    </row>
    <row r="32" spans="1:12">
      <c r="K32" s="39">
        <f>$E$40</f>
        <v>0.78700000000000003</v>
      </c>
      <c r="L32" s="38">
        <v>1</v>
      </c>
    </row>
    <row r="33" spans="4:13">
      <c r="D33" s="38" t="s">
        <v>95</v>
      </c>
      <c r="E33" s="39">
        <f>E6-E8*E37</f>
        <v>-24.12889646681624</v>
      </c>
      <c r="J33" s="38">
        <v>-11.635</v>
      </c>
      <c r="K33" s="38">
        <f>COUNTIF($C$2:$C$22,"&lt;="&amp;J33)</f>
        <v>0</v>
      </c>
      <c r="L33" s="38">
        <f t="shared" ref="L33:L40" si="5">IF(8.272&lt;&gt;0,M$33/M$34*_xlfn.NORM.DIST(J33-8.272/2,AVERAGE($C$2:$C$22),_xlfn.STDEV.S($C$2:$C$22),FALSE),K33)</f>
        <v>2.858747667398096</v>
      </c>
      <c r="M33" s="38">
        <f>MAX($K$33:$K$40)</f>
        <v>11</v>
      </c>
    </row>
    <row r="34" spans="4:13">
      <c r="E34" s="39">
        <f>E6+E8*E37</f>
        <v>27.693983566695035</v>
      </c>
      <c r="J34" s="38">
        <f t="shared" ref="J34:J40" si="6">J33 + 8.272</f>
        <v>-3.3629999999999995</v>
      </c>
      <c r="K34" s="38">
        <f t="shared" ref="K34:K40" si="7">COUNTIF($C$2:$C$22,"&lt;="&amp;J34)-COUNTIF($C$2:$C$22,"&lt;="&amp;J33)</f>
        <v>7</v>
      </c>
      <c r="L34" s="38">
        <f t="shared" si="5"/>
        <v>7.5923914957334597</v>
      </c>
      <c r="M34" s="38">
        <v>3.7402160379468904E-2</v>
      </c>
    </row>
    <row r="35" spans="4:13">
      <c r="J35" s="38">
        <f t="shared" si="6"/>
        <v>4.9090000000000007</v>
      </c>
      <c r="K35" s="38">
        <f t="shared" si="7"/>
        <v>11</v>
      </c>
      <c r="L35" s="38">
        <f t="shared" si="5"/>
        <v>11</v>
      </c>
    </row>
    <row r="36" spans="4:13">
      <c r="D36" s="38" t="s">
        <v>93</v>
      </c>
      <c r="E36" s="39">
        <f>-NORMSINV((1-D22)/2)*SQRT((E12-1)*(1+1/E12)/CHIINV(D31,E12-1))</f>
        <v>2.7522848885349336</v>
      </c>
      <c r="J36" s="38">
        <f t="shared" si="6"/>
        <v>13.181000000000001</v>
      </c>
      <c r="K36" s="38">
        <f t="shared" si="7"/>
        <v>0</v>
      </c>
      <c r="L36" s="38">
        <f t="shared" si="5"/>
        <v>8.6939691856038817</v>
      </c>
    </row>
    <row r="37" spans="4:13">
      <c r="D37" s="38" t="s">
        <v>94</v>
      </c>
      <c r="E37" s="39">
        <f>(-NORMSINV(1-D22)+SQRT((NORMSINV(1-D22))^2-(1-(NORMSINV(1-D31))^2/(2*(E12-1)))*((-NORMSINV(1-D22))^2--NORMSINV(1-D31)^2/E12)))/(1-(NORMSINV(1-D31))^2/(2*(E12-1)))</f>
        <v>2.3783483118667292</v>
      </c>
      <c r="J37" s="38">
        <f t="shared" si="6"/>
        <v>21.453000000000003</v>
      </c>
      <c r="K37" s="38">
        <f t="shared" si="7"/>
        <v>2</v>
      </c>
      <c r="L37" s="38">
        <f t="shared" si="5"/>
        <v>3.7484768088274598</v>
      </c>
    </row>
    <row r="38" spans="4:13">
      <c r="J38" s="38">
        <f t="shared" si="6"/>
        <v>29.725000000000001</v>
      </c>
      <c r="K38" s="38">
        <f t="shared" si="7"/>
        <v>0</v>
      </c>
      <c r="L38" s="38">
        <f t="shared" si="5"/>
        <v>0.88166353757156724</v>
      </c>
    </row>
    <row r="39" spans="4:13">
      <c r="D39" s="38" t="s">
        <v>96</v>
      </c>
      <c r="E39" s="39">
        <f>SMALL($A:C,MAX(1,INT((E$12-_xlfn.BINOM.INV(E$12,D$40,D$31))/2)))</f>
        <v>-11.633333333333333</v>
      </c>
      <c r="J39" s="38">
        <f t="shared" si="6"/>
        <v>37.997</v>
      </c>
      <c r="K39" s="38">
        <f t="shared" si="7"/>
        <v>0</v>
      </c>
      <c r="L39" s="38">
        <f t="shared" si="5"/>
        <v>0.11312595347051385</v>
      </c>
    </row>
    <row r="40" spans="4:13">
      <c r="D40" s="38">
        <v>0.95</v>
      </c>
      <c r="E40" s="39">
        <f>SMALL($A:C,MIN(E$12,INT(E$12+1-(E$12-_xlfn.BINOM.INV(E$12,D$40,D$31))/2)))</f>
        <v>0.78700000000000003</v>
      </c>
      <c r="J40" s="38">
        <f t="shared" si="6"/>
        <v>46.268999999999998</v>
      </c>
      <c r="K40" s="38">
        <f t="shared" si="7"/>
        <v>1</v>
      </c>
      <c r="L40" s="38">
        <f t="shared" si="5"/>
        <v>7.9183181133289093E-3</v>
      </c>
    </row>
    <row r="42" spans="4:13">
      <c r="D42" s="38" t="s">
        <v>69</v>
      </c>
      <c r="E42" s="39">
        <v>0.5</v>
      </c>
    </row>
  </sheetData>
  <pageMargins left="0.7" right="0.7" top="0.75" bottom="0.75" header="0.3" footer="0.3"/>
  <pageSetup scale="3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37F9-13C8-4E33-BA82-0C45762CE6CE}">
  <sheetPr>
    <tabColor rgb="FF66FF66"/>
    <pageSetUpPr fitToPage="1"/>
  </sheetPr>
  <dimension ref="A1:M42"/>
  <sheetViews>
    <sheetView zoomScale="37" zoomScaleNormal="37" workbookViewId="0">
      <selection activeCell="D1" sqref="D1:L22"/>
    </sheetView>
  </sheetViews>
  <sheetFormatPr defaultRowHeight="15"/>
  <cols>
    <col min="1" max="1" width="9.140625" customWidth="1"/>
    <col min="4" max="4" width="18.7109375" bestFit="1" customWidth="1"/>
    <col min="5" max="5" width="9.140625" style="13"/>
    <col min="13" max="13" width="4.85546875" customWidth="1"/>
  </cols>
  <sheetData>
    <row r="1" spans="1:12" ht="45.75">
      <c r="A1" s="33" t="s">
        <v>18</v>
      </c>
      <c r="B1" t="s">
        <v>70</v>
      </c>
      <c r="D1" t="s">
        <v>71</v>
      </c>
      <c r="E1" s="12" t="str">
        <f>IF(E2&gt;E5,"Non-Normal at 0.01",IF(E2&gt;E4,"Non-Normal at 0.05","Data is Normal"))</f>
        <v>Non-Normal at 0.01</v>
      </c>
      <c r="K1" t="s">
        <v>98</v>
      </c>
    </row>
    <row r="2" spans="1:12" ht="18.75">
      <c r="A2" s="34">
        <v>-7.7666666666666657</v>
      </c>
      <c r="B2">
        <f>_xlfn.RANK.EQ(C2,$C:$C,1)+COUNTIF($C$2:C2,C2)-1</f>
        <v>12</v>
      </c>
      <c r="C2" s="11">
        <f t="shared" ref="C2:C39" si="0">A2</f>
        <v>-7.7666666666666657</v>
      </c>
      <c r="D2" t="s">
        <v>72</v>
      </c>
      <c r="E2" s="13">
        <f>ABS(E12-ABS(SUM(I:I)))</f>
        <v>1.2486781411246923</v>
      </c>
      <c r="F2">
        <f t="shared" ref="F2:F39" si="1">_xlfn.NORM.S.INV((G2-0.5)/E$12)</f>
        <v>-2.2215195883378365</v>
      </c>
      <c r="G2">
        <f t="shared" ref="G2:G39" si="2">ROW(G2)-1</f>
        <v>1</v>
      </c>
      <c r="H2">
        <f t="shared" ref="H2:H39" si="3">VLOOKUP(G2,$B:$C,2,FALSE)</f>
        <v>-11.633333333333333</v>
      </c>
      <c r="I2">
        <f t="shared" ref="I2:I39" si="4">IF(ISERROR((2*G2 -1)/J$11*(LN(_xlfn.NORM.DIST(H2,J$6,J$8,TRUE))+LN(1-_xlfn.NORM.DIST(INDEX(H:H,J$11-G2+2,,1),J$6,J$8,TRUE)))),"",(2*G2 -1)/J$11*(LN(_xlfn.NORM.DIST(H2,J$6,J$8,TRUE))+LN(1-_xlfn.NORM.DIST(INDEX(H:H,J$11-G2+2,,1),J$6,J$8,TRUE))))</f>
        <v>-0.23616005833934439</v>
      </c>
      <c r="K2">
        <f>E2*(1+0.75/E12+2.25/E12^2)</f>
        <v>1.2752687594346535</v>
      </c>
    </row>
    <row r="3" spans="1:12" ht="18.75">
      <c r="A3" s="34">
        <v>-4.8</v>
      </c>
      <c r="B3">
        <f>_xlfn.RANK.EQ(C3,$C:$C,1)+COUNTIF($C$2:C3,C3)-1</f>
        <v>29</v>
      </c>
      <c r="C3" s="11">
        <f t="shared" si="0"/>
        <v>-4.8</v>
      </c>
      <c r="D3" s="19" t="s">
        <v>97</v>
      </c>
      <c r="E3" s="13">
        <f>IF(K2&lt;0.2,K6,IF(K2&lt;0.34,K5,IF(K2&lt;0.6,K4,IF(K2&lt;13,K3,0))))</f>
        <v>2.5888022188385461E-3</v>
      </c>
      <c r="F3">
        <f t="shared" si="1"/>
        <v>-1.7568266072519048</v>
      </c>
      <c r="G3">
        <f t="shared" si="2"/>
        <v>2</v>
      </c>
      <c r="H3">
        <f t="shared" si="3"/>
        <v>-11.6</v>
      </c>
      <c r="I3">
        <f t="shared" si="4"/>
        <v>-0.67391994347501849</v>
      </c>
      <c r="K3">
        <f>EXP(1.2937-5.709*K2+0.0186*K2^2)</f>
        <v>2.5888022188385461E-3</v>
      </c>
    </row>
    <row r="4" spans="1:12" ht="18.75">
      <c r="A4" s="34">
        <v>-4.833333333333333</v>
      </c>
      <c r="B4">
        <f>_xlfn.RANK.EQ(C4,$C:$C,1)+COUNTIF($C$2:C4,C4)-1</f>
        <v>27</v>
      </c>
      <c r="C4" s="11">
        <f t="shared" si="0"/>
        <v>-4.833333333333333</v>
      </c>
      <c r="D4" t="s">
        <v>73</v>
      </c>
      <c r="E4" s="13">
        <v>0.78700000000000003</v>
      </c>
      <c r="F4">
        <f t="shared" si="1"/>
        <v>-1.5079045914405589</v>
      </c>
      <c r="G4">
        <f t="shared" si="2"/>
        <v>3</v>
      </c>
      <c r="H4">
        <f t="shared" si="3"/>
        <v>-10.899999999999999</v>
      </c>
      <c r="I4">
        <f t="shared" si="4"/>
        <v>-0.94265735009620633</v>
      </c>
      <c r="K4">
        <f>EXP(0.9177-4.279*K2-1.38*K2^2)</f>
        <v>1.1323237002984017E-3</v>
      </c>
    </row>
    <row r="5" spans="1:12" ht="18.75">
      <c r="A5" s="35">
        <v>4.1333333333333337</v>
      </c>
      <c r="B5">
        <f>_xlfn.RANK.EQ(C5,$C:$C,1)+COUNTIF($C$2:C5,C5)-1</f>
        <v>37</v>
      </c>
      <c r="C5" s="11">
        <f t="shared" si="0"/>
        <v>4.1333333333333337</v>
      </c>
      <c r="D5" t="s">
        <v>74</v>
      </c>
      <c r="E5" s="13">
        <v>1.0920000000000001</v>
      </c>
      <c r="F5">
        <f t="shared" si="1"/>
        <v>-1.3279018717558333</v>
      </c>
      <c r="G5">
        <f t="shared" si="2"/>
        <v>4</v>
      </c>
      <c r="H5">
        <f t="shared" si="3"/>
        <v>-9.7999999999999989</v>
      </c>
      <c r="I5">
        <f t="shared" si="4"/>
        <v>-0.66136398482412084</v>
      </c>
      <c r="K5">
        <f>1-EXP(-8.318+42.796*K2-59.938*K2^2)</f>
        <v>1</v>
      </c>
    </row>
    <row r="6" spans="1:12" ht="18.75">
      <c r="A6" s="34">
        <v>-2.6666666666666665</v>
      </c>
      <c r="B6">
        <f>_xlfn.RANK.EQ(C6,$C:$C,1)+COUNTIF($C$2:C6,C6)-1</f>
        <v>34</v>
      </c>
      <c r="C6" s="11">
        <f t="shared" si="0"/>
        <v>-2.6666666666666665</v>
      </c>
      <c r="D6" t="s">
        <v>75</v>
      </c>
      <c r="E6" s="13">
        <f>AVERAGE($A:$A)</f>
        <v>-5.9235087719298249</v>
      </c>
      <c r="F6">
        <f t="shared" si="1"/>
        <v>-1.1829168441908862</v>
      </c>
      <c r="G6">
        <f t="shared" si="2"/>
        <v>5</v>
      </c>
      <c r="H6">
        <f t="shared" si="3"/>
        <v>-9.5333333333333332</v>
      </c>
      <c r="I6">
        <f t="shared" si="4"/>
        <v>-0.82397223667240138</v>
      </c>
      <c r="J6">
        <f>AVERAGE(H:H)</f>
        <v>-5.9235087719298241</v>
      </c>
      <c r="K6">
        <f>1-EXP(-13.436+101.14*K2-223.73*K2^2)</f>
        <v>1</v>
      </c>
    </row>
    <row r="7" spans="1:12" ht="18.75">
      <c r="A7" s="34">
        <v>-7.2</v>
      </c>
      <c r="B7">
        <f>_xlfn.RANK.EQ(C7,$C:$C,1)+COUNTIF($C$2:C7,C7)-1</f>
        <v>15</v>
      </c>
      <c r="C7" s="11">
        <f t="shared" si="0"/>
        <v>-7.2</v>
      </c>
      <c r="D7" t="s">
        <v>76</v>
      </c>
      <c r="E7" s="36" t="s">
        <v>99</v>
      </c>
      <c r="F7">
        <f t="shared" si="1"/>
        <v>-1.0592769170824312</v>
      </c>
      <c r="G7">
        <f t="shared" si="2"/>
        <v>6</v>
      </c>
      <c r="H7">
        <f t="shared" si="3"/>
        <v>-8.8933333333333326</v>
      </c>
      <c r="I7">
        <f t="shared" si="4"/>
        <v>-0.90526952877765077</v>
      </c>
    </row>
    <row r="8" spans="1:12" ht="18.75">
      <c r="A8" s="34">
        <v>-8.6333333333333346</v>
      </c>
      <c r="B8">
        <f>_xlfn.RANK.EQ(C8,$C:$C,1)+COUNTIF($C$2:C8,C8)-1</f>
        <v>8</v>
      </c>
      <c r="C8" s="11">
        <f t="shared" si="0"/>
        <v>-8.6333333333333346</v>
      </c>
      <c r="D8" t="s">
        <v>77</v>
      </c>
      <c r="E8" s="13">
        <f>_xlfn.STDEV.S($A:$A)</f>
        <v>3.6853664803538262</v>
      </c>
      <c r="F8">
        <f t="shared" si="1"/>
        <v>-0.95001375566931956</v>
      </c>
      <c r="G8">
        <f t="shared" si="2"/>
        <v>7</v>
      </c>
      <c r="H8">
        <f t="shared" si="3"/>
        <v>-8.6666666666666661</v>
      </c>
      <c r="I8">
        <f t="shared" si="4"/>
        <v>-0.89506057240718973</v>
      </c>
      <c r="J8">
        <f>_xlfn.STDEV.S(H:H)</f>
        <v>3.6853664803538289</v>
      </c>
    </row>
    <row r="9" spans="1:12" ht="18.75">
      <c r="A9" s="34">
        <v>-10.899999999999999</v>
      </c>
      <c r="B9">
        <f>_xlfn.RANK.EQ(C9,$C:$C,1)+COUNTIF($C$2:C9,C9)-1</f>
        <v>3</v>
      </c>
      <c r="C9" s="11">
        <f t="shared" si="0"/>
        <v>-10.899999999999999</v>
      </c>
      <c r="D9" t="s">
        <v>78</v>
      </c>
      <c r="E9" s="13">
        <f>_xlfn.VAR.S($A:$A)</f>
        <v>13.581926094515548</v>
      </c>
      <c r="F9">
        <f t="shared" si="1"/>
        <v>-0.85105852683856875</v>
      </c>
      <c r="G9">
        <f t="shared" si="2"/>
        <v>8</v>
      </c>
      <c r="H9">
        <f t="shared" si="3"/>
        <v>-8.6333333333333346</v>
      </c>
      <c r="I9">
        <f t="shared" si="4"/>
        <v>-1.0240678583014933</v>
      </c>
    </row>
    <row r="10" spans="1:12" ht="18.75">
      <c r="A10" s="34">
        <v>-5.8</v>
      </c>
      <c r="B10">
        <f>_xlfn.RANK.EQ(C10,$C:$C,1)+COUNTIF($C$2:C10,C10)-1</f>
        <v>23</v>
      </c>
      <c r="C10" s="11">
        <f t="shared" si="0"/>
        <v>-5.8</v>
      </c>
      <c r="D10" t="s">
        <v>79</v>
      </c>
      <c r="E10" s="13">
        <f>SKEW($A:$A)</f>
        <v>1.2851593289960364</v>
      </c>
      <c r="F10">
        <f t="shared" si="1"/>
        <v>-0.75980957100991864</v>
      </c>
      <c r="G10">
        <f t="shared" si="2"/>
        <v>9</v>
      </c>
      <c r="H10">
        <f t="shared" si="3"/>
        <v>-8.4</v>
      </c>
      <c r="I10">
        <f t="shared" si="4"/>
        <v>-1.0677603381420311</v>
      </c>
    </row>
    <row r="11" spans="1:12" ht="18.75">
      <c r="A11" s="34">
        <v>-8.6666666666666661</v>
      </c>
      <c r="B11">
        <f>_xlfn.RANK.EQ(C11,$C:$C,1)+COUNTIF($C$2:C11,C11)-1</f>
        <v>7</v>
      </c>
      <c r="C11" s="11">
        <f t="shared" si="0"/>
        <v>-8.6666666666666661</v>
      </c>
      <c r="D11" t="s">
        <v>80</v>
      </c>
      <c r="E11" s="13">
        <f>KURT($A:$A)</f>
        <v>2.3044832606585768</v>
      </c>
      <c r="F11">
        <f t="shared" si="1"/>
        <v>-0.67448975019608193</v>
      </c>
      <c r="G11">
        <f t="shared" si="2"/>
        <v>10</v>
      </c>
      <c r="H11">
        <f t="shared" si="3"/>
        <v>-8.4</v>
      </c>
      <c r="I11">
        <f t="shared" si="4"/>
        <v>-1.1750324956603388</v>
      </c>
      <c r="J11">
        <f>COUNT($A:$A)</f>
        <v>38</v>
      </c>
    </row>
    <row r="12" spans="1:12" ht="18.75">
      <c r="A12" s="34">
        <v>-4.666666666666667</v>
      </c>
      <c r="B12">
        <f>_xlfn.RANK.EQ(C12,$C:$C,1)+COUNTIF($C$2:C12,C12)-1</f>
        <v>30</v>
      </c>
      <c r="C12" s="11">
        <f t="shared" si="0"/>
        <v>-4.666666666666667</v>
      </c>
      <c r="D12" t="s">
        <v>81</v>
      </c>
      <c r="E12" s="13">
        <f>COUNT($A:$A)</f>
        <v>38</v>
      </c>
      <c r="F12">
        <f t="shared" si="1"/>
        <v>-0.59382139299351966</v>
      </c>
      <c r="G12">
        <f t="shared" si="2"/>
        <v>11</v>
      </c>
      <c r="H12">
        <f t="shared" si="3"/>
        <v>-8.2666666666666675</v>
      </c>
      <c r="I12">
        <f t="shared" si="4"/>
        <v>-1.2686271055466452</v>
      </c>
      <c r="K12" t="e">
        <f>NA()</f>
        <v>#N/A</v>
      </c>
    </row>
    <row r="13" spans="1:12" ht="18.75">
      <c r="A13" s="34">
        <v>-9.7999999999999989</v>
      </c>
      <c r="B13">
        <f>_xlfn.RANK.EQ(C13,$C:$C,1)+COUNTIF($C$2:C13,C13)-1</f>
        <v>4</v>
      </c>
      <c r="C13" s="11">
        <f t="shared" si="0"/>
        <v>-9.7999999999999989</v>
      </c>
      <c r="D13" t="s">
        <v>82</v>
      </c>
      <c r="E13" s="13">
        <f>E8/SQRT(E12)</f>
        <v>0.5978453878306742</v>
      </c>
      <c r="F13">
        <f t="shared" si="1"/>
        <v>-0.51684672765260964</v>
      </c>
      <c r="G13">
        <f t="shared" si="2"/>
        <v>12</v>
      </c>
      <c r="H13">
        <f t="shared" si="3"/>
        <v>-7.7666666666666657</v>
      </c>
      <c r="I13">
        <f t="shared" si="4"/>
        <v>-1.2916238853774005</v>
      </c>
      <c r="J13">
        <v>1</v>
      </c>
      <c r="K13" t="e">
        <f>IF(E15-E14&gt;1.5*(E17-E15),E14,NA())</f>
        <v>#N/A</v>
      </c>
      <c r="L13">
        <v>1</v>
      </c>
    </row>
    <row r="14" spans="1:12" ht="18.75">
      <c r="A14" s="34">
        <v>-5.9666666666666659</v>
      </c>
      <c r="B14">
        <f>_xlfn.RANK.EQ(C14,$C:$C,1)+COUNTIF($C$2:C14,C14)-1</f>
        <v>21</v>
      </c>
      <c r="C14" s="11">
        <f t="shared" si="0"/>
        <v>-5.9666666666666659</v>
      </c>
      <c r="D14" t="s">
        <v>83</v>
      </c>
      <c r="E14" s="13">
        <f>MIN($A:$A)</f>
        <v>-11.633333333333333</v>
      </c>
      <c r="F14">
        <f t="shared" si="1"/>
        <v>-0.44282165759651121</v>
      </c>
      <c r="G14">
        <f t="shared" si="2"/>
        <v>13</v>
      </c>
      <c r="H14">
        <f t="shared" si="3"/>
        <v>-7.3666666666666663</v>
      </c>
      <c r="I14">
        <f t="shared" si="4"/>
        <v>-1.3018736946537701</v>
      </c>
      <c r="K14" s="13">
        <f>MIN(E15-E14,(E17-E15))</f>
        <v>3.2666666666666657</v>
      </c>
    </row>
    <row r="15" spans="1:12" ht="18.75">
      <c r="A15" s="34">
        <v>-6.4333333333333336</v>
      </c>
      <c r="B15">
        <f>_xlfn.RANK.EQ(C15,$C:$C,1)+COUNTIF($C$2:C15,C15)-1</f>
        <v>20</v>
      </c>
      <c r="C15" s="11">
        <f t="shared" si="0"/>
        <v>-6.4333333333333336</v>
      </c>
      <c r="D15" t="s">
        <v>84</v>
      </c>
      <c r="E15" s="13">
        <f>_xlfn.QUARTILE.INC($A:$A,1)</f>
        <v>-8.3666666666666671</v>
      </c>
      <c r="F15">
        <f t="shared" si="1"/>
        <v>-0.37114932320228394</v>
      </c>
      <c r="G15">
        <f t="shared" si="2"/>
        <v>14</v>
      </c>
      <c r="H15">
        <f t="shared" si="3"/>
        <v>-7.333333333333333</v>
      </c>
      <c r="I15">
        <f t="shared" si="4"/>
        <v>-1.3625224327025047</v>
      </c>
      <c r="K15">
        <v>-8.3666666666666671</v>
      </c>
    </row>
    <row r="16" spans="1:12" ht="18.75">
      <c r="A16" s="34">
        <v>-11.6</v>
      </c>
      <c r="B16">
        <f>_xlfn.RANK.EQ(C16,$C:$C,1)+COUNTIF($C$2:C16,C16)-1</f>
        <v>2</v>
      </c>
      <c r="C16" s="11">
        <f t="shared" si="0"/>
        <v>-11.6</v>
      </c>
      <c r="D16" t="s">
        <v>85</v>
      </c>
      <c r="E16" s="13">
        <f>MEDIAN($A:$A)</f>
        <v>-6.4666666666666668</v>
      </c>
      <c r="F16">
        <f t="shared" si="1"/>
        <v>-0.30133652085957613</v>
      </c>
      <c r="G16">
        <f t="shared" si="2"/>
        <v>15</v>
      </c>
      <c r="H16">
        <f t="shared" si="3"/>
        <v>-7.2</v>
      </c>
      <c r="I16">
        <f t="shared" si="4"/>
        <v>-1.3311842048547455</v>
      </c>
      <c r="K16">
        <v>1.9000000000000004</v>
      </c>
    </row>
    <row r="17" spans="1:12" ht="18.75">
      <c r="A17" s="34">
        <v>-9.5333333333333332</v>
      </c>
      <c r="B17">
        <f>_xlfn.RANK.EQ(C17,$C:$C,1)+COUNTIF($C$2:C17,C17)-1</f>
        <v>5</v>
      </c>
      <c r="C17" s="11">
        <f t="shared" si="0"/>
        <v>-9.5333333333333332</v>
      </c>
      <c r="D17" t="s">
        <v>86</v>
      </c>
      <c r="E17" s="13">
        <f>_xlfn.QUARTILE.INC($A:$A,3)</f>
        <v>-4.8083333333333336</v>
      </c>
      <c r="F17">
        <f t="shared" si="1"/>
        <v>-0.23296385427137245</v>
      </c>
      <c r="G17">
        <f t="shared" si="2"/>
        <v>16</v>
      </c>
      <c r="H17">
        <f t="shared" si="3"/>
        <v>-6.8</v>
      </c>
      <c r="I17">
        <f t="shared" si="4"/>
        <v>-1.322910393571634</v>
      </c>
      <c r="K17">
        <v>1.6583333333333332</v>
      </c>
    </row>
    <row r="18" spans="1:12" ht="18.75">
      <c r="A18" s="34">
        <v>-6.5666666666666664</v>
      </c>
      <c r="B18">
        <f>_xlfn.RANK.EQ(C18,$C:$C,1)+COUNTIF($C$2:C18,C18)-1</f>
        <v>18</v>
      </c>
      <c r="C18" s="11">
        <f t="shared" si="0"/>
        <v>-6.5666666666666664</v>
      </c>
      <c r="D18" t="s">
        <v>87</v>
      </c>
      <c r="E18" s="13">
        <f>MAX($A:$A)</f>
        <v>4.6333333333333329</v>
      </c>
      <c r="F18">
        <f t="shared" si="1"/>
        <v>-0.1656644138685531</v>
      </c>
      <c r="G18">
        <f t="shared" si="2"/>
        <v>17</v>
      </c>
      <c r="H18">
        <f t="shared" si="3"/>
        <v>-6.666666666666667</v>
      </c>
      <c r="I18">
        <f t="shared" si="4"/>
        <v>-1.3658563846188245</v>
      </c>
      <c r="K18" s="13">
        <f>MIN(E18-E17,(E17-E15))</f>
        <v>3.5583333333333336</v>
      </c>
    </row>
    <row r="19" spans="1:12" ht="18.75">
      <c r="A19" s="34">
        <v>2.8333333333333335</v>
      </c>
      <c r="B19">
        <f>_xlfn.RANK.EQ(C19,$C:$C,1)+COUNTIF($C$2:C19,C19)-1</f>
        <v>36</v>
      </c>
      <c r="C19" s="11">
        <f t="shared" si="0"/>
        <v>2.8333333333333335</v>
      </c>
      <c r="D19" t="s">
        <v>88</v>
      </c>
      <c r="E19" s="13">
        <f>E18-E14</f>
        <v>16.266666666666666</v>
      </c>
      <c r="F19">
        <f t="shared" si="1"/>
        <v>-9.9107859822899172E-2</v>
      </c>
      <c r="G19">
        <f t="shared" si="2"/>
        <v>18</v>
      </c>
      <c r="H19">
        <f t="shared" si="3"/>
        <v>-6.5666666666666664</v>
      </c>
      <c r="I19">
        <f t="shared" si="4"/>
        <v>-1.4056382757815276</v>
      </c>
      <c r="J19">
        <v>1</v>
      </c>
      <c r="K19">
        <f>IF(E18-E17&gt;1.5*(E17-E15),E18,NA())</f>
        <v>4.6333333333333329</v>
      </c>
      <c r="L19">
        <v>1</v>
      </c>
    </row>
    <row r="20" spans="1:12" ht="18.75">
      <c r="A20" s="34">
        <v>-4.2333333333333334</v>
      </c>
      <c r="B20">
        <f>_xlfn.RANK.EQ(C20,$C:$C,1)+COUNTIF($C$2:C20,C20)-1</f>
        <v>31</v>
      </c>
      <c r="C20" s="11">
        <f t="shared" si="0"/>
        <v>-4.2333333333333334</v>
      </c>
      <c r="D20" t="s">
        <v>89</v>
      </c>
      <c r="E20" s="13">
        <f>_xlfn.T.INV.2T((1-D22),E12-1)*E8/SQRT(E12)</f>
        <v>1.2113498188792264</v>
      </c>
      <c r="F20">
        <f t="shared" si="1"/>
        <v>-3.2987932937402764E-2</v>
      </c>
      <c r="G20">
        <f t="shared" si="2"/>
        <v>19</v>
      </c>
      <c r="H20">
        <f t="shared" si="3"/>
        <v>-6.5</v>
      </c>
      <c r="I20">
        <f t="shared" si="4"/>
        <v>-1.3774189288360388</v>
      </c>
      <c r="K20" t="e">
        <f>NA()</f>
        <v>#N/A</v>
      </c>
    </row>
    <row r="21" spans="1:12" ht="18.75">
      <c r="A21" s="34">
        <v>-11.633333333333333</v>
      </c>
      <c r="B21">
        <f>_xlfn.RANK.EQ(C21,$C:$C,1)+COUNTIF($C$2:C21,C21)-1</f>
        <v>1</v>
      </c>
      <c r="C21" s="11">
        <f t="shared" si="0"/>
        <v>-11.633333333333333</v>
      </c>
      <c r="D21" t="s">
        <v>90</v>
      </c>
      <c r="E21" s="13">
        <f>E$6-E20</f>
        <v>-7.1348585908090509</v>
      </c>
      <c r="F21">
        <f t="shared" si="1"/>
        <v>3.2987932937402903E-2</v>
      </c>
      <c r="G21">
        <f t="shared" si="2"/>
        <v>20</v>
      </c>
      <c r="H21">
        <f t="shared" si="3"/>
        <v>-6.4333333333333336</v>
      </c>
      <c r="I21">
        <f t="shared" si="4"/>
        <v>-1.4221595632397186</v>
      </c>
      <c r="J21" t="str">
        <f>$D$6</f>
        <v>Mean</v>
      </c>
      <c r="K21" s="13">
        <f>$E$6</f>
        <v>-5.9235087719298249</v>
      </c>
      <c r="L21">
        <v>2</v>
      </c>
    </row>
    <row r="22" spans="1:12" ht="18.75">
      <c r="A22" s="34">
        <v>-4.833333333333333</v>
      </c>
      <c r="B22">
        <f>_xlfn.RANK.EQ(C22,$C:$C,1)+COUNTIF($C$2:C22,C22)-1</f>
        <v>28</v>
      </c>
      <c r="C22" s="11">
        <f t="shared" si="0"/>
        <v>-4.833333333333333</v>
      </c>
      <c r="D22">
        <v>0.95</v>
      </c>
      <c r="E22" s="13">
        <f>E$6+E20</f>
        <v>-4.712158953050599</v>
      </c>
      <c r="F22">
        <f t="shared" si="1"/>
        <v>9.9107859822899172E-2</v>
      </c>
      <c r="G22">
        <f t="shared" si="2"/>
        <v>21</v>
      </c>
      <c r="H22">
        <f t="shared" si="3"/>
        <v>-5.9666666666666659</v>
      </c>
      <c r="I22">
        <f t="shared" si="4"/>
        <v>-1.3658767477353602</v>
      </c>
      <c r="K22" s="13">
        <f>$E$21</f>
        <v>-7.1348585908090509</v>
      </c>
      <c r="L22">
        <v>2</v>
      </c>
    </row>
    <row r="23" spans="1:12" ht="18.75">
      <c r="A23" s="34">
        <v>-8.4</v>
      </c>
      <c r="B23">
        <f>_xlfn.RANK.EQ(C23,$C:$C,1)+COUNTIF($C$2:C23,C23)-1</f>
        <v>9</v>
      </c>
      <c r="C23" s="11">
        <f t="shared" si="0"/>
        <v>-8.4</v>
      </c>
      <c r="F23">
        <f t="shared" si="1"/>
        <v>0.1656644138685531</v>
      </c>
      <c r="G23">
        <f t="shared" si="2"/>
        <v>22</v>
      </c>
      <c r="H23">
        <f t="shared" si="3"/>
        <v>-5.8666666666666671</v>
      </c>
      <c r="I23">
        <f t="shared" si="4"/>
        <v>-1.3870974112575261</v>
      </c>
      <c r="K23" s="13">
        <f>$E$22</f>
        <v>-4.712158953050599</v>
      </c>
      <c r="L23">
        <v>2</v>
      </c>
    </row>
    <row r="24" spans="1:12" ht="18.75">
      <c r="A24" s="34">
        <v>-2.9333333333333336</v>
      </c>
      <c r="B24">
        <f>_xlfn.RANK.EQ(C24,$C:$C,1)+COUNTIF($C$2:C24,C24)-1</f>
        <v>33</v>
      </c>
      <c r="C24" s="11">
        <f t="shared" si="0"/>
        <v>-2.9333333333333336</v>
      </c>
      <c r="D24" t="s">
        <v>91</v>
      </c>
      <c r="E24" s="13">
        <f>SQRT((E12-1)*E9/_xlfn.CHISQ.INV.RT((1-D22)/2,E12-1))</f>
        <v>3.0045458685829951</v>
      </c>
      <c r="F24">
        <f t="shared" si="1"/>
        <v>0.23296385427137234</v>
      </c>
      <c r="G24">
        <f t="shared" si="2"/>
        <v>23</v>
      </c>
      <c r="H24">
        <f t="shared" si="3"/>
        <v>-5.8</v>
      </c>
      <c r="I24">
        <f t="shared" si="4"/>
        <v>-1.4064280361976484</v>
      </c>
      <c r="J24" t="str">
        <f>$D$16</f>
        <v>Median</v>
      </c>
      <c r="K24" s="13">
        <f>$E$16</f>
        <v>-6.4666666666666668</v>
      </c>
      <c r="L24">
        <v>1</v>
      </c>
    </row>
    <row r="25" spans="1:12" ht="18.75">
      <c r="A25" s="34">
        <v>-5.166666666666667</v>
      </c>
      <c r="B25">
        <f>_xlfn.RANK.EQ(C25,$C:$C,1)+COUNTIF($C$2:C25,C25)-1</f>
        <v>25</v>
      </c>
      <c r="C25" s="11">
        <f t="shared" si="0"/>
        <v>-5.166666666666667</v>
      </c>
      <c r="E25" s="13">
        <f>SQRT((E12-1)*E9/_xlfn.CHISQ.INV.RT(1-(1-D22)/2,E12-1))</f>
        <v>4.7679327706632195</v>
      </c>
      <c r="F25">
        <f t="shared" si="1"/>
        <v>0.3013365208595763</v>
      </c>
      <c r="G25">
        <f t="shared" si="2"/>
        <v>24</v>
      </c>
      <c r="H25">
        <f t="shared" si="3"/>
        <v>-5.7333333333333334</v>
      </c>
      <c r="I25">
        <f t="shared" si="4"/>
        <v>-1.3682098049784412</v>
      </c>
      <c r="K25" s="13">
        <f>$E$27</f>
        <v>-9.7999999999999989</v>
      </c>
      <c r="L25">
        <v>1</v>
      </c>
    </row>
    <row r="26" spans="1:12" ht="18.75">
      <c r="A26" s="34">
        <v>-5.8666666666666671</v>
      </c>
      <c r="B26">
        <f>_xlfn.RANK.EQ(C26,$C:$C,1)+COUNTIF($C$2:C26,C26)-1</f>
        <v>22</v>
      </c>
      <c r="C26" s="11">
        <f t="shared" si="0"/>
        <v>-5.8666666666666671</v>
      </c>
      <c r="F26">
        <f t="shared" si="1"/>
        <v>0.37114932320228394</v>
      </c>
      <c r="G26">
        <f t="shared" si="2"/>
        <v>25</v>
      </c>
      <c r="H26">
        <f t="shared" si="3"/>
        <v>-5.166666666666667</v>
      </c>
      <c r="I26">
        <f t="shared" si="4"/>
        <v>-1.2569239167290414</v>
      </c>
      <c r="K26" s="13">
        <f>$E$28</f>
        <v>-5.166666666666667</v>
      </c>
      <c r="L26">
        <v>1</v>
      </c>
    </row>
    <row r="27" spans="1:12" ht="18.75">
      <c r="A27" s="34">
        <v>-6.666666666666667</v>
      </c>
      <c r="B27">
        <f>_xlfn.RANK.EQ(C27,$C:$C,1)+COUNTIF($C$2:C27,C27)-1</f>
        <v>17</v>
      </c>
      <c r="C27" s="11">
        <f t="shared" si="0"/>
        <v>-6.666666666666667</v>
      </c>
      <c r="D27" t="s">
        <v>92</v>
      </c>
      <c r="E27" s="13">
        <f>INDEX($A:$A,_xlfn.BINOM.INV(E12,0.5,(1-D22)/2))</f>
        <v>-9.7999999999999989</v>
      </c>
      <c r="F27">
        <f t="shared" si="1"/>
        <v>0.44282165759651121</v>
      </c>
      <c r="G27">
        <f t="shared" si="2"/>
        <v>26</v>
      </c>
      <c r="H27">
        <f t="shared" si="3"/>
        <v>-4.9666666666666668</v>
      </c>
      <c r="I27">
        <f t="shared" si="4"/>
        <v>-1.2535394190124638</v>
      </c>
      <c r="J27" t="str">
        <f>$D$30</f>
        <v>Normal</v>
      </c>
      <c r="K27" s="13">
        <f>$E$6</f>
        <v>-5.9235087719298249</v>
      </c>
      <c r="L27">
        <v>2</v>
      </c>
    </row>
    <row r="28" spans="1:12" ht="18.75">
      <c r="A28" s="34">
        <v>-4.9666666666666668</v>
      </c>
      <c r="B28">
        <f>_xlfn.RANK.EQ(C28,$C:$C,1)+COUNTIF($C$2:C28,C28)-1</f>
        <v>26</v>
      </c>
      <c r="C28" s="11">
        <f t="shared" si="0"/>
        <v>-4.9666666666666668</v>
      </c>
      <c r="E28" s="13">
        <f>INDEX($A:$A,_xlfn.BINOM.INV(E12,0.5,(1-(1-D22)/2)))</f>
        <v>-5.166666666666667</v>
      </c>
      <c r="F28">
        <f t="shared" si="1"/>
        <v>0.51684672765260953</v>
      </c>
      <c r="G28">
        <f t="shared" si="2"/>
        <v>27</v>
      </c>
      <c r="H28">
        <f t="shared" si="3"/>
        <v>-4.833333333333333</v>
      </c>
      <c r="I28">
        <f t="shared" si="4"/>
        <v>-1.1895444479617709</v>
      </c>
      <c r="K28" s="13">
        <f>$E$30</f>
        <v>-14.995184337322453</v>
      </c>
      <c r="L28">
        <v>2</v>
      </c>
    </row>
    <row r="29" spans="1:12" ht="18.75">
      <c r="A29" s="34">
        <v>-8.2666666666666675</v>
      </c>
      <c r="B29">
        <f>_xlfn.RANK.EQ(C29,$C:$C,1)+COUNTIF($C$2:C29,C29)-1</f>
        <v>11</v>
      </c>
      <c r="C29" s="11">
        <f t="shared" si="0"/>
        <v>-8.2666666666666675</v>
      </c>
      <c r="F29">
        <f t="shared" si="1"/>
        <v>0.59382139299351988</v>
      </c>
      <c r="G29">
        <f t="shared" si="2"/>
        <v>28</v>
      </c>
      <c r="H29">
        <f t="shared" si="3"/>
        <v>-4.833333333333333</v>
      </c>
      <c r="I29">
        <f t="shared" si="4"/>
        <v>-1.1411426834661664</v>
      </c>
      <c r="K29" s="13">
        <f>$E$31</f>
        <v>3.1481667934628028</v>
      </c>
      <c r="L29">
        <v>2</v>
      </c>
    </row>
    <row r="30" spans="1:12" ht="18.75">
      <c r="A30" s="34">
        <v>-5.7333333333333334</v>
      </c>
      <c r="B30">
        <f>_xlfn.RANK.EQ(C30,$C:$C,1)+COUNTIF($C$2:C30,C30)-1</f>
        <v>24</v>
      </c>
      <c r="C30" s="11">
        <f t="shared" si="0"/>
        <v>-5.7333333333333334</v>
      </c>
      <c r="D30" t="s">
        <v>67</v>
      </c>
      <c r="E30" s="13">
        <f>E6-E8*E36</f>
        <v>-14.995184337322453</v>
      </c>
      <c r="F30">
        <f t="shared" si="1"/>
        <v>0.67448975019608193</v>
      </c>
      <c r="G30">
        <f t="shared" si="2"/>
        <v>29</v>
      </c>
      <c r="H30">
        <f t="shared" si="3"/>
        <v>-4.8</v>
      </c>
      <c r="I30">
        <f t="shared" si="4"/>
        <v>-1.1507493576696213</v>
      </c>
      <c r="J30" t="str">
        <f>$D$39</f>
        <v>Nonparametric</v>
      </c>
      <c r="K30" s="13">
        <f>$E$6</f>
        <v>-5.9235087719298249</v>
      </c>
      <c r="L30">
        <v>1</v>
      </c>
    </row>
    <row r="31" spans="1:12" ht="18.75">
      <c r="A31" s="34">
        <v>-6.5</v>
      </c>
      <c r="B31">
        <f>_xlfn.RANK.EQ(C31,$C:$C,1)+COUNTIF($C$2:C31,C31)-1</f>
        <v>19</v>
      </c>
      <c r="C31" s="11">
        <f t="shared" si="0"/>
        <v>-6.5</v>
      </c>
      <c r="D31">
        <v>0.95</v>
      </c>
      <c r="E31" s="13">
        <f>E6+E8*E36</f>
        <v>3.1481667934628028</v>
      </c>
      <c r="F31">
        <f t="shared" si="1"/>
        <v>0.75980957100991864</v>
      </c>
      <c r="G31">
        <f t="shared" si="2"/>
        <v>30</v>
      </c>
      <c r="H31">
        <f t="shared" si="3"/>
        <v>-4.666666666666667</v>
      </c>
      <c r="I31">
        <f t="shared" si="4"/>
        <v>-1.1571806796909965</v>
      </c>
      <c r="K31" s="13">
        <f>$E$39</f>
        <v>-11.633333333333333</v>
      </c>
      <c r="L31">
        <v>1</v>
      </c>
    </row>
    <row r="32" spans="1:12" ht="18.75">
      <c r="A32" s="34">
        <v>-4.2</v>
      </c>
      <c r="B32">
        <f>_xlfn.RANK.EQ(C32,$C:$C,1)+COUNTIF($C$2:C32,C32)-1</f>
        <v>32</v>
      </c>
      <c r="C32" s="11">
        <f t="shared" si="0"/>
        <v>-4.2</v>
      </c>
      <c r="F32">
        <f t="shared" si="1"/>
        <v>0.85105852683856942</v>
      </c>
      <c r="G32">
        <f t="shared" si="2"/>
        <v>31</v>
      </c>
      <c r="H32">
        <f t="shared" si="3"/>
        <v>-4.2333333333333334</v>
      </c>
      <c r="I32">
        <f t="shared" si="4"/>
        <v>-1.048603857348948</v>
      </c>
      <c r="K32" s="13">
        <f>$E$40</f>
        <v>-6.5</v>
      </c>
      <c r="L32">
        <v>1</v>
      </c>
    </row>
    <row r="33" spans="1:13" ht="18.75">
      <c r="A33" s="34">
        <v>-2.6666666666666665</v>
      </c>
      <c r="B33">
        <f>_xlfn.RANK.EQ(C33,$C:$C,1)+COUNTIF($C$2:C33,C33)-1</f>
        <v>35</v>
      </c>
      <c r="C33" s="11">
        <f t="shared" si="0"/>
        <v>-2.6666666666666665</v>
      </c>
      <c r="D33" t="s">
        <v>95</v>
      </c>
      <c r="E33" s="13">
        <f>E6-E8*E37</f>
        <v>-13.781043213266328</v>
      </c>
      <c r="F33">
        <f t="shared" si="1"/>
        <v>0.95001375566931956</v>
      </c>
      <c r="G33">
        <f t="shared" si="2"/>
        <v>32</v>
      </c>
      <c r="H33">
        <f t="shared" si="3"/>
        <v>-4.2</v>
      </c>
      <c r="I33">
        <f t="shared" si="4"/>
        <v>-1.0691556434386582</v>
      </c>
      <c r="J33">
        <v>-12</v>
      </c>
      <c r="K33">
        <f>COUNTIF($C$2:$C$39,"&lt;="&amp;J33)</f>
        <v>0</v>
      </c>
      <c r="L33">
        <f t="shared" ref="L33:L40" si="5">IF(2.7&lt;&gt;0,M$33/M$34*_xlfn.NORM.DIST(J33-2.7/2,AVERAGE($C$2:$C$39),_xlfn.STDEV.S($C$2:$C$39),FALSE),K33)</f>
        <v>2.0024584462924797</v>
      </c>
      <c r="M33">
        <f>MAX($K$33:$K$40)</f>
        <v>15</v>
      </c>
    </row>
    <row r="34" spans="1:13" ht="18.75">
      <c r="A34" s="34">
        <v>-7.3666666666666663</v>
      </c>
      <c r="B34">
        <f>_xlfn.RANK.EQ(C34,$C:$C,1)+COUNTIF($C$2:C34,C34)-1</f>
        <v>13</v>
      </c>
      <c r="C34" s="11">
        <f t="shared" si="0"/>
        <v>-7.3666666666666663</v>
      </c>
      <c r="E34" s="13">
        <f>E6+E8*E37</f>
        <v>1.9340256694066777</v>
      </c>
      <c r="F34">
        <f t="shared" si="1"/>
        <v>1.0592769170824312</v>
      </c>
      <c r="G34">
        <f t="shared" si="2"/>
        <v>33</v>
      </c>
      <c r="H34">
        <f t="shared" si="3"/>
        <v>-2.9333333333333336</v>
      </c>
      <c r="I34">
        <f t="shared" si="4"/>
        <v>-0.80370409153428635</v>
      </c>
      <c r="J34">
        <f t="shared" ref="J34:J40" si="6">J33 + 2.7</f>
        <v>-9.3000000000000007</v>
      </c>
      <c r="K34">
        <f t="shared" ref="K34:K40" si="7">COUNTIF($C$2:$C$39,"&lt;="&amp;J34)-COUNTIF($C$2:$C$39,"&lt;="&amp;J33)</f>
        <v>5</v>
      </c>
      <c r="L34">
        <f t="shared" si="5"/>
        <v>6.7015793527854255</v>
      </c>
      <c r="M34">
        <v>0.10645768612659386</v>
      </c>
    </row>
    <row r="35" spans="1:13" ht="18.75">
      <c r="A35" s="34">
        <v>-6.8</v>
      </c>
      <c r="B35">
        <f>_xlfn.RANK.EQ(C35,$C:$C,1)+COUNTIF($C$2:C35,C35)-1</f>
        <v>16</v>
      </c>
      <c r="C35" s="11">
        <f t="shared" si="0"/>
        <v>-6.8</v>
      </c>
      <c r="F35">
        <f t="shared" si="1"/>
        <v>1.1829168441908862</v>
      </c>
      <c r="G35">
        <f t="shared" si="2"/>
        <v>34</v>
      </c>
      <c r="H35">
        <f t="shared" si="3"/>
        <v>-2.6666666666666665</v>
      </c>
      <c r="I35">
        <f t="shared" si="4"/>
        <v>-0.68322918878740446</v>
      </c>
      <c r="J35">
        <f t="shared" si="6"/>
        <v>-6.6000000000000005</v>
      </c>
      <c r="K35">
        <f t="shared" si="7"/>
        <v>12</v>
      </c>
      <c r="L35">
        <f t="shared" si="5"/>
        <v>13.112527535618668</v>
      </c>
    </row>
    <row r="36" spans="1:13" ht="18.75">
      <c r="A36" s="34">
        <v>4.6333333333333329</v>
      </c>
      <c r="B36">
        <f>_xlfn.RANK.EQ(C36,$C:$C,1)+COUNTIF($C$2:C36,C36)-1</f>
        <v>38</v>
      </c>
      <c r="C36" s="11">
        <f t="shared" si="0"/>
        <v>4.6333333333333329</v>
      </c>
      <c r="D36" t="s">
        <v>93</v>
      </c>
      <c r="E36" s="13">
        <f>-NORMSINV((1-D22)/2)*SQRT((E12-1)*(1+1/E12)/CHIINV(D31,E12-1))</f>
        <v>2.4615396090870374</v>
      </c>
      <c r="F36">
        <f t="shared" si="1"/>
        <v>1.3279018717558344</v>
      </c>
      <c r="G36">
        <f t="shared" si="2"/>
        <v>35</v>
      </c>
      <c r="H36">
        <f t="shared" si="3"/>
        <v>-2.6666666666666665</v>
      </c>
      <c r="I36">
        <f t="shared" si="4"/>
        <v>-0.66658680783712532</v>
      </c>
      <c r="J36">
        <f t="shared" si="6"/>
        <v>-3.9000000000000004</v>
      </c>
      <c r="K36">
        <f t="shared" si="7"/>
        <v>15</v>
      </c>
      <c r="L36">
        <f t="shared" si="5"/>
        <v>15</v>
      </c>
    </row>
    <row r="37" spans="1:13" ht="18.75">
      <c r="A37" s="34">
        <v>-8.8933333333333326</v>
      </c>
      <c r="B37">
        <f>_xlfn.RANK.EQ(C37,$C:$C,1)+COUNTIF($C$2:C37,C37)-1</f>
        <v>6</v>
      </c>
      <c r="C37" s="11">
        <f t="shared" si="0"/>
        <v>-8.8933333333333326</v>
      </c>
      <c r="D37" t="s">
        <v>94</v>
      </c>
      <c r="E37" s="13">
        <f>(-NORMSINV(1-D22)+SQRT((NORMSINV(1-D22))^2-(1-(NORMSINV(1-D31))^2/(2*(E12-1)))*((-NORMSINV(1-D22))^2--NORMSINV(1-D31)^2/E12)))/(1-(NORMSINV(1-D31))^2/(2*(E12-1)))</f>
        <v>2.1320903859151921</v>
      </c>
      <c r="F37">
        <f t="shared" si="1"/>
        <v>1.5079045914405591</v>
      </c>
      <c r="G37">
        <f t="shared" si="2"/>
        <v>36</v>
      </c>
      <c r="H37">
        <f t="shared" si="3"/>
        <v>2.8333333333333335</v>
      </c>
      <c r="I37">
        <f t="shared" si="4"/>
        <v>-0.18945701393475839</v>
      </c>
      <c r="J37">
        <f t="shared" si="6"/>
        <v>-1.2000000000000002</v>
      </c>
      <c r="K37">
        <f t="shared" si="7"/>
        <v>3</v>
      </c>
      <c r="L37">
        <f t="shared" si="5"/>
        <v>10.032096521491603</v>
      </c>
    </row>
    <row r="38" spans="1:13" ht="18.75">
      <c r="A38" s="34">
        <v>-8.4</v>
      </c>
      <c r="B38">
        <f>_xlfn.RANK.EQ(C38,$C:$C,1)+COUNTIF($C$2:C38,C38)-1</f>
        <v>10</v>
      </c>
      <c r="C38" s="11">
        <f t="shared" si="0"/>
        <v>-8.4</v>
      </c>
      <c r="F38">
        <f t="shared" si="1"/>
        <v>1.7568266072519048</v>
      </c>
      <c r="G38">
        <f t="shared" si="2"/>
        <v>37</v>
      </c>
      <c r="H38">
        <f t="shared" si="3"/>
        <v>4.1333333333333337</v>
      </c>
      <c r="I38">
        <f t="shared" si="4"/>
        <v>-0.12855219321719152</v>
      </c>
      <c r="J38">
        <f t="shared" si="6"/>
        <v>1.5</v>
      </c>
      <c r="K38">
        <f t="shared" si="7"/>
        <v>0</v>
      </c>
      <c r="L38">
        <f t="shared" si="5"/>
        <v>3.9227239040851982</v>
      </c>
    </row>
    <row r="39" spans="1:13" ht="18.75">
      <c r="A39" s="34">
        <v>-7.333333333333333</v>
      </c>
      <c r="B39">
        <f>_xlfn.RANK.EQ(C39,$C:$C,1)+COUNTIF($C$2:C39,C39)-1</f>
        <v>14</v>
      </c>
      <c r="C39" s="11">
        <f t="shared" si="0"/>
        <v>-7.333333333333333</v>
      </c>
      <c r="D39" t="s">
        <v>96</v>
      </c>
      <c r="E39" s="13">
        <f>SMALL($A:C,MAX(1,INT((E$12-_xlfn.BINOM.INV(E$12,D$40,D$31))/2)))</f>
        <v>-11.633333333333333</v>
      </c>
      <c r="F39">
        <f t="shared" si="1"/>
        <v>2.2215195883378365</v>
      </c>
      <c r="G39">
        <f t="shared" si="2"/>
        <v>38</v>
      </c>
      <c r="H39">
        <f t="shared" si="3"/>
        <v>4.6333333333333329</v>
      </c>
      <c r="I39">
        <f t="shared" si="4"/>
        <v>-0.12761760444867895</v>
      </c>
      <c r="J39">
        <f t="shared" si="6"/>
        <v>4.2</v>
      </c>
      <c r="K39">
        <f t="shared" si="7"/>
        <v>2</v>
      </c>
      <c r="L39">
        <f t="shared" si="5"/>
        <v>0.89676650573129846</v>
      </c>
    </row>
    <row r="40" spans="1:13">
      <c r="D40">
        <v>0.95</v>
      </c>
      <c r="E40" s="13">
        <f>SMALL($A:C,MIN(E$12,INT(E$12+1-(E$12-_xlfn.BINOM.INV(E$12,D$40,D$31))/2)))</f>
        <v>-6.5</v>
      </c>
      <c r="J40">
        <f t="shared" si="6"/>
        <v>6.9</v>
      </c>
      <c r="K40">
        <f t="shared" si="7"/>
        <v>1</v>
      </c>
      <c r="L40">
        <f t="shared" si="5"/>
        <v>0.11985788586829685</v>
      </c>
    </row>
    <row r="42" spans="1:13">
      <c r="D42" t="s">
        <v>69</v>
      </c>
      <c r="E42" s="13">
        <v>0.5</v>
      </c>
    </row>
  </sheetData>
  <pageMargins left="0.7" right="0.7" top="0.75" bottom="0.75" header="0.3" footer="0.3"/>
  <pageSetup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5DDF-1F2F-478D-A993-60BA8B5F4B6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D4C-64A0-4CF4-B86A-228A1476BB23}">
  <dimension ref="A1"/>
  <sheetViews>
    <sheetView workbookViewId="0">
      <selection activeCell="B4" sqref="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DESCR DescStat</vt:lpstr>
      <vt:lpstr>DESCR DescStata</vt:lpstr>
      <vt:lpstr>Single leg squat-Running Dat</vt:lpstr>
      <vt:lpstr>Bilateral landing DescStat</vt:lpstr>
      <vt:lpstr>Unilateral landing DescStat</vt:lpstr>
      <vt:lpstr>Unilateral landing DescStata4</vt:lpstr>
      <vt:lpstr>Unilateral landing DescStata</vt:lpstr>
      <vt:lpstr>Sheet4</vt:lpstr>
      <vt:lpstr>Sheet6</vt:lpstr>
      <vt:lpstr>Unilateral landing Data Unil</vt:lpstr>
      <vt:lpstr>Unilateral landing Data</vt:lpstr>
      <vt:lpstr>Sheet2</vt:lpstr>
      <vt:lpstr>Sheet3</vt:lpstr>
      <vt:lpstr>Sheet1</vt:lpstr>
      <vt:lpstr>'Bilateral landing DescStat'!Print_Area</vt:lpstr>
      <vt:lpstr>'DESCR DescStat'!Print_Area</vt:lpstr>
      <vt:lpstr>'DESCR DescStata'!Print_Area</vt:lpstr>
      <vt:lpstr>'Single leg squat-Running Dat'!Print_Area</vt:lpstr>
      <vt:lpstr>'Unilateral landing DescStat'!Print_Area</vt:lpstr>
      <vt:lpstr>'Unilateral landing DescStata'!Print_Area</vt:lpstr>
      <vt:lpstr>'Unilateral landing DescStata4'!Print_Area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DESCR Data</dc:title>
  <dc:creator>Ryan Mahaffey and QI Macros</dc:creator>
  <dc:description>QI Macros 2024.07_x000d_
qimacros.com</dc:description>
  <cp:lastModifiedBy>RadhieJay</cp:lastModifiedBy>
  <dcterms:created xsi:type="dcterms:W3CDTF">2024-09-09T09:28:42Z</dcterms:created>
  <dcterms:modified xsi:type="dcterms:W3CDTF">2024-09-14T16:43:28Z</dcterms:modified>
</cp:coreProperties>
</file>