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30555" yWindow="0" windowWidth="20400" windowHeight="9945"/>
  </bookViews>
  <sheets>
    <sheet name="Calculate from Values" sheetId="3" r:id="rId1"/>
    <sheet name="Sheet1" sheetId="1" r:id="rId2"/>
    <sheet name="Sheet2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H2" i="3"/>
  <c r="R2" i="3" l="1"/>
  <c r="A11" i="4" l="1"/>
  <c r="C11" i="4" s="1"/>
  <c r="C5" i="4"/>
  <c r="A10" i="4" l="1"/>
  <c r="A9" i="4"/>
  <c r="B8" i="4"/>
  <c r="A8" i="4"/>
  <c r="L2" i="4"/>
  <c r="B10" i="4" s="1"/>
  <c r="C10" i="4" s="1"/>
  <c r="K2" i="4"/>
  <c r="B9" i="4" s="1"/>
  <c r="C9" i="4" s="1"/>
  <c r="B7" i="4"/>
  <c r="A7" i="4"/>
  <c r="C7" i="4" l="1"/>
  <c r="C8" i="4"/>
  <c r="B6" i="4"/>
  <c r="C6" i="4" s="1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W31" i="3" l="1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X7" i="3"/>
  <c r="W7" i="3"/>
  <c r="L4" i="3" l="1"/>
  <c r="K4" i="3"/>
  <c r="W2" i="3" l="1"/>
  <c r="V2" i="3"/>
  <c r="J18" i="3" l="1"/>
  <c r="J15" i="3"/>
  <c r="J19" i="3"/>
  <c r="J23" i="3"/>
  <c r="J20" i="3"/>
  <c r="J16" i="3"/>
  <c r="J24" i="3"/>
  <c r="J17" i="3"/>
  <c r="J21" i="3"/>
  <c r="J25" i="3"/>
  <c r="J22" i="3"/>
  <c r="X2" i="3"/>
  <c r="J10" i="3" s="1"/>
  <c r="M4" i="3"/>
  <c r="Y2" i="3"/>
  <c r="J7" i="3" l="1"/>
  <c r="J14" i="3"/>
  <c r="J13" i="3"/>
  <c r="J8" i="3"/>
  <c r="J12" i="3"/>
  <c r="J11" i="3"/>
  <c r="J9" i="3"/>
  <c r="L60" i="3"/>
  <c r="L56" i="3"/>
  <c r="L55" i="3"/>
  <c r="L61" i="3"/>
  <c r="L57" i="3"/>
  <c r="L59" i="3"/>
  <c r="L58" i="3"/>
  <c r="L62" i="3"/>
  <c r="L54" i="3"/>
  <c r="L53" i="3"/>
  <c r="AB2" i="3"/>
  <c r="D2" i="3" s="1"/>
  <c r="X54" i="3" l="1"/>
  <c r="X60" i="3"/>
  <c r="X9" i="3"/>
  <c r="X15" i="3"/>
  <c r="X21" i="3"/>
  <c r="X29" i="3"/>
  <c r="X31" i="3"/>
  <c r="X33" i="3"/>
  <c r="X35" i="3"/>
  <c r="X37" i="3"/>
  <c r="X39" i="3"/>
  <c r="X41" i="3"/>
  <c r="X43" i="3"/>
  <c r="X45" i="3"/>
  <c r="X47" i="3"/>
  <c r="X49" i="3"/>
  <c r="X51" i="3"/>
  <c r="X53" i="3"/>
  <c r="X55" i="3"/>
  <c r="X57" i="3"/>
  <c r="X59" i="3"/>
  <c r="X61" i="3"/>
  <c r="X8" i="3"/>
  <c r="X10" i="3"/>
  <c r="X12" i="3"/>
  <c r="X14" i="3"/>
  <c r="X16" i="3"/>
  <c r="X18" i="3"/>
  <c r="X20" i="3"/>
  <c r="X22" i="3"/>
  <c r="X24" i="3"/>
  <c r="X26" i="3"/>
  <c r="X28" i="3"/>
  <c r="X30" i="3"/>
  <c r="X34" i="3"/>
  <c r="X38" i="3"/>
  <c r="X42" i="3"/>
  <c r="X46" i="3"/>
  <c r="X50" i="3"/>
  <c r="X56" i="3"/>
  <c r="X62" i="3"/>
  <c r="X13" i="3"/>
  <c r="X17" i="3"/>
  <c r="X23" i="3"/>
  <c r="X27" i="3"/>
  <c r="X32" i="3"/>
  <c r="X36" i="3"/>
  <c r="X40" i="3"/>
  <c r="X44" i="3"/>
  <c r="X48" i="3"/>
  <c r="X52" i="3"/>
  <c r="X58" i="3"/>
  <c r="X11" i="3"/>
  <c r="X19" i="3"/>
  <c r="X25" i="3"/>
  <c r="J4" i="3"/>
  <c r="V4" i="3" l="1"/>
  <c r="K7" i="3" s="1"/>
  <c r="O4" i="3"/>
  <c r="P4" i="3"/>
  <c r="H4" i="3" s="1"/>
  <c r="L7" i="3" l="1"/>
  <c r="V59" i="3"/>
  <c r="D59" i="3" s="1"/>
  <c r="V58" i="3"/>
  <c r="V57" i="3"/>
  <c r="V60" i="3"/>
  <c r="V55" i="3"/>
  <c r="D55" i="3" s="1"/>
  <c r="G55" i="3" s="1"/>
  <c r="I55" i="3" s="1"/>
  <c r="V62" i="3"/>
  <c r="V61" i="3"/>
  <c r="V56" i="3"/>
  <c r="G59" i="3"/>
  <c r="I59" i="3" s="1"/>
  <c r="V44" i="3"/>
  <c r="D44" i="3" s="1"/>
  <c r="V48" i="3"/>
  <c r="D48" i="3" s="1"/>
  <c r="V52" i="3"/>
  <c r="V51" i="3"/>
  <c r="D51" i="3" s="1"/>
  <c r="V45" i="3"/>
  <c r="D45" i="3" s="1"/>
  <c r="V49" i="3"/>
  <c r="D49" i="3" s="1"/>
  <c r="V53" i="3"/>
  <c r="V43" i="3"/>
  <c r="D43" i="3" s="1"/>
  <c r="V46" i="3"/>
  <c r="D46" i="3" s="1"/>
  <c r="V50" i="3"/>
  <c r="D50" i="3" s="1"/>
  <c r="V54" i="3"/>
  <c r="V47" i="3"/>
  <c r="D47" i="3" s="1"/>
  <c r="R4" i="3"/>
  <c r="V9" i="3"/>
  <c r="V13" i="3"/>
  <c r="V17" i="3"/>
  <c r="V21" i="3"/>
  <c r="V25" i="3"/>
  <c r="V29" i="3"/>
  <c r="D29" i="3" s="1"/>
  <c r="V33" i="3"/>
  <c r="D33" i="3" s="1"/>
  <c r="V37" i="3"/>
  <c r="D37" i="3" s="1"/>
  <c r="V41" i="3"/>
  <c r="D41" i="3" s="1"/>
  <c r="V14" i="3"/>
  <c r="V22" i="3"/>
  <c r="V30" i="3"/>
  <c r="D30" i="3" s="1"/>
  <c r="V38" i="3"/>
  <c r="D38" i="3" s="1"/>
  <c r="V7" i="3"/>
  <c r="V11" i="3"/>
  <c r="V15" i="3"/>
  <c r="V19" i="3"/>
  <c r="V23" i="3"/>
  <c r="V27" i="3"/>
  <c r="V31" i="3"/>
  <c r="D31" i="3" s="1"/>
  <c r="V35" i="3"/>
  <c r="D35" i="3" s="1"/>
  <c r="V39" i="3"/>
  <c r="D39" i="3" s="1"/>
  <c r="V8" i="3"/>
  <c r="V12" i="3"/>
  <c r="V16" i="3"/>
  <c r="V20" i="3"/>
  <c r="V24" i="3"/>
  <c r="V28" i="3"/>
  <c r="D28" i="3" s="1"/>
  <c r="V32" i="3"/>
  <c r="D32" i="3" s="1"/>
  <c r="V36" i="3"/>
  <c r="D36" i="3" s="1"/>
  <c r="V40" i="3"/>
  <c r="D40" i="3" s="1"/>
  <c r="V10" i="3"/>
  <c r="V18" i="3"/>
  <c r="V26" i="3"/>
  <c r="V34" i="3"/>
  <c r="D34" i="3" s="1"/>
  <c r="V42" i="3"/>
  <c r="D42" i="3" s="1"/>
  <c r="Q4" i="3"/>
  <c r="S4" i="3"/>
  <c r="D61" i="3" l="1"/>
  <c r="G61" i="3" s="1"/>
  <c r="I61" i="3" s="1"/>
  <c r="D62" i="3"/>
  <c r="G62" i="3" s="1"/>
  <c r="I62" i="3" s="1"/>
  <c r="D58" i="3"/>
  <c r="G58" i="3" s="1"/>
  <c r="I58" i="3" s="1"/>
  <c r="D57" i="3"/>
  <c r="G57" i="3" s="1"/>
  <c r="I57" i="3" s="1"/>
  <c r="D54" i="3"/>
  <c r="G54" i="3" s="1"/>
  <c r="I54" i="3" s="1"/>
  <c r="D53" i="3"/>
  <c r="G53" i="3" s="1"/>
  <c r="I53" i="3" s="1"/>
  <c r="D52" i="3"/>
  <c r="G52" i="3" s="1"/>
  <c r="I52" i="3" s="1"/>
  <c r="D56" i="3"/>
  <c r="G56" i="3" s="1"/>
  <c r="I56" i="3" s="1"/>
  <c r="D60" i="3"/>
  <c r="G60" i="3" s="1"/>
  <c r="I60" i="3" s="1"/>
  <c r="U60" i="3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G45" i="3" s="1"/>
  <c r="I45" i="3" s="1"/>
  <c r="T49" i="3"/>
  <c r="G49" i="3" s="1"/>
  <c r="I49" i="3" s="1"/>
  <c r="T53" i="3"/>
  <c r="T43" i="3"/>
  <c r="G43" i="3" s="1"/>
  <c r="I43" i="3" s="1"/>
  <c r="T52" i="3"/>
  <c r="T46" i="3"/>
  <c r="G46" i="3" s="1"/>
  <c r="I46" i="3" s="1"/>
  <c r="T50" i="3"/>
  <c r="T54" i="3"/>
  <c r="T44" i="3"/>
  <c r="T47" i="3"/>
  <c r="T51" i="3"/>
  <c r="T48" i="3"/>
  <c r="G48" i="3" s="1"/>
  <c r="I48" i="3" s="1"/>
  <c r="U7" i="3"/>
  <c r="U23" i="3"/>
  <c r="U39" i="3"/>
  <c r="U20" i="3"/>
  <c r="U36" i="3"/>
  <c r="U17" i="3"/>
  <c r="U33" i="3"/>
  <c r="U26" i="3"/>
  <c r="U30" i="3"/>
  <c r="U11" i="3"/>
  <c r="U27" i="3"/>
  <c r="D27" i="3" s="1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U41" i="3"/>
  <c r="U22" i="3"/>
  <c r="U18" i="3"/>
  <c r="U35" i="3"/>
  <c r="U32" i="3"/>
  <c r="U29" i="3"/>
  <c r="U14" i="3"/>
  <c r="T7" i="3"/>
  <c r="T11" i="3"/>
  <c r="T15" i="3"/>
  <c r="T19" i="3"/>
  <c r="T23" i="3"/>
  <c r="T27" i="3"/>
  <c r="T31" i="3"/>
  <c r="T35" i="3"/>
  <c r="G35" i="3" s="1"/>
  <c r="I35" i="3" s="1"/>
  <c r="T39" i="3"/>
  <c r="T8" i="3"/>
  <c r="T12" i="3"/>
  <c r="T16" i="3"/>
  <c r="T20" i="3"/>
  <c r="D20" i="3" s="1"/>
  <c r="T24" i="3"/>
  <c r="T28" i="3"/>
  <c r="T32" i="3"/>
  <c r="T36" i="3"/>
  <c r="G36" i="3" s="1"/>
  <c r="I36" i="3" s="1"/>
  <c r="T40" i="3"/>
  <c r="G40" i="3" s="1"/>
  <c r="I40" i="3" s="1"/>
  <c r="T9" i="3"/>
  <c r="T13" i="3"/>
  <c r="T17" i="3"/>
  <c r="D17" i="3" s="1"/>
  <c r="T21" i="3"/>
  <c r="T25" i="3"/>
  <c r="T29" i="3"/>
  <c r="T33" i="3"/>
  <c r="T37" i="3"/>
  <c r="T41" i="3"/>
  <c r="G41" i="3" s="1"/>
  <c r="I41" i="3" s="1"/>
  <c r="T10" i="3"/>
  <c r="T26" i="3"/>
  <c r="T42" i="3"/>
  <c r="G42" i="3" s="1"/>
  <c r="I42" i="3" s="1"/>
  <c r="T38" i="3"/>
  <c r="T14" i="3"/>
  <c r="T30" i="3"/>
  <c r="T18" i="3"/>
  <c r="D18" i="3" s="1"/>
  <c r="T34" i="3"/>
  <c r="G34" i="3" s="1"/>
  <c r="I34" i="3" s="1"/>
  <c r="T22" i="3"/>
  <c r="D26" i="3" l="1"/>
  <c r="D25" i="3"/>
  <c r="D21" i="3"/>
  <c r="D22" i="3"/>
  <c r="D19" i="3"/>
  <c r="D23" i="3"/>
  <c r="D24" i="3"/>
  <c r="G47" i="3"/>
  <c r="I47" i="3" s="1"/>
  <c r="G39" i="3"/>
  <c r="I39" i="3" s="1"/>
  <c r="G50" i="3"/>
  <c r="I50" i="3" s="1"/>
  <c r="G44" i="3"/>
  <c r="I44" i="3" s="1"/>
  <c r="D4" i="3"/>
  <c r="E4" i="3"/>
  <c r="A4" i="3"/>
  <c r="F4" i="3"/>
  <c r="I4" i="3" l="1"/>
  <c r="N61" i="3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B58" i="3" s="1"/>
  <c r="F58" i="3" s="1"/>
  <c r="J58" i="3" s="1"/>
  <c r="Q62" i="3"/>
  <c r="B62" i="3" s="1"/>
  <c r="F62" i="3" s="1"/>
  <c r="J62" i="3" s="1"/>
  <c r="Q55" i="3"/>
  <c r="Q56" i="3"/>
  <c r="Q59" i="3"/>
  <c r="B59" i="3" s="1"/>
  <c r="F59" i="3" s="1"/>
  <c r="J59" i="3" s="1"/>
  <c r="Q60" i="3"/>
  <c r="Q57" i="3"/>
  <c r="B57" i="3" s="1"/>
  <c r="F57" i="3" s="1"/>
  <c r="J57" i="3" s="1"/>
  <c r="Q61" i="3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B45" i="3" s="1"/>
  <c r="Q49" i="3"/>
  <c r="B49" i="3" s="1"/>
  <c r="Q53" i="3"/>
  <c r="Q43" i="3"/>
  <c r="B43" i="3" s="1"/>
  <c r="Q52" i="3"/>
  <c r="B52" i="3" s="1"/>
  <c r="Q46" i="3"/>
  <c r="B46" i="3" s="1"/>
  <c r="Q50" i="3"/>
  <c r="B50" i="3" s="1"/>
  <c r="Q54" i="3"/>
  <c r="Q48" i="3"/>
  <c r="B48" i="3" s="1"/>
  <c r="Q47" i="3"/>
  <c r="B47" i="3" s="1"/>
  <c r="Q51" i="3"/>
  <c r="B51" i="3" s="1"/>
  <c r="Q44" i="3"/>
  <c r="B44" i="3" s="1"/>
  <c r="F52" i="3"/>
  <c r="J52" i="3" s="1"/>
  <c r="P45" i="3"/>
  <c r="P49" i="3"/>
  <c r="P53" i="3"/>
  <c r="P46" i="3"/>
  <c r="P50" i="3"/>
  <c r="P54" i="3"/>
  <c r="P44" i="3"/>
  <c r="P52" i="3"/>
  <c r="P47" i="3"/>
  <c r="P51" i="3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B27" i="3" s="1"/>
  <c r="Q31" i="3"/>
  <c r="B31" i="3" s="1"/>
  <c r="Q35" i="3"/>
  <c r="B35" i="3" s="1"/>
  <c r="Q39" i="3"/>
  <c r="B39" i="3" s="1"/>
  <c r="Q8" i="3"/>
  <c r="Q12" i="3"/>
  <c r="Q16" i="3"/>
  <c r="Q20" i="3"/>
  <c r="Q24" i="3"/>
  <c r="Q28" i="3"/>
  <c r="B28" i="3" s="1"/>
  <c r="Q32" i="3"/>
  <c r="B32" i="3" s="1"/>
  <c r="Q36" i="3"/>
  <c r="B36" i="3" s="1"/>
  <c r="Q40" i="3"/>
  <c r="B40" i="3" s="1"/>
  <c r="Q9" i="3"/>
  <c r="Q13" i="3"/>
  <c r="Q17" i="3"/>
  <c r="Q21" i="3"/>
  <c r="Q25" i="3"/>
  <c r="Q29" i="3"/>
  <c r="B29" i="3" s="1"/>
  <c r="Q33" i="3"/>
  <c r="B33" i="3" s="1"/>
  <c r="Q37" i="3"/>
  <c r="B37" i="3" s="1"/>
  <c r="Q41" i="3"/>
  <c r="B41" i="3" s="1"/>
  <c r="Q14" i="3"/>
  <c r="Q30" i="3"/>
  <c r="B30" i="3" s="1"/>
  <c r="Q10" i="3"/>
  <c r="Q18" i="3"/>
  <c r="Q34" i="3"/>
  <c r="B34" i="3" s="1"/>
  <c r="Q42" i="3"/>
  <c r="B42" i="3" s="1"/>
  <c r="Q22" i="3"/>
  <c r="Q38" i="3"/>
  <c r="B38" i="3" s="1"/>
  <c r="Q26" i="3"/>
  <c r="S7" i="3"/>
  <c r="S11" i="3"/>
  <c r="D11" i="3" s="1"/>
  <c r="S15" i="3"/>
  <c r="S19" i="3"/>
  <c r="G19" i="3" s="1"/>
  <c r="S23" i="3"/>
  <c r="G23" i="3" s="1"/>
  <c r="I23" i="3" s="1"/>
  <c r="S27" i="3"/>
  <c r="G27" i="3" s="1"/>
  <c r="I27" i="3" s="1"/>
  <c r="S31" i="3"/>
  <c r="G31" i="3" s="1"/>
  <c r="I31" i="3" s="1"/>
  <c r="S35" i="3"/>
  <c r="S39" i="3"/>
  <c r="N7" i="3"/>
  <c r="N11" i="3"/>
  <c r="B11" i="3" s="1"/>
  <c r="N15" i="3"/>
  <c r="N19" i="3"/>
  <c r="N23" i="3"/>
  <c r="N27" i="3"/>
  <c r="N31" i="3"/>
  <c r="N35" i="3"/>
  <c r="N39" i="3"/>
  <c r="S8" i="3"/>
  <c r="S12" i="3"/>
  <c r="D12" i="3" s="1"/>
  <c r="S16" i="3"/>
  <c r="S20" i="3"/>
  <c r="G20" i="3" s="1"/>
  <c r="I20" i="3" s="1"/>
  <c r="S24" i="3"/>
  <c r="G24" i="3" s="1"/>
  <c r="I24" i="3" s="1"/>
  <c r="S28" i="3"/>
  <c r="G28" i="3" s="1"/>
  <c r="I28" i="3" s="1"/>
  <c r="S32" i="3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S13" i="3"/>
  <c r="S17" i="3"/>
  <c r="G17" i="3" s="1"/>
  <c r="S21" i="3"/>
  <c r="G21" i="3" s="1"/>
  <c r="I21" i="3" s="1"/>
  <c r="S25" i="3"/>
  <c r="G25" i="3" s="1"/>
  <c r="I25" i="3" s="1"/>
  <c r="S29" i="3"/>
  <c r="G29" i="3" s="1"/>
  <c r="I29" i="3" s="1"/>
  <c r="S33" i="3"/>
  <c r="G33" i="3" s="1"/>
  <c r="I33" i="3" s="1"/>
  <c r="S37" i="3"/>
  <c r="S41" i="3"/>
  <c r="N9" i="3"/>
  <c r="N13" i="3"/>
  <c r="B13" i="3" s="1"/>
  <c r="N17" i="3"/>
  <c r="N21" i="3"/>
  <c r="N25" i="3"/>
  <c r="N29" i="3"/>
  <c r="N33" i="3"/>
  <c r="N37" i="3"/>
  <c r="N41" i="3"/>
  <c r="S22" i="3"/>
  <c r="G22" i="3" s="1"/>
  <c r="I22" i="3" s="1"/>
  <c r="S38" i="3"/>
  <c r="N18" i="3"/>
  <c r="N34" i="3"/>
  <c r="S10" i="3"/>
  <c r="S26" i="3"/>
  <c r="G26" i="3" s="1"/>
  <c r="I26" i="3" s="1"/>
  <c r="S42" i="3"/>
  <c r="N22" i="3"/>
  <c r="N38" i="3"/>
  <c r="S18" i="3"/>
  <c r="G18" i="3" s="1"/>
  <c r="N14" i="3"/>
  <c r="S14" i="3"/>
  <c r="D14" i="3" s="1"/>
  <c r="S30" i="3"/>
  <c r="G30" i="3" s="1"/>
  <c r="I30" i="3" s="1"/>
  <c r="N10" i="3"/>
  <c r="N26" i="3"/>
  <c r="N42" i="3"/>
  <c r="S34" i="3"/>
  <c r="N30" i="3"/>
  <c r="B4" i="3"/>
  <c r="N4" i="3"/>
  <c r="G4" i="3" s="1"/>
  <c r="U4" i="3"/>
  <c r="T4" i="3"/>
  <c r="C4" i="3"/>
  <c r="A22" i="1"/>
  <c r="B13" i="1" s="1"/>
  <c r="F51" i="3" l="1"/>
  <c r="J51" i="3" s="1"/>
  <c r="Y52" i="3"/>
  <c r="D16" i="3"/>
  <c r="G16" i="3" s="1"/>
  <c r="I16" i="3" s="1"/>
  <c r="B15" i="1"/>
  <c r="B14" i="1"/>
  <c r="H57" i="3"/>
  <c r="Y57" i="3"/>
  <c r="H62" i="3"/>
  <c r="Y62" i="3"/>
  <c r="H59" i="3"/>
  <c r="Y59" i="3"/>
  <c r="H58" i="3"/>
  <c r="Y58" i="3"/>
  <c r="D15" i="3"/>
  <c r="G15" i="3" s="1"/>
  <c r="I15" i="3" s="1"/>
  <c r="D13" i="3"/>
  <c r="G13" i="3" s="1"/>
  <c r="I13" i="3" s="1"/>
  <c r="B54" i="3"/>
  <c r="F54" i="3" s="1"/>
  <c r="J54" i="3" s="1"/>
  <c r="B56" i="3"/>
  <c r="F56" i="3" s="1"/>
  <c r="J56" i="3" s="1"/>
  <c r="B55" i="3"/>
  <c r="F55" i="3" s="1"/>
  <c r="J55" i="3" s="1"/>
  <c r="B60" i="3"/>
  <c r="F60" i="3" s="1"/>
  <c r="J60" i="3" s="1"/>
  <c r="B61" i="3"/>
  <c r="F61" i="3" s="1"/>
  <c r="J61" i="3" s="1"/>
  <c r="B53" i="3"/>
  <c r="F53" i="3" s="1"/>
  <c r="J53" i="3" s="1"/>
  <c r="M61" i="3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1" i="3"/>
  <c r="H52" i="3"/>
  <c r="O44" i="3"/>
  <c r="F44" i="3" s="1"/>
  <c r="J44" i="3" s="1"/>
  <c r="O48" i="3"/>
  <c r="F48" i="3" s="1"/>
  <c r="J48" i="3" s="1"/>
  <c r="O52" i="3"/>
  <c r="O51" i="3"/>
  <c r="O45" i="3"/>
  <c r="F45" i="3" s="1"/>
  <c r="J45" i="3" s="1"/>
  <c r="O49" i="3"/>
  <c r="F49" i="3" s="1"/>
  <c r="J49" i="3" s="1"/>
  <c r="O53" i="3"/>
  <c r="O43" i="3"/>
  <c r="F43" i="3" s="1"/>
  <c r="J43" i="3" s="1"/>
  <c r="O46" i="3"/>
  <c r="F46" i="3" s="1"/>
  <c r="J46" i="3" s="1"/>
  <c r="O50" i="3"/>
  <c r="F50" i="3" s="1"/>
  <c r="J50" i="3" s="1"/>
  <c r="O54" i="3"/>
  <c r="O47" i="3"/>
  <c r="F47" i="3" s="1"/>
  <c r="J47" i="3" s="1"/>
  <c r="M10" i="3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R11" i="3"/>
  <c r="G11" i="3" s="1"/>
  <c r="R15" i="3"/>
  <c r="R19" i="3"/>
  <c r="R23" i="3"/>
  <c r="R27" i="3"/>
  <c r="R31" i="3"/>
  <c r="R35" i="3"/>
  <c r="R39" i="3"/>
  <c r="R8" i="3"/>
  <c r="D8" i="3" s="1"/>
  <c r="R12" i="3"/>
  <c r="R16" i="3"/>
  <c r="R20" i="3"/>
  <c r="R24" i="3"/>
  <c r="R28" i="3"/>
  <c r="R32" i="3"/>
  <c r="R36" i="3"/>
  <c r="R40" i="3"/>
  <c r="R9" i="3"/>
  <c r="R13" i="3"/>
  <c r="R17" i="3"/>
  <c r="R21" i="3"/>
  <c r="R25" i="3"/>
  <c r="R29" i="3"/>
  <c r="R33" i="3"/>
  <c r="R37" i="3"/>
  <c r="G37" i="3" s="1"/>
  <c r="I37" i="3" s="1"/>
  <c r="R41" i="3"/>
  <c r="R18" i="3"/>
  <c r="R34" i="3"/>
  <c r="R22" i="3"/>
  <c r="R38" i="3"/>
  <c r="G38" i="3" s="1"/>
  <c r="I38" i="3" s="1"/>
  <c r="R30" i="3"/>
  <c r="R10" i="3"/>
  <c r="D10" i="3" s="1"/>
  <c r="R26" i="3"/>
  <c r="R42" i="3"/>
  <c r="R14" i="3"/>
  <c r="G14" i="3" s="1"/>
  <c r="I14" i="3" s="1"/>
  <c r="O7" i="3"/>
  <c r="O11" i="3"/>
  <c r="O15" i="3"/>
  <c r="O19" i="3"/>
  <c r="B19" i="3" s="1"/>
  <c r="O23" i="3"/>
  <c r="O27" i="3"/>
  <c r="F27" i="3" s="1"/>
  <c r="J27" i="3" s="1"/>
  <c r="O31" i="3"/>
  <c r="F31" i="3" s="1"/>
  <c r="J31" i="3" s="1"/>
  <c r="O35" i="3"/>
  <c r="F35" i="3" s="1"/>
  <c r="J35" i="3" s="1"/>
  <c r="O39" i="3"/>
  <c r="F39" i="3" s="1"/>
  <c r="J39" i="3" s="1"/>
  <c r="O8" i="3"/>
  <c r="O12" i="3"/>
  <c r="O16" i="3"/>
  <c r="O20" i="3"/>
  <c r="B20" i="3" s="1"/>
  <c r="O24" i="3"/>
  <c r="O28" i="3"/>
  <c r="F28" i="3" s="1"/>
  <c r="J28" i="3" s="1"/>
  <c r="O32" i="3"/>
  <c r="F32" i="3" s="1"/>
  <c r="J32" i="3" s="1"/>
  <c r="O36" i="3"/>
  <c r="F36" i="3" s="1"/>
  <c r="J36" i="3" s="1"/>
  <c r="O40" i="3"/>
  <c r="F40" i="3" s="1"/>
  <c r="J40" i="3" s="1"/>
  <c r="O9" i="3"/>
  <c r="O13" i="3"/>
  <c r="O17" i="3"/>
  <c r="O21" i="3"/>
  <c r="B21" i="3" s="1"/>
  <c r="O25" i="3"/>
  <c r="O29" i="3"/>
  <c r="F29" i="3" s="1"/>
  <c r="J29" i="3" s="1"/>
  <c r="O33" i="3"/>
  <c r="F33" i="3" s="1"/>
  <c r="J33" i="3" s="1"/>
  <c r="O37" i="3"/>
  <c r="F37" i="3" s="1"/>
  <c r="J37" i="3" s="1"/>
  <c r="O41" i="3"/>
  <c r="F41" i="3" s="1"/>
  <c r="J41" i="3" s="1"/>
  <c r="O22" i="3"/>
  <c r="O38" i="3"/>
  <c r="F38" i="3" s="1"/>
  <c r="J38" i="3" s="1"/>
  <c r="O34" i="3"/>
  <c r="F34" i="3" s="1"/>
  <c r="J34" i="3" s="1"/>
  <c r="O10" i="3"/>
  <c r="O26" i="3"/>
  <c r="B26" i="3" s="1"/>
  <c r="O42" i="3"/>
  <c r="F42" i="3" s="1"/>
  <c r="J42" i="3" s="1"/>
  <c r="O14" i="3"/>
  <c r="O30" i="3"/>
  <c r="F30" i="3" s="1"/>
  <c r="J30" i="3" s="1"/>
  <c r="O18" i="3"/>
  <c r="I18" i="3"/>
  <c r="I19" i="3"/>
  <c r="I17" i="3"/>
  <c r="G12" i="3"/>
  <c r="F12" i="3"/>
  <c r="F13" i="3"/>
  <c r="D22" i="1"/>
  <c r="F26" i="3" l="1"/>
  <c r="J26" i="3" s="1"/>
  <c r="Y51" i="3"/>
  <c r="Y40" i="3"/>
  <c r="Y39" i="3"/>
  <c r="Y46" i="3"/>
  <c r="Y45" i="3"/>
  <c r="Y44" i="3"/>
  <c r="Y50" i="3"/>
  <c r="Y49" i="3"/>
  <c r="Y48" i="3"/>
  <c r="Y47" i="3"/>
  <c r="Y43" i="3"/>
  <c r="Y42" i="3"/>
  <c r="Y41" i="3"/>
  <c r="B25" i="3"/>
  <c r="F25" i="3" s="1"/>
  <c r="Y38" i="3"/>
  <c r="B10" i="3"/>
  <c r="F10" i="3" s="1"/>
  <c r="Y12" i="3"/>
  <c r="Y13" i="3"/>
  <c r="Y34" i="3"/>
  <c r="Y11" i="3"/>
  <c r="Y33" i="3"/>
  <c r="Y36" i="3"/>
  <c r="H61" i="3"/>
  <c r="Y61" i="3"/>
  <c r="H54" i="3"/>
  <c r="Y54" i="3"/>
  <c r="Y37" i="3"/>
  <c r="H56" i="3"/>
  <c r="Y56" i="3"/>
  <c r="Y29" i="3"/>
  <c r="Y32" i="3"/>
  <c r="Y35" i="3"/>
  <c r="H60" i="3"/>
  <c r="Y60" i="3"/>
  <c r="Y27" i="3"/>
  <c r="H53" i="3"/>
  <c r="Y53" i="3"/>
  <c r="Y30" i="3"/>
  <c r="Y28" i="3"/>
  <c r="Y31" i="3"/>
  <c r="H55" i="3"/>
  <c r="Y55" i="3"/>
  <c r="D9" i="3"/>
  <c r="G9" i="3" s="1"/>
  <c r="I9" i="3" s="1"/>
  <c r="B24" i="3"/>
  <c r="F24" i="3" s="1"/>
  <c r="B23" i="3"/>
  <c r="F23" i="3" s="1"/>
  <c r="B15" i="3"/>
  <c r="F15" i="3" s="1"/>
  <c r="B14" i="3"/>
  <c r="F14" i="3" s="1"/>
  <c r="B17" i="3"/>
  <c r="F17" i="3" s="1"/>
  <c r="B22" i="3"/>
  <c r="F22" i="3" s="1"/>
  <c r="B16" i="3"/>
  <c r="F16" i="3" s="1"/>
  <c r="D7" i="3"/>
  <c r="G7" i="3" s="1"/>
  <c r="I7" i="3" s="1"/>
  <c r="B18" i="3"/>
  <c r="F18" i="3" s="1"/>
  <c r="H50" i="3"/>
  <c r="H49" i="3"/>
  <c r="H48" i="3"/>
  <c r="H46" i="3"/>
  <c r="H45" i="3"/>
  <c r="H44" i="3"/>
  <c r="H47" i="3"/>
  <c r="H43" i="3"/>
  <c r="G10" i="3"/>
  <c r="G8" i="3"/>
  <c r="I8" i="3" s="1"/>
  <c r="F19" i="3"/>
  <c r="F21" i="3"/>
  <c r="F20" i="3"/>
  <c r="I12" i="3"/>
  <c r="I11" i="3"/>
  <c r="H39" i="3"/>
  <c r="H34" i="3"/>
  <c r="H33" i="3"/>
  <c r="H26" i="3"/>
  <c r="H41" i="3"/>
  <c r="H11" i="3"/>
  <c r="H40" i="3"/>
  <c r="H38" i="3"/>
  <c r="H13" i="3"/>
  <c r="H12" i="3"/>
  <c r="H28" i="3"/>
  <c r="H36" i="3"/>
  <c r="H32" i="3"/>
  <c r="H42" i="3"/>
  <c r="H35" i="3"/>
  <c r="H37" i="3"/>
  <c r="H29" i="3"/>
  <c r="H31" i="3"/>
  <c r="H27" i="3"/>
  <c r="H30" i="3"/>
  <c r="F8" i="3"/>
  <c r="F9" i="3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Y26" i="3" l="1"/>
  <c r="H10" i="3"/>
  <c r="H25" i="3"/>
  <c r="Y25" i="3"/>
  <c r="Y10" i="3"/>
  <c r="Y7" i="3"/>
  <c r="Y18" i="3"/>
  <c r="Y9" i="3"/>
  <c r="Y14" i="3"/>
  <c r="Y24" i="3"/>
  <c r="Y8" i="3"/>
  <c r="Y16" i="3"/>
  <c r="Y15" i="3"/>
  <c r="Y17" i="3"/>
  <c r="Y22" i="3"/>
  <c r="Y23" i="3"/>
  <c r="Y19" i="3"/>
  <c r="Y20" i="3"/>
  <c r="Y21" i="3"/>
  <c r="H24" i="3"/>
  <c r="H23" i="3"/>
  <c r="H14" i="3"/>
  <c r="H15" i="3"/>
  <c r="H22" i="3"/>
  <c r="H16" i="3"/>
  <c r="H18" i="3"/>
  <c r="H17" i="3"/>
  <c r="L50" i="3"/>
  <c r="L52" i="3"/>
  <c r="L28" i="3"/>
  <c r="L29" i="3"/>
  <c r="L44" i="3"/>
  <c r="L40" i="3"/>
  <c r="L34" i="3"/>
  <c r="L47" i="3"/>
  <c r="L39" i="3"/>
  <c r="L33" i="3"/>
  <c r="L30" i="3"/>
  <c r="L35" i="3"/>
  <c r="L26" i="3"/>
  <c r="L51" i="3"/>
  <c r="L43" i="3"/>
  <c r="L32" i="3"/>
  <c r="L42" i="3"/>
  <c r="L41" i="3"/>
  <c r="L46" i="3"/>
  <c r="L49" i="3"/>
  <c r="L37" i="3"/>
  <c r="L31" i="3"/>
  <c r="L45" i="3"/>
  <c r="L36" i="3"/>
  <c r="L38" i="3"/>
  <c r="L48" i="3"/>
  <c r="L27" i="3"/>
  <c r="I10" i="3"/>
  <c r="H20" i="3"/>
  <c r="H21" i="3"/>
  <c r="H19" i="3"/>
  <c r="L14" i="3"/>
  <c r="L11" i="3"/>
  <c r="L20" i="3"/>
  <c r="L8" i="3"/>
  <c r="L18" i="3"/>
  <c r="L23" i="3"/>
  <c r="L13" i="3"/>
  <c r="L22" i="3"/>
  <c r="L25" i="3"/>
  <c r="L9" i="3"/>
  <c r="L24" i="3"/>
  <c r="L12" i="3"/>
  <c r="L21" i="3"/>
  <c r="L15" i="3"/>
  <c r="L10" i="3"/>
  <c r="L16" i="3"/>
  <c r="L19" i="3"/>
  <c r="L17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W4" i="3" l="1"/>
  <c r="K24" i="3" s="1"/>
  <c r="G15" i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K9" i="3" l="1"/>
  <c r="K22" i="3"/>
  <c r="K14" i="3"/>
  <c r="K20" i="3"/>
  <c r="K11" i="3"/>
  <c r="K32" i="3"/>
  <c r="K17" i="3"/>
  <c r="K16" i="3"/>
  <c r="K8" i="3"/>
  <c r="K23" i="3"/>
  <c r="K18" i="3"/>
  <c r="K15" i="3"/>
  <c r="K21" i="3"/>
  <c r="K19" i="3"/>
  <c r="K28" i="3"/>
  <c r="K29" i="3"/>
  <c r="K27" i="3"/>
  <c r="K25" i="3"/>
  <c r="K26" i="3"/>
  <c r="K10" i="3"/>
  <c r="K30" i="3"/>
  <c r="K31" i="3"/>
  <c r="K12" i="3"/>
  <c r="K13" i="3"/>
  <c r="G2" i="1"/>
  <c r="D18" i="1"/>
  <c r="E18" i="1" s="1"/>
  <c r="F18" i="1" l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<sst xmlns="http://schemas.openxmlformats.org/spreadsheetml/2006/main" count="106" uniqueCount="84">
  <si>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</si>
  <si>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</si>
  <si>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</si>
  <si>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</si>
  <si>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</si>
  <si>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</si>
  <si>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</si>
  <si>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</si>
  <si>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</si>
  <si>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</si>
  <si>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</si>
  <si>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</si>
  <si>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</si>
  <si>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</si>
  <si>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</si>
  <si>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</si>
  <si>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</si>
  <si>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</si>
  <si>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</si>
  <si>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</si>
  <si>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</si>
  <si>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</si>
  <si>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</si>
  <si>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</si>
  <si>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</si>
  <si>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</si>
  <si>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</si>
  <si>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</si>
  <si>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</si>
  <si>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</si>
  <si>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</si>
  <si>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</si>
  <si>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</si>
  <si>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</si>
  <si>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</si>
  <si>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</si>
  <si>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</si>
  <si>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</si>
  <si>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</si>
  <si>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</si>
  <si>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</si>
  <si>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</si>
  <si>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</si>
  <si>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</si>
  <si>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</si>
  <si>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</si>
  <si>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</si>
  <si>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</si>
  <si>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</si>
  <si>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</si>
  <si>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</si>
  <si>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</si>
  <si>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</si>
  <si>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</si>
  <si>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</si>
  <si>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</si>
  <si>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</si>
  <si>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</si>
  <si>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</si>
  <si>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</si>
  <si>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</si>
  <si>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</si>
  <si>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</si>
  <si>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</si>
  <si>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</si>
  <si>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</si>
  <si>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</si>
  <si>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</si>
  <si>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</si>
  <si>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max kW</t>
  </si>
  <si>
    <t>rated kW</t>
  </si>
  <si>
    <t>max g/kWh</t>
  </si>
  <si>
    <t>t6</t>
  </si>
  <si>
    <t>t6E</t>
  </si>
  <si>
    <t>maxPSRpmRate</t>
  </si>
  <si>
    <t>deltaEco</t>
  </si>
  <si>
    <t>maxDeltaEco</t>
  </si>
  <si>
    <t>kW</t>
  </si>
  <si>
    <t>U/min</t>
  </si>
  <si>
    <t>Column1</t>
  </si>
  <si>
    <t>Column2</t>
  </si>
  <si>
    <t>maxPSEcoInput</t>
  </si>
  <si>
    <t>PSEcoInput</t>
  </si>
  <si>
    <t>maxTEcoInput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</si>
</sst>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63377788628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1" fontId="2" fillId="0" borderId="0" xfId="0" applyNumberFormat="1" applyFont="1"/>
    <xf numFmtId="0" fontId="3" fillId="2" borderId="0" xfId="0" applyFont="1" applyFill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9" fontId="4" fillId="2" borderId="9" xfId="1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164" fontId="0" fillId="0" borderId="0" xfId="0" applyNumberFormat="1"/>
    <xf numFmtId="0" fontId="0" fillId="0" borderId="6" xfId="0" applyBorder="1"/>
    <xf numFmtId="1" fontId="4" fillId="2" borderId="9" xfId="1" applyNumberFormat="1" applyFont="1" applyFill="1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7" fillId="0" borderId="0" xfId="0" applyNumberFormat="1" applyFont="1"/>
    <xf numFmtId="165" fontId="4" fillId="2" borderId="10" xfId="1" applyNumberFormat="1" applyFont="1" applyFill="1" applyBorder="1"/>
    <xf numFmtId="0" fontId="8" fillId="2" borderId="0" xfId="0" applyFont="1" applyFill="1"/>
    <xf numFmtId="0" fontId="10" fillId="2" borderId="13" xfId="0" applyFont="1" applyFill="1" applyBorder="1"/>
    <xf numFmtId="0" fontId="3" fillId="2" borderId="14" xfId="0" applyFont="1" applyFill="1" applyBorder="1"/>
    <xf numFmtId="0" fontId="9" fillId="5" borderId="15" xfId="0" applyFont="1" applyFill="1" applyBorder="1" applyAlignment="1">
      <alignment textRotation="45"/>
    </xf>
    <xf numFmtId="0" fontId="9" fillId="5" borderId="0" xfId="0" applyFont="1" applyFill="1" applyBorder="1" applyAlignment="1">
      <alignment textRotation="45"/>
    </xf>
    <xf numFmtId="49" fontId="9" fillId="5" borderId="0" xfId="0" applyNumberFormat="1" applyFont="1" applyFill="1" applyBorder="1" applyAlignment="1">
      <alignment textRotation="45"/>
    </xf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11" fillId="5" borderId="0" xfId="0" applyFont="1" applyFill="1" applyAlignment="1">
      <alignment textRotation="45"/>
    </xf>
    <xf numFmtId="9" fontId="0" fillId="0" borderId="0" xfId="1" applyFont="1"/>
    <xf numFmtId="9" fontId="5" fillId="0" borderId="12" xfId="1" applyFont="1" applyBorder="1"/>
    <xf numFmtId="9" fontId="0" fillId="0" borderId="12" xfId="1" applyFont="1" applyBorder="1"/>
    <xf numFmtId="0" fontId="5" fillId="0" borderId="3" xfId="0" applyFont="1" applyFill="1" applyBorder="1"/>
    <xf numFmtId="0" fontId="0" fillId="0" borderId="3" xfId="0" applyFill="1" applyBorder="1"/>
    <xf numFmtId="0" fontId="5" fillId="0" borderId="2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1" applyFont="1" applyFill="1" applyBorder="1"/>
    <xf numFmtId="0" fontId="0" fillId="6" borderId="12" xfId="0" applyFill="1" applyBorder="1"/>
    <xf numFmtId="9" fontId="0" fillId="6" borderId="1" xfId="1" applyFont="1" applyFill="1" applyBorder="1"/>
    <xf numFmtId="9" fontId="0" fillId="6" borderId="3" xfId="1" applyFont="1" applyFill="1" applyBorder="1"/>
  </cellXfs>
  <cellStyles count="2">
    <cellStyle name="Normal" xfId="0" builtinId="0"/>
    <cellStyle name="Percent" xfId="1" builtinId="5"/>
  </cellStyles>
  <dxfs count="96"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color theme="0" tint="-0.34998626667073579"/>
      </font>
      <fill>
        <patternFill patternType="none">
          <fgColor indexed="64"/>
          <bgColor auto="1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alignment horizontal="general" vertical="bottom" textRotation="45" wrapText="0" indent="0" justifyLastLine="0" shrinkToFit="0" readingOrder="0"/>
    </dxf>
    <dxf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outline="0">
        <top style="thin">
          <color theme="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45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496.20320347377231</c:v>
                </c:pt>
                <c:pt idx="2">
                  <c:v>682.89627511160711</c:v>
                </c:pt>
                <c:pt idx="3">
                  <c:v>751.87755102040819</c:v>
                </c:pt>
                <c:pt idx="4">
                  <c:v>780.33163265306121</c:v>
                </c:pt>
                <c:pt idx="5">
                  <c:v>803.61224489795916</c:v>
                </c:pt>
                <c:pt idx="6">
                  <c:v>821.71938775510205</c:v>
                </c:pt>
                <c:pt idx="7">
                  <c:v>834.65306122448976</c:v>
                </c:pt>
                <c:pt idx="8">
                  <c:v>842.41326530612241</c:v>
                </c:pt>
                <c:pt idx="9">
                  <c:v>845</c:v>
                </c:pt>
                <c:pt idx="10">
                  <c:v>831.51942595219907</c:v>
                </c:pt>
                <c:pt idx="11">
                  <c:v>814.66870839244791</c:v>
                </c:pt>
                <c:pt idx="12">
                  <c:v>794.4478473207464</c:v>
                </c:pt>
                <c:pt idx="13">
                  <c:v>783.07361296791441</c:v>
                </c:pt>
                <c:pt idx="14">
                  <c:v>770.85684273709478</c:v>
                </c:pt>
                <c:pt idx="15">
                  <c:v>757.79753662828762</c:v>
                </c:pt>
                <c:pt idx="16">
                  <c:v>743.89569464149292</c:v>
                </c:pt>
                <c:pt idx="17">
                  <c:v>728.61411732098588</c:v>
                </c:pt>
                <c:pt idx="18">
                  <c:v>711.58990641711227</c:v>
                </c:pt>
                <c:pt idx="19">
                  <c:v>695.35751927620925</c:v>
                </c:pt>
                <c:pt idx="20">
                  <c:v>679.8629679144384</c:v>
                </c:pt>
                <c:pt idx="21">
                  <c:v>618.3246522991667</c:v>
                </c:pt>
                <c:pt idx="22">
                  <c:v>397.10712024823454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4-4209-99D6-1F31AA2D53E1}"/>
            </c:ext>
          </c:extLst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496.20320347377231</c:v>
                </c:pt>
                <c:pt idx="2">
                  <c:v>682.89627511160711</c:v>
                </c:pt>
                <c:pt idx="3">
                  <c:v>751.87755102040819</c:v>
                </c:pt>
                <c:pt idx="4">
                  <c:v>780.33163265306121</c:v>
                </c:pt>
                <c:pt idx="5">
                  <c:v>803.61224489795916</c:v>
                </c:pt>
                <c:pt idx="6">
                  <c:v>821.71938775510205</c:v>
                </c:pt>
                <c:pt idx="7">
                  <c:v>834.65306122448976</c:v>
                </c:pt>
                <c:pt idx="8">
                  <c:v>842.41326530612241</c:v>
                </c:pt>
                <c:pt idx="9">
                  <c:v>845</c:v>
                </c:pt>
                <c:pt idx="10">
                  <c:v>831.51942595219907</c:v>
                </c:pt>
                <c:pt idx="11">
                  <c:v>814.66870839244791</c:v>
                </c:pt>
                <c:pt idx="12">
                  <c:v>794.4478473207464</c:v>
                </c:pt>
                <c:pt idx="13">
                  <c:v>783.07361296791441</c:v>
                </c:pt>
                <c:pt idx="14">
                  <c:v>770.85684273709478</c:v>
                </c:pt>
                <c:pt idx="15">
                  <c:v>757.79753662828762</c:v>
                </c:pt>
                <c:pt idx="16">
                  <c:v>743.89569464149292</c:v>
                </c:pt>
                <c:pt idx="17">
                  <c:v>728.61411732098588</c:v>
                </c:pt>
                <c:pt idx="18">
                  <c:v>711.58990641711227</c:v>
                </c:pt>
                <c:pt idx="19">
                  <c:v>695.35751927620925</c:v>
                </c:pt>
                <c:pt idx="20">
                  <c:v>679.8629679144384</c:v>
                </c:pt>
                <c:pt idx="21">
                  <c:v>618.3246522991667</c:v>
                </c:pt>
                <c:pt idx="22">
                  <c:v>397.10712024823454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5736"/>
        <c:axId val="521869856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24.732222497750332</c:v>
                </c:pt>
                <c:pt idx="2">
                  <c:v>68.075105121073292</c:v>
                </c:pt>
                <c:pt idx="3">
                  <c:v>96.366295544395769</c:v>
                </c:pt>
                <c:pt idx="4">
                  <c:v>111.12576129928412</c:v>
                </c:pt>
                <c:pt idx="5">
                  <c:v>125.88522705417246</c:v>
                </c:pt>
                <c:pt idx="6">
                  <c:v>140.42366919542687</c:v>
                </c:pt>
                <c:pt idx="7">
                  <c:v>154.5200641094134</c:v>
                </c:pt>
                <c:pt idx="8">
                  <c:v>167.95338818249814</c:v>
                </c:pt>
                <c:pt idx="9">
                  <c:v>180.50261780104714</c:v>
                </c:pt>
                <c:pt idx="10">
                  <c:v>189.4645309813597</c:v>
                </c:pt>
                <c:pt idx="11">
                  <c:v>197.22660249249628</c:v>
                </c:pt>
                <c:pt idx="12">
                  <c:v>203.64485133415573</c:v>
                </c:pt>
                <c:pt idx="13">
                  <c:v>206.30504819133745</c:v>
                </c:pt>
                <c:pt idx="14">
                  <c:v>208.57529650603698</c:v>
                </c:pt>
                <c:pt idx="15">
                  <c:v>210.43759865321664</c:v>
                </c:pt>
                <c:pt idx="16">
                  <c:v>211.87395700783884</c:v>
                </c:pt>
                <c:pt idx="17">
                  <c:v>212.70954545454541</c:v>
                </c:pt>
                <c:pt idx="18">
                  <c:v>212.80636363636364</c:v>
                </c:pt>
                <c:pt idx="19">
                  <c:v>212.90318181818176</c:v>
                </c:pt>
                <c:pt idx="20" formatCode="0">
                  <c:v>212.99999999999997</c:v>
                </c:pt>
                <c:pt idx="21" formatCode="0">
                  <c:v>198.12287288329321</c:v>
                </c:pt>
                <c:pt idx="22" formatCode="0">
                  <c:v>130.06817509282487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4-4209-99D6-1F31AA2D53E1}"/>
            </c:ext>
          </c:extLst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24.732222497750332</c:v>
                </c:pt>
                <c:pt idx="2">
                  <c:v>68.075105121073292</c:v>
                </c:pt>
                <c:pt idx="3">
                  <c:v>96.366295544395769</c:v>
                </c:pt>
                <c:pt idx="4">
                  <c:v>111.12576129928412</c:v>
                </c:pt>
                <c:pt idx="5">
                  <c:v>125.88522705417246</c:v>
                </c:pt>
                <c:pt idx="6">
                  <c:v>140.42366919542687</c:v>
                </c:pt>
                <c:pt idx="7">
                  <c:v>154.5200641094134</c:v>
                </c:pt>
                <c:pt idx="8">
                  <c:v>167.95338818249814</c:v>
                </c:pt>
                <c:pt idx="9">
                  <c:v>180.50261780104714</c:v>
                </c:pt>
                <c:pt idx="10">
                  <c:v>189.4645309813597</c:v>
                </c:pt>
                <c:pt idx="11">
                  <c:v>197.22660249249628</c:v>
                </c:pt>
                <c:pt idx="12">
                  <c:v>203.64485133415573</c:v>
                </c:pt>
                <c:pt idx="13">
                  <c:v>206.30504819133745</c:v>
                </c:pt>
                <c:pt idx="14">
                  <c:v>208.57529650603698</c:v>
                </c:pt>
                <c:pt idx="15">
                  <c:v>210.43759865321664</c:v>
                </c:pt>
                <c:pt idx="16">
                  <c:v>211.87395700783884</c:v>
                </c:pt>
                <c:pt idx="17">
                  <c:v>212.70954545454541</c:v>
                </c:pt>
                <c:pt idx="18">
                  <c:v>212.80636363636364</c:v>
                </c:pt>
                <c:pt idx="19">
                  <c:v>212.90318181818176</c:v>
                </c:pt>
                <c:pt idx="20" formatCode="0">
                  <c:v>212.99999999999997</c:v>
                </c:pt>
                <c:pt idx="21" formatCode="0">
                  <c:v>198.12287288329321</c:v>
                </c:pt>
                <c:pt idx="22" formatCode="0">
                  <c:v>130.06817509282487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560"/>
        <c:axId val="521866720"/>
      </c:scatterChart>
      <c:valAx>
        <c:axId val="521875736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856"/>
        <c:crosses val="autoZero"/>
        <c:crossBetween val="midCat"/>
        <c:majorUnit val="250"/>
      </c:valAx>
      <c:valAx>
        <c:axId val="5218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5736"/>
        <c:crosses val="autoZero"/>
        <c:crossBetween val="midCat"/>
      </c:valAx>
      <c:valAx>
        <c:axId val="52186672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560"/>
        <c:crosses val="max"/>
        <c:crossBetween val="midCat"/>
      </c:valAx>
      <c:valAx>
        <c:axId val="5218745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218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265.04761904761892</c:v>
                </c:pt>
                <c:pt idx="1">
                  <c:v>240.36011904761898</c:v>
                </c:pt>
                <c:pt idx="2">
                  <c:v>222.96428571428569</c:v>
                </c:pt>
                <c:pt idx="3">
                  <c:v>216.29761904761904</c:v>
                </c:pt>
                <c:pt idx="4">
                  <c:v>213.85714285714286</c:v>
                </c:pt>
                <c:pt idx="5">
                  <c:v>212.01190476190476</c:v>
                </c:pt>
                <c:pt idx="6">
                  <c:v>210.76190476190476</c:v>
                </c:pt>
                <c:pt idx="7">
                  <c:v>210.10714285714286</c:v>
                </c:pt>
                <c:pt idx="8">
                  <c:v>210.05291005291005</c:v>
                </c:pt>
                <c:pt idx="9">
                  <c:v>210.64814814814815</c:v>
                </c:pt>
                <c:pt idx="10">
                  <c:v>211.9047619047619</c:v>
                </c:pt>
                <c:pt idx="11">
                  <c:v>213.82275132275132</c:v>
                </c:pt>
                <c:pt idx="12">
                  <c:v>216.40211640211641</c:v>
                </c:pt>
                <c:pt idx="13">
                  <c:v>217.93981481481481</c:v>
                </c:pt>
                <c:pt idx="14">
                  <c:v>219.64285714285714</c:v>
                </c:pt>
                <c:pt idx="15">
                  <c:v>221.51124338624336</c:v>
                </c:pt>
                <c:pt idx="16">
                  <c:v>223.54497354497354</c:v>
                </c:pt>
                <c:pt idx="17">
                  <c:v>225.74404761904759</c:v>
                </c:pt>
                <c:pt idx="18">
                  <c:v>228.10846560846559</c:v>
                </c:pt>
                <c:pt idx="19">
                  <c:v>230.63822751322749</c:v>
                </c:pt>
                <c:pt idx="20">
                  <c:v>233.33333333333331</c:v>
                </c:pt>
                <c:pt idx="21">
                  <c:v>262.38647582763696</c:v>
                </c:pt>
                <c:pt idx="22">
                  <c:v>417.63381188233183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9-408D-970D-3BBE94E11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168"/>
        <c:axId val="521876520"/>
      </c:scatterChart>
      <c:valAx>
        <c:axId val="52187416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6520"/>
        <c:crosses val="autoZero"/>
        <c:crossBetween val="midCat"/>
        <c:majorUnit val="250"/>
      </c:valAx>
      <c:valAx>
        <c:axId val="521876520"/>
        <c:scaling>
          <c:orientation val="minMax"/>
          <c:max val="32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168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7-4293-A875-F76E589BA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208"/>
        <c:axId val="521874952"/>
      </c:scatterChart>
      <c:valAx>
        <c:axId val="521872208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952"/>
        <c:crosses val="autoZero"/>
        <c:crossBetween val="midCat"/>
      </c:valAx>
      <c:valAx>
        <c:axId val="5218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Sheet2!$B$5:$B$11</c:f>
              <c:numCache>
                <c:formatCode>General</c:formatCode>
                <c:ptCount val="7"/>
                <c:pt idx="0">
                  <c:v>0</c:v>
                </c:pt>
                <c:pt idx="1">
                  <c:v>1421.4653361344538</c:v>
                </c:pt>
                <c:pt idx="2">
                  <c:v>1538</c:v>
                </c:pt>
                <c:pt idx="3">
                  <c:v>1538</c:v>
                </c:pt>
                <c:pt idx="4">
                  <c:v>1463.5448916408668</c:v>
                </c:pt>
                <c:pt idx="5">
                  <c:v>1304.0966386554621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1-40BF-8EFC-B6646375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600"/>
        <c:axId val="521869464"/>
      </c:scatterChart>
      <c:valAx>
        <c:axId val="52187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464"/>
        <c:crosses val="autoZero"/>
        <c:crossBetween val="midCat"/>
      </c:valAx>
      <c:valAx>
        <c:axId val="5218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148.84453781512605</c:v>
                </c:pt>
                <c:pt idx="2">
                  <c:v>233.51832460732984</c:v>
                </c:pt>
                <c:pt idx="3">
                  <c:v>233.51832460732984</c:v>
                </c:pt>
                <c:pt idx="4">
                  <c:v>291.17647058823525</c:v>
                </c:pt>
                <c:pt idx="5">
                  <c:v>286.76470588235293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4-40FA-99A4-5F62EAE0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69072"/>
        <c:axId val="521871816"/>
      </c:scatterChart>
      <c:valAx>
        <c:axId val="5218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1816"/>
        <c:crosses val="autoZero"/>
        <c:crossBetween val="midCat"/>
      </c:valAx>
      <c:valAx>
        <c:axId val="5218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4</xdr:row>
      <xdr:rowOff>0</xdr:rowOff>
    </xdr:from>
    <xdr:to>
      <xdr:col>67</xdr:col>
      <xdr:colOff>171449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27</xdr:row>
      <xdr:rowOff>28576</xdr:rowOff>
    </xdr:from>
    <xdr:to>
      <xdr:col>65</xdr:col>
      <xdr:colOff>276226</xdr:colOff>
      <xdr:row>43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12</xdr:row>
      <xdr:rowOff>114300</xdr:rowOff>
    </xdr:from>
    <xdr:to>
      <xdr:col>17</xdr:col>
      <xdr:colOff>338137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185737</xdr:colOff>
      <xdr:row>0</xdr:row>
      <xdr:rowOff>771525</xdr:rowOff>
    </xdr:from>
    <xdr:to>
      <xdr:col>23</xdr:col>
      <xdr:colOff>423862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Y62" totalsRowShown="0" headerRowDxfId="95" dataDxfId="94">
  <tableColumns count="25">
    <tableColumn id="1" name="rpm" dataDxfId="93"/>
    <tableColumn id="7" name="rawData" dataDxfId="92">
      <calculatedColumnFormula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91"/>
    <tableColumn id="12" name="rawDataEco" dataDxfId="90">
      <calculatedColumnFormula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89"/>
    <tableColumn id="4" name="motor" dataDxfId="88">
      <calculatedColumnFormula>Table36[Factor]*IF(Table15[[#This Row],[manualData]]&gt;0,Table15[[#This Row],[manualData]],Table15[[#This Row],[rawData]])</calculatedColumnFormula>
    </tableColumn>
    <tableColumn id="14" name="motorEco" dataDxfId="87">
      <calculatedColumnFormula>Table36[Factor]*IF(Table15[[#This Row],[manDataEco]]&gt;0,Table15[[#This Row],[manDataEco]],Table15[[#This Row],[rawDataEco]])</calculatedColumnFormula>
    </tableColumn>
    <tableColumn id="3" name="ps" dataDxfId="86">
      <calculatedColumnFormula>1.36*Table15[[#This Row],[rpm]]*Table15[[#This Row],[motor]]/9550</calculatedColumnFormula>
    </tableColumn>
    <tableColumn id="13" name="psEco" dataDxfId="85">
      <calculatedColumnFormula>1.36*Table15[[#This Row],[rpm]]*Table15[[#This Row],[motorEco]]/9550</calculatedColumnFormula>
    </tableColumn>
    <tableColumn id="10" name="fuelUsageRatio" dataDxfId="84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calculatedColumnFormula>
    </tableColumn>
    <tableColumn id="5" name="xml" dataDxfId="83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82">
      <calculatedColumnFormula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calculatedColumnFormula>
    </tableColumn>
    <tableColumn id="15" name="t1" dataDxfId="81">
      <calculatedColumnFormula>(1-(1-Table15[[#This Row],[rpm]]/Table36[idleRpm])^2)*Table7[idleT]</calculatedColumnFormula>
    </tableColumn>
    <tableColumn id="18" name="t2" dataDxfId="80">
      <calculatedColumnFormula>MAX(0,(1-Table7[f1]*(Table36[maxTRpm1]-Table15[[#This Row],[rpm]])^2)*Table36[maxT])</calculatedColumnFormula>
    </tableColumn>
    <tableColumn id="19" name="t3" dataDxfId="79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78">
      <calculatedColumnFormula>MAX(0,(Table36[maxPS]-Table7[f4]*(Table15[[#This Row],[rpm]]-Table36[maxPRpm])^2)/1.36*9550/MAX(1,Table15[[#This Row],[rpm]]))</calculatedColumnFormula>
    </tableColumn>
    <tableColumn id="17" name="t5" dataDxfId="77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76">
      <calculatedColumnFormula>(1-(1-Table15[[#This Row],[rpm]]/Table36[idleRpm])^2)*Table7[idleTEco]</calculatedColumnFormula>
    </tableColumn>
    <tableColumn id="22" name="t2E" dataDxfId="75">
      <calculatedColumnFormula>MAX(0,(1-Table7[f1]*(Table36[maxTRpm1]-Table15[[#This Row],[rpm]])^2)*Table36[maxTEco])</calculatedColumnFormula>
    </tableColumn>
    <tableColumn id="23" name="t3E" dataDxfId="74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73">
      <calculatedColumnFormula>MAX(0,(Table36[maxPSEco]-Table7[f4Eco]*(Table15[[#This Row],[rpm]]-Table36[maxPRpm])^2)/1.36*9550/MAX(1,Table15[[#This Row],[rpm]]))</calculatedColumnFormula>
    </tableColumn>
    <tableColumn id="25" name="t5E" dataDxfId="72">
      <calculatedColumnFormula>MAX(0,Table7[Nm2Eco]*MIN(Table36[ratedRpm]/MAX(1,Table15[[#This Row],[rpm]]),1-(MAX(0,Table15[[#This Row],[rpm]]-Table36[ratedRpm])/Table36[fadeOut])^Table36[fadeOutExp]))</calculatedColumnFormula>
    </tableColumn>
    <tableColumn id="2" name="t6" dataDxfId="71">
      <calculatedColumnFormula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calculatedColumnFormula>
    </tableColumn>
    <tableColumn id="6" name="t6E" dataDxfId="70"/>
    <tableColumn id="20" name="deltaEco" dataDxfId="69">
      <calculatedColumnFormula>ABS(Table15[[#This Row],[motor]]-Table15[[#This Row],[motorEco]])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AC2" totalsRowShown="0" headerRowDxfId="29">
  <autoFilter ref="A1:AC2">
    <filterColumn colId="0" hiddenButton="1"/>
    <filterColumn colId="1" hiddenButton="1"/>
    <filterColumn colId="3" hiddenButton="1"/>
    <filterColumn colId="4" hiddenButton="1"/>
    <filterColumn colId="5" hiddenButton="1"/>
    <filterColumn colId="7" hiddenButton="1"/>
    <filterColumn colId="8" hiddenButton="1"/>
    <filterColumn colId="9" hiddenButton="1"/>
    <filterColumn colId="10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9">
    <tableColumn id="10" name="maxPRpm" dataDxfId="16"/>
    <tableColumn id="14" name="maxPS" dataDxfId="15"/>
    <tableColumn id="27" name="maxPSEcoInput" dataDxfId="14"/>
    <tableColumn id="19" name="maxPSEco" dataDxfId="21">
      <calculatedColumnFormula>IF(Table36[maxPSEcoInput]&gt;0,Table36[maxPSEcoInput],Table36[maxPS]*Table36[maxPsEcoRate])</calculatedColumnFormula>
    </tableColumn>
    <tableColumn id="2" name="ratedRpm" dataDxfId="13"/>
    <tableColumn id="3" name="PS" dataDxfId="12"/>
    <tableColumn id="28" name="PSEcoInput" dataDxfId="11"/>
    <tableColumn id="20" name="PSEco" dataDxfId="28">
      <calculatedColumnFormula>IF(Table36[PSEcoInput]&gt;0,Table36[PSEcoInput],Table36[PS]*Table36[PSEcoRate])</calculatedColumnFormula>
    </tableColumn>
    <tableColumn id="12" name="maxTRpm1" dataDxfId="10"/>
    <tableColumn id="4" name="maxTRpm" dataDxfId="9"/>
    <tableColumn id="5" name="maxT" dataDxfId="8"/>
    <tableColumn id="29" name="maxTEcoInput" dataDxfId="7"/>
    <tableColumn id="21" name="maxTEco" dataDxfId="20">
      <calculatedColumnFormula>IF(Table36[maxTEcoInput]&gt;0,Table36[maxTEcoInput],Table36[maxT]*Table36[NmEcoRate])</calculatedColumnFormula>
    </tableColumn>
    <tableColumn id="6" name="idleRpm" dataDxfId="6"/>
    <tableColumn id="7" name="idleRatio" dataDxfId="5" dataCellStyle="Percent"/>
    <tableColumn id="11" name="fadeOut" dataDxfId="4"/>
    <tableColumn id="15" name="linearDown" dataDxfId="3"/>
    <tableColumn id="25" name="fadeOutExp" dataDxfId="18">
      <calculatedColumnFormula>IF(Table36[fadeOut]&lt;150,2.2,IF(Table36[fadeOut]&lt;200,2,1.7))</calculatedColumnFormula>
    </tableColumn>
    <tableColumn id="22" name="Efficiency" dataDxfId="17" dataCellStyle="Percent"/>
    <tableColumn id="16" name="Factor" dataDxfId="19"/>
    <tableColumn id="13" name="fuelMinRate" dataDxfId="2"/>
    <tableColumn id="18" name="fuelRatedRate" dataDxfId="27">
      <calculatedColumnFormula>Table36[fuelMinRate]/0.9</calculatedColumnFormula>
    </tableColumn>
    <tableColumn id="9" name="fuelMinRpm" dataDxfId="26">
      <calculatedColumnFormula>ROUND(MIN(0.6*Table36[idleRpm]+0.4*Table36[ratedRpm],0.5*Table36[maxTRpm1]+0.5*Table36[maxTRpm]),-1)</calculatedColumnFormula>
    </tableColumn>
    <tableColumn id="17" name="fuelIdleRate" dataDxfId="25">
      <calculatedColumnFormula>0.94*Table36[fuelRatedRate]</calculatedColumnFormula>
    </tableColumn>
    <tableColumn id="1" name="normRpm" dataDxfId="24">
      <calculatedColumnFormula>ROUND(Table36[ratedRpm]+0.49*Table36[fadeOut],-2)</calculatedColumnFormula>
    </tableColumn>
    <tableColumn id="8" name="PSEcoRate" dataDxfId="1" dataCellStyle="Percent"/>
    <tableColumn id="23" name="NmEcoRate" dataDxfId="0" dataCellStyle="Percent"/>
    <tableColumn id="24" name="maxPsEcoRate" dataDxfId="23" dataCellStyle="Percent">
      <calculatedColumnFormula>Table36[PSEcoRate]* (Table36[maxPRpm]-Table36[maxTRpm])/(Table36[ratedRpm]-Table36[maxTRpm]) + Table36[NmEcoRate]* (1- (Table36[maxPRpm]-Table36[maxTRpm])/(Table36[ratedRpm]-Table36[maxTRpm]))</calculatedColumnFormula>
    </tableColumn>
    <tableColumn id="26" name="maxPSRpmRate" dataDxfId="22" dataCellStyle="Perce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W4" totalsRowShown="0" headerRowDxfId="68" dataDxfId="67">
  <tableColumns count="23">
    <tableColumn id="1" name="f1" dataDxfId="66">
      <calculatedColumnFormula>(1-Table36[idleRatio])/((Table36[maxTRpm1]-Table36[idleRpm])^2)</calculatedColumnFormula>
    </tableColumn>
    <tableColumn id="2" name="f2" dataDxfId="65">
      <calculatedColumnFormula>(Table36[maxT]-Table7[Nm])/Table36[maxT]/(Table36[maxPRpm]-Table36[maxTRpm])</calculatedColumnFormula>
    </tableColumn>
    <tableColumn id="5" name="f3" dataDxfId="64">
      <calculatedColumnFormula>(Table36[maxT]-Table7[Nm])/Table36[maxT]/(Table36[maxPRpm]-Table36[maxTRpm])^2</calculatedColumnFormula>
    </tableColumn>
    <tableColumn id="6" name="f4" dataDxfId="63">
      <calculatedColumnFormula>(Table36[maxPS]-Table36[PS])/MAX(1,Table36[ratedRpm]-Table36[maxPRpm])^2</calculatedColumnFormula>
    </tableColumn>
    <tableColumn id="3" name="Nm" dataDxfId="62">
      <calculatedColumnFormula>Table36[maxPS]/1.36*9550/Table36[maxPRpm]</calculatedColumnFormula>
    </tableColumn>
    <tableColumn id="4" name="Nm2" dataDxfId="61">
      <calculatedColumnFormula>Table36[PS]/1.36*9550/Table36[ratedRpm]</calculatedColumnFormula>
    </tableColumn>
    <tableColumn id="7" name="Anfahrmoment" dataDxfId="60" dataCellStyle="Percent">
      <calculatedColumnFormula>Table7[Nm1000]/Table7[Nm2]</calculatedColumnFormula>
    </tableColumn>
    <tableColumn id="17" name="AnstiegE" dataDxfId="59" dataCellStyle="Percent">
      <calculatedColumnFormula>Table36[maxTEco]/Table7[Nm2Eco]-1</calculatedColumnFormula>
    </tableColumn>
    <tableColumn id="14" name="Anstieg" dataDxfId="58" dataCellStyle="Percent">
      <calculatedColumnFormula>Table36[maxT]/Table7[Nm2]-1</calculatedColumnFormula>
    </tableColumn>
    <tableColumn id="15" name="Abfall" dataDxfId="57" dataCellStyle="Percent">
      <calculatedColumnFormula>1-Table36[maxTRpm]/Table36[ratedRpm]</calculatedColumnFormula>
    </tableColumn>
    <tableColumn id="20" name="max kW" dataDxfId="56" dataCellStyle="Percent">
      <calculatedColumnFormula>Table36[maxPS]/1.36</calculatedColumnFormula>
    </tableColumn>
    <tableColumn id="18" name="rated kW" dataDxfId="55" dataCellStyle="Percent">
      <calculatedColumnFormula>Table36[PS]/1.36</calculatedColumnFormula>
    </tableColumn>
    <tableColumn id="23" name="max g/kWh" dataDxfId="54" dataCellStyle="Percent">
      <calculatedColumnFormula>Table36[fuelRatedRate]*1.1</calculatedColumnFormula>
    </tableColumn>
    <tableColumn id="16" name="Nm1000" dataDxfId="53" dataCellStyle="Percent">
      <calculatedColumnFormula>(1-Table7[f1]*(Table36[maxTRpm1]-1000)^2)*Table36[maxTEco]</calculatedColumnFormula>
    </tableColumn>
    <tableColumn id="8" name="NmEco" dataDxfId="52">
      <calculatedColumnFormula>Table36[maxPSEco]/1.36*9550/Table36[maxPRpm]</calculatedColumnFormula>
    </tableColumn>
    <tableColumn id="9" name="Nm2Eco" dataDxfId="51">
      <calculatedColumnFormula>Table36[PSEco]/1.36*9550/Table36[ratedRpm]</calculatedColumnFormula>
    </tableColumn>
    <tableColumn id="12" name="f2Eco" dataDxfId="50">
      <calculatedColumnFormula>(Table36[maxTEco]-Table7[NmEco])/Table36[maxTEco]/(Table36[maxPRpm]-Table36[maxTRpm])</calculatedColumnFormula>
    </tableColumn>
    <tableColumn id="10" name="f3Eco" dataDxfId="49">
      <calculatedColumnFormula>(Table36[maxTEco]-Table7[NmEco])/Table36[maxTEco]/(Table36[maxPRpm]-Table36[maxTRpm])^2</calculatedColumnFormula>
    </tableColumn>
    <tableColumn id="11" name="f4Eco" dataDxfId="48">
      <calculatedColumnFormula>(Table36[maxPSEco]-Table36[PSEco])/MAX(1,Table36[ratedRpm]-Table36[maxPRpm])^2</calculatedColumnFormula>
    </tableColumn>
    <tableColumn id="13" name="idleT" dataDxfId="47">
      <calculatedColumnFormula>(1-Table7[f1]*(Table36[maxTRpm1]-Table36[idleRpm])^2)*Table36[maxT]</calculatedColumnFormula>
    </tableColumn>
    <tableColumn id="19" name="idleTEco" dataDxfId="46">
      <calculatedColumnFormula>(1-Table7[f1]*(Table36[maxTRpm1]-Table36[idleRpm])^2)*Table36[maxTEco]</calculatedColumnFormula>
    </tableColumn>
    <tableColumn id="21" name="xmlComment" dataDxfId="45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  <tableColumn id="22" name="maxDeltaEco" dataDxfId="44">
      <calculatedColumnFormula>MAX(Table15[deltaEco])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43">
      <calculatedColumnFormula>A2*C2/9550</calculatedColumnFormula>
    </tableColumn>
    <tableColumn id="3" name="ps" dataDxfId="42">
      <calculatedColumnFormula>Table1[[#This Row],[kw_pto]]*1.36/0.94</calculatedColumnFormula>
    </tableColumn>
    <tableColumn id="4" name="motor"/>
    <tableColumn id="5" name="xml" dataDxfId="41">
      <calculatedColumnFormula>CONCATENATE("&lt;torque rpm=""",Table1[[#This Row],[rpm]],""" motorTorque=""",ROUND(Table1[[#This Row],[motor]],0),"""/&gt;")</calculatedColumnFormula>
    </tableColumn>
    <tableColumn id="8" name="xml2" dataDxfId="40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I2" totalsRowShown="0" headerRowDxfId="39" tableBorderDxfId="38">
  <tableColumns count="9">
    <tableColumn id="1" name="maxPRpm" dataDxfId="37"/>
    <tableColumn id="2" name="maxPS" dataDxfId="36"/>
    <tableColumn id="4" name="ratedRpm" dataDxfId="35"/>
    <tableColumn id="5" name="PS" dataDxfId="34"/>
    <tableColumn id="7" name="maxTRpm1" dataDxfId="33"/>
    <tableColumn id="8" name="maxTRpm" dataDxfId="32"/>
    <tableColumn id="9" name="maxT" dataDxfId="31"/>
    <tableColumn id="11" name="idleRpm" dataDxfId="30"/>
    <tableColumn id="12" name="Anfahrmoment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4:C11" totalsRowShown="0">
  <tableColumns count="3">
    <tableColumn id="1" name="U/min"/>
    <tableColumn id="2" name="Nm"/>
    <tableColumn id="3" name="kW">
      <calculatedColumnFormula>B5*A5/9550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4:C65" totalsRowShown="0">
  <tableColumns count="3">
    <tableColumn id="1" name="U/min"/>
    <tableColumn id="2" name="Column1"/>
    <tableColumn id="3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62"/>
  <sheetViews>
    <sheetView tabSelected="1" workbookViewId="0">
      <selection activeCell="D2" sqref="D2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3" width="11.140625" bestFit="1" customWidth="1"/>
    <col min="14" max="14" width="7.28515625" bestFit="1" customWidth="1"/>
  </cols>
  <sheetData>
    <row r="1" spans="1:29" s="4" customFormat="1" ht="45.75" customHeight="1" thickBot="1" x14ac:dyDescent="0.3">
      <c r="A1" s="4" t="s">
        <v>18</v>
      </c>
      <c r="B1" s="4" t="s">
        <v>23</v>
      </c>
      <c r="C1" s="4" t="s">
        <v>81</v>
      </c>
      <c r="D1" s="4" t="s">
        <v>35</v>
      </c>
      <c r="E1" s="4" t="s">
        <v>8</v>
      </c>
      <c r="F1" s="4" t="s">
        <v>10</v>
      </c>
      <c r="G1" s="4" t="s">
        <v>82</v>
      </c>
      <c r="H1" s="4" t="s">
        <v>36</v>
      </c>
      <c r="I1" s="4" t="s">
        <v>22</v>
      </c>
      <c r="J1" s="4" t="s">
        <v>12</v>
      </c>
      <c r="K1" s="5" t="s">
        <v>13</v>
      </c>
      <c r="L1" s="5" t="s">
        <v>83</v>
      </c>
      <c r="M1" s="4" t="s">
        <v>47</v>
      </c>
      <c r="N1" s="4" t="s">
        <v>14</v>
      </c>
      <c r="O1" s="4" t="s">
        <v>15</v>
      </c>
      <c r="P1" s="4" t="s">
        <v>21</v>
      </c>
      <c r="Q1" s="4" t="s">
        <v>25</v>
      </c>
      <c r="R1" s="4" t="s">
        <v>68</v>
      </c>
      <c r="S1" s="4" t="s">
        <v>49</v>
      </c>
      <c r="T1" s="4" t="s">
        <v>7</v>
      </c>
      <c r="U1" s="4" t="s">
        <v>31</v>
      </c>
      <c r="V1" s="4" t="s">
        <v>33</v>
      </c>
      <c r="W1" s="4" t="s">
        <v>30</v>
      </c>
      <c r="X1" s="4" t="s">
        <v>32</v>
      </c>
      <c r="Y1" s="4" t="s">
        <v>60</v>
      </c>
      <c r="Z1" s="4" t="s">
        <v>63</v>
      </c>
      <c r="AA1" s="4" t="s">
        <v>64</v>
      </c>
      <c r="AB1" s="4" t="s">
        <v>67</v>
      </c>
      <c r="AC1" s="4" t="s">
        <v>74</v>
      </c>
    </row>
    <row r="2" spans="1:29" ht="15.75" thickBot="1" x14ac:dyDescent="0.3">
      <c r="A2" s="42">
        <v>2200</v>
      </c>
      <c r="B2" s="43">
        <v>213</v>
      </c>
      <c r="C2" s="44"/>
      <c r="D2" s="39">
        <f>IF(Table36[maxPSEcoInput]&gt;0,Table36[maxPSEcoInput],Table36[maxPS]*Table36[maxPsEcoRate])</f>
        <v>213</v>
      </c>
      <c r="E2" s="42">
        <v>2200</v>
      </c>
      <c r="F2" s="43">
        <v>213</v>
      </c>
      <c r="G2" s="44"/>
      <c r="H2" s="11">
        <f>IF(Table36[PSEcoInput]&gt;0,Table36[PSEcoInput],Table36[PS]*Table36[PSEcoRate])</f>
        <v>213</v>
      </c>
      <c r="I2" s="42">
        <v>1500</v>
      </c>
      <c r="J2" s="43">
        <v>1500</v>
      </c>
      <c r="K2" s="43">
        <v>845</v>
      </c>
      <c r="L2" s="44"/>
      <c r="M2" s="39">
        <f>IF(Table36[maxTEcoInput]&gt;0,Table36[maxTEcoInput],Table36[maxT]*Table36[NmEcoRate])</f>
        <v>845</v>
      </c>
      <c r="N2" s="42">
        <v>800</v>
      </c>
      <c r="O2" s="45">
        <v>0.85</v>
      </c>
      <c r="P2" s="44">
        <v>149</v>
      </c>
      <c r="Q2" s="46">
        <v>0.5</v>
      </c>
      <c r="R2" s="41">
        <f>IF(Table36[fadeOut]&lt;150,2.2,IF(Table36[fadeOut]&lt;200,2,1.7))</f>
        <v>2.2000000000000002</v>
      </c>
      <c r="S2" s="41">
        <v>0.98</v>
      </c>
      <c r="T2" s="40">
        <v>1</v>
      </c>
      <c r="U2" s="46">
        <v>210</v>
      </c>
      <c r="V2" s="9">
        <f>Table36[fuelMinRate]/0.9</f>
        <v>233.33333333333331</v>
      </c>
      <c r="W2" s="10">
        <f>ROUND(MIN(0.6*Table36[idleRpm]+0.4*Table36[ratedRpm],0.5*Table36[maxTRpm1]+0.5*Table36[maxTRpm]),-1)</f>
        <v>1360</v>
      </c>
      <c r="X2" s="11">
        <f>0.94*Table36[fuelRatedRate]</f>
        <v>219.33333333333331</v>
      </c>
      <c r="Y2" s="9">
        <f>ROUND(Table36[ratedRpm]+0.49*Table36[fadeOut],-2)</f>
        <v>2300</v>
      </c>
      <c r="Z2" s="47">
        <v>1</v>
      </c>
      <c r="AA2" s="48">
        <v>1</v>
      </c>
      <c r="AB2" s="37">
        <f>Table36[PSEcoRate]* (Table36[maxPRpm]-Table36[maxTRpm])/(Table36[ratedRpm]-Table36[maxTRpm]) + Table36[NmEcoRate]* (1- (Table36[maxPRpm]-Table36[maxTRpm])/(Table36[ratedRpm]-Table36[maxTRpm]))</f>
        <v>1</v>
      </c>
      <c r="AC2" s="38">
        <v>0.02</v>
      </c>
    </row>
    <row r="3" spans="1:29" x14ac:dyDescent="0.25">
      <c r="A3" s="8" t="s">
        <v>16</v>
      </c>
      <c r="B3" s="8" t="s">
        <v>17</v>
      </c>
      <c r="C3" s="8" t="s">
        <v>24</v>
      </c>
      <c r="D3" s="8" t="s">
        <v>26</v>
      </c>
      <c r="E3" s="8" t="s">
        <v>19</v>
      </c>
      <c r="F3" s="8" t="s">
        <v>20</v>
      </c>
      <c r="G3" s="15" t="s">
        <v>27</v>
      </c>
      <c r="H3" s="16" t="s">
        <v>66</v>
      </c>
      <c r="I3" s="16" t="s">
        <v>61</v>
      </c>
      <c r="J3" s="16" t="s">
        <v>62</v>
      </c>
      <c r="K3" s="15" t="s">
        <v>69</v>
      </c>
      <c r="L3" s="16" t="s">
        <v>70</v>
      </c>
      <c r="M3" s="17" t="s">
        <v>71</v>
      </c>
      <c r="N3" s="8" t="s">
        <v>65</v>
      </c>
      <c r="O3" s="8" t="s">
        <v>37</v>
      </c>
      <c r="P3" s="8" t="s">
        <v>38</v>
      </c>
      <c r="Q3" s="8" t="s">
        <v>41</v>
      </c>
      <c r="R3" s="8" t="s">
        <v>39</v>
      </c>
      <c r="S3" s="8" t="s">
        <v>40</v>
      </c>
      <c r="T3" s="8" t="s">
        <v>42</v>
      </c>
      <c r="U3" s="8" t="s">
        <v>48</v>
      </c>
      <c r="V3" s="8" t="s">
        <v>28</v>
      </c>
      <c r="W3" s="25" t="s">
        <v>76</v>
      </c>
    </row>
    <row r="4" spans="1:29" ht="15.75" thickBot="1" x14ac:dyDescent="0.3">
      <c r="A4" s="8">
        <f>(1-Table36[idleRatio])/((Table36[maxTRpm1]-Table36[idleRpm])^2)</f>
        <v>3.0612244897959189E-7</v>
      </c>
      <c r="B4" s="8">
        <f>(Table36[maxT]-Table7[Nm])/Table36[maxT]/(Table36[maxPRpm]-Table36[maxTRpm])</f>
        <v>2.7918348619706103E-4</v>
      </c>
      <c r="C4" s="8">
        <f>(Table36[maxT]-Table7[Nm])/Table36[maxT]/(Table36[maxPRpm]-Table36[maxTRpm])^2</f>
        <v>3.9883355171008714E-7</v>
      </c>
      <c r="D4" s="8">
        <f>(Table36[maxPS]-Table36[PS])/MAX(1,Table36[ratedRpm]-Table36[maxPRpm])^2</f>
        <v>0</v>
      </c>
      <c r="E4" s="8">
        <f>Table36[maxPS]/1.36*9550/Table36[maxPRpm]</f>
        <v>679.8629679144384</v>
      </c>
      <c r="F4" s="8">
        <f>Table36[PS]/1.36*9550/Table36[ratedRpm]</f>
        <v>679.8629679144384</v>
      </c>
      <c r="G4" s="14">
        <f>Table7[Nm1000]/Table7[Nm2]</f>
        <v>1.1477778162367374</v>
      </c>
      <c r="H4" s="24">
        <f>Table36[maxTEco]/Table7[Nm2Eco]-1</f>
        <v>0.24289752476464388</v>
      </c>
      <c r="I4" s="24">
        <f>Table36[maxT]/Table7[Nm2]-1</f>
        <v>0.24289752476464388</v>
      </c>
      <c r="J4" s="24">
        <f>1-Table36[maxTRpm]/Table36[ratedRpm]</f>
        <v>0.31818181818181823</v>
      </c>
      <c r="K4" s="20">
        <f>Table36[maxPS]/1.36</f>
        <v>156.61764705882351</v>
      </c>
      <c r="L4" s="21">
        <f>Table36[PS]/1.36</f>
        <v>156.61764705882351</v>
      </c>
      <c r="M4" s="22">
        <f>Table36[fuelRatedRate]*1.1</f>
        <v>256.66666666666669</v>
      </c>
      <c r="N4" s="8">
        <f>(1-Table7[f1]*(Table36[maxTRpm1]-1000)^2)*Table36[maxTEco]</f>
        <v>780.33163265306121</v>
      </c>
      <c r="O4" s="8">
        <f>Table36[maxPSEco]/1.36*9550/Table36[maxPRpm]</f>
        <v>679.8629679144384</v>
      </c>
      <c r="P4" s="8">
        <f>Table36[PSEco]/1.36*9550/Table36[ratedRpm]</f>
        <v>679.8629679144384</v>
      </c>
      <c r="Q4" s="8">
        <f>(Table36[maxTEco]-Table7[NmEco])/Table36[maxTEco]/(Table36[maxPRpm]-Table36[maxTRpm])</f>
        <v>2.7918348619706103E-4</v>
      </c>
      <c r="R4" s="8">
        <f>(Table36[maxTEco]-Table7[NmEco])/Table36[maxTEco]/(Table36[maxPRpm]-Table36[maxTRpm])^2</f>
        <v>3.9883355171008714E-7</v>
      </c>
      <c r="S4" s="8">
        <f>(Table36[maxPSEco]-Table36[PSEco])/MAX(1,Table36[ratedRpm]-Table36[maxPRpm])^2</f>
        <v>0</v>
      </c>
      <c r="T4" s="8">
        <f>(1-Table7[f1]*(Table36[maxTRpm1]-Table36[idleRpm])^2)*Table36[maxT]</f>
        <v>718.25</v>
      </c>
      <c r="U4" s="8">
        <f>(1-Table7[f1]*(Table36[maxTRpm1]-Table36[idleRpm])^2)*Table36[maxTEco]</f>
        <v>718.25</v>
      </c>
      <c r="V4" s="8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&lt;!-- 2200: 213(213) | 2200: 213(213) | 1500..1500: 845(845) | 85 | 0.5 | 149 | 2.2 | 2300 | 1360: 210 --&gt;</v>
      </c>
      <c r="W4" s="25">
        <f>MAX(Table15[deltaEco])</f>
        <v>0</v>
      </c>
    </row>
    <row r="6" spans="1:29" s="4" customFormat="1" ht="63.7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  <c r="W6" s="4" t="s">
        <v>72</v>
      </c>
      <c r="X6" s="4" t="s">
        <v>73</v>
      </c>
      <c r="Y6" s="4" t="s">
        <v>75</v>
      </c>
    </row>
    <row r="7" spans="1:29" x14ac:dyDescent="0.25">
      <c r="A7" s="3">
        <v>0</v>
      </c>
      <c r="B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2"/>
      <c r="D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2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18">
        <f>1.36*Table15[[#This Row],[rpm]]*Table15[[#This Row],[motor]]/9550</f>
        <v>0</v>
      </c>
      <c r="I7" s="18">
        <f>1.36*Table15[[#This Row],[rpm]]*Table15[[#This Row],[motorEco]]/9550</f>
        <v>0</v>
      </c>
      <c r="J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265.04761904761892</v>
      </c>
      <c r="K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&lt;!-- 2200: 213(213) | 2200: 213(213) | 1500..1500: 845(845) | 85 | 0.5 | 149 | 2.2 | 2300 | 1360: 210 --&gt;</v>
      </c>
      <c r="L7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&lt;!-- 2200: 213(213) | 2200: 213(213) | 1500..1500: 845(845) | 85 | 0.5 | 149 | 2.2 | 2300 | 1360: 210 --&gt;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262.98469387755091</v>
      </c>
      <c r="O7" s="3">
        <f>MAX(0,(Table36[linearDown]*(1-Table7[f2]*(Table15[[#This Row],[rpm]]-Table36[maxTRpm]))+(1-Table36[linearDown])*(1-Table7[f3]*(Table15[[#This Row],[rpm]]-Table36[maxTRpm])^2))*Table36[maxT])</f>
        <v>642.79138928298585</v>
      </c>
      <c r="P7" s="3">
        <f>MAX(0,(Table36[maxPS]-Table7[f4]*(Table15[[#This Row],[rpm]]-Table36[maxPRpm])^2)/1.36*9550/MAX(1,Table15[[#This Row],[rpm]]))</f>
        <v>1495698.5294117646</v>
      </c>
      <c r="Q7" s="3">
        <f>MAX(0,Table7[Nm2]*MIN(Table36[ratedRpm]/MAX(1,Table15[[#This Row],[rpm]]),1-(MAX(0,Table15[[#This Row],[rpm]]-Table36[ratedRpm])/Table36[fadeOut])^Table36[fadeOutExp]))</f>
        <v>679.8629679144384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262.98469387755091</v>
      </c>
      <c r="T7" s="3">
        <f>MAX(0,(Table36[linearDown]*(1-Table7[f2Eco]*(Table15[[#This Row],[rpm]]-Table36[maxTRpm]))+(1-Table36[linearDown])*(1-Table7[f3Eco]*(Table15[[#This Row],[rpm]]-Table36[maxTRpm])^2))*Table36[maxTEco])</f>
        <v>642.79138928298585</v>
      </c>
      <c r="U7" s="3">
        <f>MAX(0,(Table36[maxPSEco]-Table7[f4Eco]*(Table15[[#This Row],[rpm]]-Table36[maxPRpm])^2)/1.36*9550/MAX(1,Table15[[#This Row],[rpm]]))</f>
        <v>1495698.5294117646</v>
      </c>
      <c r="V7" s="3">
        <f>MAX(0,Table7[Nm2Eco]*MIN(Table36[ratedRpm]/MAX(1,Table15[[#This Row],[rpm]]),1-(MAX(0,Table15[[#This Row],[rpm]]-Table36[ratedRpm])/Table36[fadeOut])^Table36[fadeOutExp]))</f>
        <v>679.8629679144384</v>
      </c>
      <c r="W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0</v>
      </c>
      <c r="X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0</v>
      </c>
      <c r="Y7" s="3">
        <f>ABS(Table15[[#This Row],[motor]]-Table15[[#This Row],[motorEco]])</f>
        <v>0</v>
      </c>
    </row>
    <row r="8" spans="1:29" x14ac:dyDescent="0.25">
      <c r="A8" s="3">
        <v>350</v>
      </c>
      <c r="B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496.20320347377231</v>
      </c>
      <c r="C8" s="13"/>
      <c r="D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496.20320347377231</v>
      </c>
      <c r="E8" s="13"/>
      <c r="F8" s="3">
        <f>Table36[Factor]*IF(Table15[[#This Row],[manualData]]&gt;0,Table15[[#This Row],[manualData]],Table15[[#This Row],[rawData]])</f>
        <v>496.20320347377231</v>
      </c>
      <c r="G8" s="3">
        <f>Table36[Factor]*IF(Table15[[#This Row],[manDataEco]]&gt;0,Table15[[#This Row],[manDataEco]],Table15[[#This Row],[rawDataEco]])</f>
        <v>496.20320347377231</v>
      </c>
      <c r="H8" s="18">
        <f>1.36*Table15[[#This Row],[rpm]]*Table15[[#This Row],[motor]]/9550</f>
        <v>24.732222497750332</v>
      </c>
      <c r="I8" s="18">
        <f>1.36*Table15[[#This Row],[rpm]]*Table15[[#This Row],[motorEco]]/9550</f>
        <v>24.732222497750332</v>
      </c>
      <c r="J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240.36011904761898</v>
      </c>
      <c r="K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motorTorque="496" fuelUsageRatio="240.4"/&gt;</v>
      </c>
      <c r="L8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normRpm="0.152" torque="0.587"/&gt;</v>
      </c>
      <c r="M8" s="3">
        <f>(1-(1-Table15[[#This Row],[rpm]]/Table36[idleRpm])^2)*Table7[idleT]</f>
        <v>490.9912109375</v>
      </c>
      <c r="N8" s="3">
        <f>MAX(0,(1-Table7[f1]*(Table36[maxTRpm1]-Table15[[#This Row],[rpm]])^2)*Table36[maxT])</f>
        <v>502.90433673469386</v>
      </c>
      <c r="O8" s="3">
        <f>MAX(0,(Table36[linearDown]*(1-Table7[f2]*(Table15[[#This Row],[rpm]]-Table36[maxTRpm]))+(1-Table36[linearDown])*(1-Table7[f3]*(Table15[[#This Row],[rpm]]-Table36[maxTRpm])^2))*Table36[maxT])</f>
        <v>757.79753662828762</v>
      </c>
      <c r="P8" s="3">
        <f>MAX(0,(Table36[maxPS]-Table7[f4]*(Table15[[#This Row],[rpm]]-Table36[maxPRpm])^2)/1.36*9550/MAX(1,Table15[[#This Row],[rpm]]))</f>
        <v>4273.4243697478987</v>
      </c>
      <c r="Q8" s="3">
        <f>MAX(0,Table7[Nm2]*MIN(Table36[ratedRpm]/MAX(1,Table15[[#This Row],[rpm]]),1-(MAX(0,Table15[[#This Row],[rpm]]-Table36[ratedRpm])/Table36[fadeOut])^Table36[fadeOutExp]))</f>
        <v>679.8629679144384</v>
      </c>
      <c r="R8" s="3">
        <f>(1-(1-Table15[[#This Row],[rpm]]/Table36[idleRpm])^2)*Table7[idleTEco]</f>
        <v>490.9912109375</v>
      </c>
      <c r="S8" s="3">
        <f>MAX(0,(1-Table7[f1]*(Table36[maxTRpm1]-Table15[[#This Row],[rpm]])^2)*Table36[maxTEco])</f>
        <v>502.90433673469386</v>
      </c>
      <c r="T8" s="3">
        <f>MAX(0,(Table36[linearDown]*(1-Table7[f2Eco]*(Table15[[#This Row],[rpm]]-Table36[maxTRpm]))+(1-Table36[linearDown])*(1-Table7[f3Eco]*(Table15[[#This Row],[rpm]]-Table36[maxTRpm])^2))*Table36[maxTEco])</f>
        <v>757.79753662828762</v>
      </c>
      <c r="U8" s="3">
        <f>MAX(0,(Table36[maxPSEco]-Table7[f4Eco]*(Table15[[#This Row],[rpm]]-Table36[maxPRpm])^2)/1.36*9550/MAX(1,Table15[[#This Row],[rpm]]))</f>
        <v>4273.4243697478987</v>
      </c>
      <c r="V8" s="3">
        <f>MAX(0,Table7[Nm2Eco]*MIN(Table36[ratedRpm]/MAX(1,Table15[[#This Row],[rpm]]),1-(MAX(0,Table15[[#This Row],[rpm]]-Table36[ratedRpm])/Table36[fadeOut])^Table36[fadeOutExp]))</f>
        <v>679.8629679144384</v>
      </c>
      <c r="W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4201.5531417112297</v>
      </c>
      <c r="X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4201.5531417112297</v>
      </c>
      <c r="Y8" s="3">
        <f>ABS(Table15[[#This Row],[motor]]-Table15[[#This Row],[motorEco]])</f>
        <v>0</v>
      </c>
    </row>
    <row r="9" spans="1:29" x14ac:dyDescent="0.25">
      <c r="A9" s="3">
        <v>700</v>
      </c>
      <c r="B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682.89627511160711</v>
      </c>
      <c r="C9" s="13"/>
      <c r="D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682.89627511160711</v>
      </c>
      <c r="E9" s="13"/>
      <c r="F9" s="3">
        <f>Table36[Factor]*IF(Table15[[#This Row],[manualData]]&gt;0,Table15[[#This Row],[manualData]],Table15[[#This Row],[rawData]])</f>
        <v>682.89627511160711</v>
      </c>
      <c r="G9" s="3">
        <f>Table36[Factor]*IF(Table15[[#This Row],[manDataEco]]&gt;0,Table15[[#This Row],[manDataEco]],Table15[[#This Row],[rawDataEco]])</f>
        <v>682.89627511160711</v>
      </c>
      <c r="H9" s="18">
        <f>1.36*Table15[[#This Row],[rpm]]*Table15[[#This Row],[motor]]/9550</f>
        <v>68.075105121073292</v>
      </c>
      <c r="I9" s="18">
        <f>1.36*Table15[[#This Row],[rpm]]*Table15[[#This Row],[motorEco]]/9550</f>
        <v>68.075105121073292</v>
      </c>
      <c r="J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222.96428571428569</v>
      </c>
      <c r="K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motorTorque="683" fuelUsageRatio="223"/&gt;</v>
      </c>
      <c r="L9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normRpm="0.304" torque="0.808"/&gt;</v>
      </c>
      <c r="M9" s="3">
        <f>(1-(1-Table15[[#This Row],[rpm]]/Table36[idleRpm])^2)*Table7[idleT]</f>
        <v>707.02734375</v>
      </c>
      <c r="N9" s="3">
        <f>MAX(0,(1-Table7[f1]*(Table36[maxTRpm1]-Table15[[#This Row],[rpm]])^2)*Table36[maxT])</f>
        <v>679.44897959183675</v>
      </c>
      <c r="O9" s="3">
        <f>MAX(0,(Table36[linearDown]*(1-Table7[f2]*(Table15[[#This Row],[rpm]]-Table36[maxTRpm]))+(1-Table36[linearDown])*(1-Table7[f3]*(Table15[[#This Row],[rpm]]-Table36[maxTRpm])^2))*Table36[maxT])</f>
        <v>831.51942595219907</v>
      </c>
      <c r="P9" s="3">
        <f>MAX(0,(Table36[maxPS]-Table7[f4]*(Table15[[#This Row],[rpm]]-Table36[maxPRpm])^2)/1.36*9550/MAX(1,Table15[[#This Row],[rpm]]))</f>
        <v>2136.7121848739494</v>
      </c>
      <c r="Q9" s="3">
        <f>MAX(0,Table7[Nm2]*MIN(Table36[ratedRpm]/MAX(1,Table15[[#This Row],[rpm]]),1-(MAX(0,Table15[[#This Row],[rpm]]-Table36[ratedRpm])/Table36[fadeOut])^Table36[fadeOutExp]))</f>
        <v>679.8629679144384</v>
      </c>
      <c r="R9" s="3">
        <f>(1-(1-Table15[[#This Row],[rpm]]/Table36[idleRpm])^2)*Table7[idleTEco]</f>
        <v>707.02734375</v>
      </c>
      <c r="S9" s="3">
        <f>MAX(0,(1-Table7[f1]*(Table36[maxTRpm1]-Table15[[#This Row],[rpm]])^2)*Table36[maxTEco])</f>
        <v>679.44897959183675</v>
      </c>
      <c r="T9" s="3">
        <f>MAX(0,(Table36[linearDown]*(1-Table7[f2Eco]*(Table15[[#This Row],[rpm]]-Table36[maxTRpm]))+(1-Table36[linearDown])*(1-Table7[f3Eco]*(Table15[[#This Row],[rpm]]-Table36[maxTRpm])^2))*Table36[maxTEco])</f>
        <v>831.51942595219907</v>
      </c>
      <c r="U9" s="3">
        <f>MAX(0,(Table36[maxPSEco]-Table7[f4Eco]*(Table15[[#This Row],[rpm]]-Table36[maxPRpm])^2)/1.36*9550/MAX(1,Table15[[#This Row],[rpm]]))</f>
        <v>2136.7121848739494</v>
      </c>
      <c r="V9" s="3">
        <f>MAX(0,Table7[Nm2Eco]*MIN(Table36[ratedRpm]/MAX(1,Table15[[#This Row],[rpm]]),1-(MAX(0,Table15[[#This Row],[rpm]]-Table36[ratedRpm])/Table36[fadeOut])^Table36[fadeOutExp]))</f>
        <v>679.8629679144384</v>
      </c>
      <c r="W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2107.575200534759</v>
      </c>
      <c r="X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2107.575200534759</v>
      </c>
      <c r="Y9" s="3">
        <f>ABS(Table15[[#This Row],[motor]]-Table15[[#This Row],[motorEco]])</f>
        <v>0</v>
      </c>
    </row>
    <row r="10" spans="1:29" x14ac:dyDescent="0.25">
      <c r="A10" s="3">
        <v>900</v>
      </c>
      <c r="B1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751.87755102040819</v>
      </c>
      <c r="C10" s="13"/>
      <c r="D1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751.87755102040819</v>
      </c>
      <c r="E10" s="13"/>
      <c r="F10" s="3">
        <f>Table36[Factor]*IF(Table15[[#This Row],[manualData]]&gt;0,Table15[[#This Row],[manualData]],Table15[[#This Row],[rawData]])</f>
        <v>751.87755102040819</v>
      </c>
      <c r="G10" s="3">
        <f>Table36[Factor]*IF(Table15[[#This Row],[manDataEco]]&gt;0,Table15[[#This Row],[manDataEco]],Table15[[#This Row],[rawDataEco]])</f>
        <v>751.87755102040819</v>
      </c>
      <c r="H10" s="18">
        <f>1.36*Table15[[#This Row],[rpm]]*Table15[[#This Row],[motor]]/9550</f>
        <v>96.366295544395769</v>
      </c>
      <c r="I10" s="18">
        <f>1.36*Table15[[#This Row],[rpm]]*Table15[[#This Row],[motorEco]]/9550</f>
        <v>96.366295544395769</v>
      </c>
      <c r="J1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216.29761904761904</v>
      </c>
      <c r="K1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motorTorque="752" fuelUsageRatio="216.3"/&gt;</v>
      </c>
      <c r="L10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normRpm="0.391" torque="0.89"/&gt;</v>
      </c>
      <c r="M10" s="3">
        <f>(1-(1-Table15[[#This Row],[rpm]]/Table36[idleRpm])^2)*Table7[idleT]</f>
        <v>707.02734375</v>
      </c>
      <c r="N10" s="3">
        <f>MAX(0,(1-Table7[f1]*(Table36[maxTRpm1]-Table15[[#This Row],[rpm]])^2)*Table36[maxT])</f>
        <v>751.87755102040819</v>
      </c>
      <c r="O10" s="3">
        <f>MAX(0,(Table36[linearDown]*(1-Table7[f2]*(Table15[[#This Row],[rpm]]-Table36[maxTRpm]))+(1-Table36[linearDown])*(1-Table7[f3]*(Table15[[#This Row],[rpm]]-Table36[maxTRpm])^2))*Table36[maxT])</f>
        <v>855.1104305358507</v>
      </c>
      <c r="P10" s="3">
        <f>MAX(0,(Table36[maxPS]-Table7[f4]*(Table15[[#This Row],[rpm]]-Table36[maxPRpm])^2)/1.36*9550/MAX(1,Table15[[#This Row],[rpm]]))</f>
        <v>1661.8872549019607</v>
      </c>
      <c r="Q10" s="3">
        <f>MAX(0,Table7[Nm2]*MIN(Table36[ratedRpm]/MAX(1,Table15[[#This Row],[rpm]]),1-(MAX(0,Table15[[#This Row],[rpm]]-Table36[ratedRpm])/Table36[fadeOut])^Table36[fadeOutExp]))</f>
        <v>679.8629679144384</v>
      </c>
      <c r="R10" s="3">
        <f>(1-(1-Table15[[#This Row],[rpm]]/Table36[idleRpm])^2)*Table7[idleTEco]</f>
        <v>707.02734375</v>
      </c>
      <c r="S10" s="3">
        <f>MAX(0,(1-Table7[f1]*(Table36[maxTRpm1]-Table15[[#This Row],[rpm]])^2)*Table36[maxTEco])</f>
        <v>751.87755102040819</v>
      </c>
      <c r="T10" s="3">
        <f>MAX(0,(Table36[linearDown]*(1-Table7[f2Eco]*(Table15[[#This Row],[rpm]]-Table36[maxTRpm]))+(1-Table36[linearDown])*(1-Table7[f3Eco]*(Table15[[#This Row],[rpm]]-Table36[maxTRpm])^2))*Table36[maxTEco])</f>
        <v>855.1104305358507</v>
      </c>
      <c r="U10" s="3">
        <f>MAX(0,(Table36[maxPSEco]-Table7[f4Eco]*(Table15[[#This Row],[rpm]]-Table36[maxPRpm])^2)/1.36*9550/MAX(1,Table15[[#This Row],[rpm]]))</f>
        <v>1661.8872549019607</v>
      </c>
      <c r="V10" s="3">
        <f>MAX(0,Table7[Nm2Eco]*MIN(Table36[ratedRpm]/MAX(1,Table15[[#This Row],[rpm]]),1-(MAX(0,Table15[[#This Row],[rpm]]-Table36[ratedRpm])/Table36[fadeOut])^Table36[fadeOutExp]))</f>
        <v>679.8629679144384</v>
      </c>
      <c r="W1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1642.2467691622103</v>
      </c>
      <c r="X1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1642.2467691622103</v>
      </c>
      <c r="Y10" s="3">
        <f>ABS(Table15[[#This Row],[motor]]-Table15[[#This Row],[motorEco]])</f>
        <v>0</v>
      </c>
    </row>
    <row r="11" spans="1:29" x14ac:dyDescent="0.25">
      <c r="A11" s="3">
        <v>1000</v>
      </c>
      <c r="B1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780.33163265306121</v>
      </c>
      <c r="C11" s="13"/>
      <c r="D1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780.33163265306121</v>
      </c>
      <c r="E11" s="13"/>
      <c r="F11" s="3">
        <f>Table36[Factor]*IF(Table15[[#This Row],[manualData]]&gt;0,Table15[[#This Row],[manualData]],Table15[[#This Row],[rawData]])</f>
        <v>780.33163265306121</v>
      </c>
      <c r="G11" s="3">
        <f>Table36[Factor]*IF(Table15[[#This Row],[manDataEco]]&gt;0,Table15[[#This Row],[manDataEco]],Table15[[#This Row],[rawDataEco]])</f>
        <v>780.33163265306121</v>
      </c>
      <c r="H11" s="18">
        <f>1.36*Table15[[#This Row],[rpm]]*Table15[[#This Row],[motor]]/9550</f>
        <v>111.12576129928412</v>
      </c>
      <c r="I11" s="18">
        <f>1.36*Table15[[#This Row],[rpm]]*Table15[[#This Row],[motorEco]]/9550</f>
        <v>111.12576129928412</v>
      </c>
      <c r="J1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213.85714285714286</v>
      </c>
      <c r="K1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motorTorque="780" fuelUsageRatio="213.9"/&gt;</v>
      </c>
      <c r="L11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normRpm="0.435" torque="0.923"/&gt;</v>
      </c>
      <c r="M11" s="3">
        <f>(1-(1-Table15[[#This Row],[rpm]]/Table36[idleRpm])^2)*Table7[idleT]</f>
        <v>673.359375</v>
      </c>
      <c r="N11" s="3">
        <f>MAX(0,(1-Table7[f1]*(Table36[maxTRpm1]-Table15[[#This Row],[rpm]])^2)*Table36[maxT])</f>
        <v>780.33163265306121</v>
      </c>
      <c r="O11" s="3">
        <f>MAX(0,(Table36[linearDown]*(1-Table7[f2]*(Table15[[#This Row],[rpm]]-Table36[maxTRpm]))+(1-Table36[linearDown])*(1-Table7[f3]*(Table15[[#This Row],[rpm]]-Table36[maxTRpm])^2))*Table36[maxT])</f>
        <v>861.85071755975116</v>
      </c>
      <c r="P11" s="3">
        <f>MAX(0,(Table36[maxPS]-Table7[f4]*(Table15[[#This Row],[rpm]]-Table36[maxPRpm])^2)/1.36*9550/MAX(1,Table15[[#This Row],[rpm]]))</f>
        <v>1495.6985294117646</v>
      </c>
      <c r="Q11" s="3">
        <f>MAX(0,Table7[Nm2]*MIN(Table36[ratedRpm]/MAX(1,Table15[[#This Row],[rpm]]),1-(MAX(0,Table15[[#This Row],[rpm]]-Table36[ratedRpm])/Table36[fadeOut])^Table36[fadeOutExp]))</f>
        <v>679.8629679144384</v>
      </c>
      <c r="R11" s="3">
        <f>(1-(1-Table15[[#This Row],[rpm]]/Table36[idleRpm])^2)*Table7[idleTEco]</f>
        <v>673.359375</v>
      </c>
      <c r="S11" s="3">
        <f>MAX(0,(1-Table7[f1]*(Table36[maxTRpm1]-Table15[[#This Row],[rpm]])^2)*Table36[maxTEco])</f>
        <v>780.33163265306121</v>
      </c>
      <c r="T11" s="3">
        <f>MAX(0,(Table36[linearDown]*(1-Table7[f2Eco]*(Table15[[#This Row],[rpm]]-Table36[maxTRpm]))+(1-Table36[linearDown])*(1-Table7[f3Eco]*(Table15[[#This Row],[rpm]]-Table36[maxTRpm])^2))*Table36[maxTEco])</f>
        <v>861.85071755975116</v>
      </c>
      <c r="U11" s="3">
        <f>MAX(0,(Table36[maxPSEco]-Table7[f4Eco]*(Table15[[#This Row],[rpm]]-Table36[maxPRpm])^2)/1.36*9550/MAX(1,Table15[[#This Row],[rpm]]))</f>
        <v>1495.6985294117646</v>
      </c>
      <c r="V11" s="3">
        <f>MAX(0,Table7[Nm2Eco]*MIN(Table36[ratedRpm]/MAX(1,Table15[[#This Row],[rpm]]),1-(MAX(0,Table15[[#This Row],[rpm]]-Table36[ratedRpm])/Table36[fadeOut])^Table36[fadeOutExp]))</f>
        <v>679.8629679144384</v>
      </c>
      <c r="W1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1479.3818181818181</v>
      </c>
      <c r="X1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1479.3818181818181</v>
      </c>
      <c r="Y11" s="3">
        <f>ABS(Table15[[#This Row],[motor]]-Table15[[#This Row],[motorEco]])</f>
        <v>0</v>
      </c>
    </row>
    <row r="12" spans="1:29" x14ac:dyDescent="0.25">
      <c r="A12" s="3">
        <v>1100</v>
      </c>
      <c r="B1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803.61224489795916</v>
      </c>
      <c r="C12" s="13"/>
      <c r="D1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803.61224489795916</v>
      </c>
      <c r="E12" s="13"/>
      <c r="F12" s="3">
        <f>Table36[Factor]*IF(Table15[[#This Row],[manualData]]&gt;0,Table15[[#This Row],[manualData]],Table15[[#This Row],[rawData]])</f>
        <v>803.61224489795916</v>
      </c>
      <c r="G12" s="3">
        <f>Table36[Factor]*IF(Table15[[#This Row],[manDataEco]]&gt;0,Table15[[#This Row],[manDataEco]],Table15[[#This Row],[rawDataEco]])</f>
        <v>803.61224489795916</v>
      </c>
      <c r="H12" s="18">
        <f>1.36*Table15[[#This Row],[rpm]]*Table15[[#This Row],[motor]]/9550</f>
        <v>125.88522705417246</v>
      </c>
      <c r="I12" s="18">
        <f>1.36*Table15[[#This Row],[rpm]]*Table15[[#This Row],[motorEco]]/9550</f>
        <v>125.88522705417246</v>
      </c>
      <c r="J1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212.01190476190476</v>
      </c>
      <c r="K1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motorTorque="804" fuelUsageRatio="212"/&gt;</v>
      </c>
      <c r="L12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normRpm="0.478" torque="0.951"/&gt;</v>
      </c>
      <c r="M12" s="3">
        <f>(1-(1-Table15[[#This Row],[rpm]]/Table36[idleRpm])^2)*Table7[idleT]</f>
        <v>617.24609375</v>
      </c>
      <c r="N12" s="3">
        <f>MAX(0,(1-Table7[f1]*(Table36[maxTRpm1]-Table15[[#This Row],[rpm]])^2)*Table36[maxT])</f>
        <v>803.61224489795916</v>
      </c>
      <c r="O12" s="3">
        <f>MAX(0,(Table36[linearDown]*(1-Table7[f2]*(Table15[[#This Row],[rpm]]-Table36[maxTRpm]))+(1-Table36[linearDown])*(1-Table7[f3]*(Table15[[#This Row],[rpm]]-Table36[maxTRpm])^2))*Table36[maxT])</f>
        <v>865.22086107170139</v>
      </c>
      <c r="P12" s="3">
        <f>MAX(0,(Table36[maxPS]-Table7[f4]*(Table15[[#This Row],[rpm]]-Table36[maxPRpm])^2)/1.36*9550/MAX(1,Table15[[#This Row],[rpm]]))</f>
        <v>1359.7259358288768</v>
      </c>
      <c r="Q12" s="3">
        <f>MAX(0,Table7[Nm2]*MIN(Table36[ratedRpm]/MAX(1,Table15[[#This Row],[rpm]]),1-(MAX(0,Table15[[#This Row],[rpm]]-Table36[ratedRpm])/Table36[fadeOut])^Table36[fadeOutExp]))</f>
        <v>679.8629679144384</v>
      </c>
      <c r="R12" s="3">
        <f>(1-(1-Table15[[#This Row],[rpm]]/Table36[idleRpm])^2)*Table7[idleTEco]</f>
        <v>617.24609375</v>
      </c>
      <c r="S12" s="3">
        <f>MAX(0,(1-Table7[f1]*(Table36[maxTRpm1]-Table15[[#This Row],[rpm]])^2)*Table36[maxTEco])</f>
        <v>803.61224489795916</v>
      </c>
      <c r="T12" s="3">
        <f>MAX(0,(Table36[linearDown]*(1-Table7[f2Eco]*(Table15[[#This Row],[rpm]]-Table36[maxTRpm]))+(1-Table36[linearDown])*(1-Table7[f3Eco]*(Table15[[#This Row],[rpm]]-Table36[maxTRpm])^2))*Table36[maxTEco])</f>
        <v>865.22086107170139</v>
      </c>
      <c r="U12" s="3">
        <f>MAX(0,(Table36[maxPSEco]-Table7[f4Eco]*(Table15[[#This Row],[rpm]]-Table36[maxPRpm])^2)/1.36*9550/MAX(1,Table15[[#This Row],[rpm]]))</f>
        <v>1359.7259358288768</v>
      </c>
      <c r="V12" s="3">
        <f>MAX(0,Table7[Nm2Eco]*MIN(Table36[ratedRpm]/MAX(1,Table15[[#This Row],[rpm]]),1-(MAX(0,Table15[[#This Row],[rpm]]-Table36[ratedRpm])/Table36[fadeOut])^Table36[fadeOutExp]))</f>
        <v>679.8629679144384</v>
      </c>
      <c r="W1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1346.1286764705881</v>
      </c>
      <c r="X1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1346.1286764705881</v>
      </c>
      <c r="Y12" s="3">
        <f>ABS(Table15[[#This Row],[motor]]-Table15[[#This Row],[motorEco]])</f>
        <v>0</v>
      </c>
    </row>
    <row r="13" spans="1:29" x14ac:dyDescent="0.25">
      <c r="A13" s="3">
        <v>1200</v>
      </c>
      <c r="B1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821.71938775510205</v>
      </c>
      <c r="C13" s="13"/>
      <c r="D1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821.71938775510205</v>
      </c>
      <c r="E13" s="13"/>
      <c r="F13" s="3">
        <f>Table36[Factor]*IF(Table15[[#This Row],[manualData]]&gt;0,Table15[[#This Row],[manualData]],Table15[[#This Row],[rawData]])</f>
        <v>821.71938775510205</v>
      </c>
      <c r="G13" s="3">
        <f>Table36[Factor]*IF(Table15[[#This Row],[manDataEco]]&gt;0,Table15[[#This Row],[manDataEco]],Table15[[#This Row],[rawDataEco]])</f>
        <v>821.71938775510205</v>
      </c>
      <c r="H13" s="18">
        <f>1.36*Table15[[#This Row],[rpm]]*Table15[[#This Row],[motor]]/9550</f>
        <v>140.42366919542687</v>
      </c>
      <c r="I13" s="18">
        <f>1.36*Table15[[#This Row],[rpm]]*Table15[[#This Row],[motorEco]]/9550</f>
        <v>140.42366919542687</v>
      </c>
      <c r="J1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210.76190476190476</v>
      </c>
      <c r="K13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motorTorque="822" fuelUsageRatio="210.8"/&gt;</v>
      </c>
      <c r="L13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normRpm="0.522" torque="0.972"/&gt;</v>
      </c>
      <c r="M13" s="3">
        <f>(1-(1-Table15[[#This Row],[rpm]]/Table36[idleRpm])^2)*Table7[idleT]</f>
        <v>538.6875</v>
      </c>
      <c r="N13" s="3">
        <f>MAX(0,(1-Table7[f1]*(Table36[maxTRpm1]-Table15[[#This Row],[rpm]])^2)*Table36[maxT])</f>
        <v>821.71938775510205</v>
      </c>
      <c r="O13" s="3">
        <f>MAX(0,(Table36[linearDown]*(1-Table7[f2]*(Table15[[#This Row],[rpm]]-Table36[maxTRpm]))+(1-Table36[linearDown])*(1-Table7[f3]*(Table15[[#This Row],[rpm]]-Table36[maxTRpm])^2))*Table36[maxT])</f>
        <v>865.22086107170139</v>
      </c>
      <c r="P13" s="3">
        <f>MAX(0,(Table36[maxPS]-Table7[f4]*(Table15[[#This Row],[rpm]]-Table36[maxPRpm])^2)/1.36*9550/MAX(1,Table15[[#This Row],[rpm]]))</f>
        <v>1246.4154411764705</v>
      </c>
      <c r="Q13" s="3">
        <f>MAX(0,Table7[Nm2]*MIN(Table36[ratedRpm]/MAX(1,Table15[[#This Row],[rpm]]),1-(MAX(0,Table15[[#This Row],[rpm]]-Table36[ratedRpm])/Table36[fadeOut])^Table36[fadeOutExp]))</f>
        <v>679.8629679144384</v>
      </c>
      <c r="R13" s="3">
        <f>(1-(1-Table15[[#This Row],[rpm]]/Table36[idleRpm])^2)*Table7[idleTEco]</f>
        <v>538.6875</v>
      </c>
      <c r="S13" s="3">
        <f>MAX(0,(1-Table7[f1]*(Table36[maxTRpm1]-Table15[[#This Row],[rpm]])^2)*Table36[maxTEco])</f>
        <v>821.71938775510205</v>
      </c>
      <c r="T13" s="3">
        <f>MAX(0,(Table36[linearDown]*(1-Table7[f2Eco]*(Table15[[#This Row],[rpm]]-Table36[maxTRpm]))+(1-Table36[linearDown])*(1-Table7[f3Eco]*(Table15[[#This Row],[rpm]]-Table36[maxTRpm])^2))*Table36[maxTEco])</f>
        <v>865.22086107170139</v>
      </c>
      <c r="U13" s="3">
        <f>MAX(0,(Table36[maxPSEco]-Table7[f4Eco]*(Table15[[#This Row],[rpm]]-Table36[maxPRpm])^2)/1.36*9550/MAX(1,Table15[[#This Row],[rpm]]))</f>
        <v>1246.4154411764705</v>
      </c>
      <c r="V13" s="3">
        <f>MAX(0,Table7[Nm2Eco]*MIN(Table36[ratedRpm]/MAX(1,Table15[[#This Row],[rpm]]),1-(MAX(0,Table15[[#This Row],[rpm]]-Table36[ratedRpm])/Table36[fadeOut])^Table36[fadeOutExp]))</f>
        <v>679.8629679144384</v>
      </c>
      <c r="W1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1235.08439171123</v>
      </c>
      <c r="X1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1235.08439171123</v>
      </c>
      <c r="Y13" s="3">
        <f>ABS(Table15[[#This Row],[motor]]-Table15[[#This Row],[motorEco]])</f>
        <v>0</v>
      </c>
    </row>
    <row r="14" spans="1:29" x14ac:dyDescent="0.25">
      <c r="A14" s="3">
        <v>1300</v>
      </c>
      <c r="B1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834.65306122448976</v>
      </c>
      <c r="C14" s="13"/>
      <c r="D1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834.65306122448976</v>
      </c>
      <c r="E14" s="13"/>
      <c r="F14" s="3">
        <f>Table36[Factor]*IF(Table15[[#This Row],[manualData]]&gt;0,Table15[[#This Row],[manualData]],Table15[[#This Row],[rawData]])</f>
        <v>834.65306122448976</v>
      </c>
      <c r="G14" s="3">
        <f>Table36[Factor]*IF(Table15[[#This Row],[manDataEco]]&gt;0,Table15[[#This Row],[manDataEco]],Table15[[#This Row],[rawDataEco]])</f>
        <v>834.65306122448976</v>
      </c>
      <c r="H14" s="18">
        <f>1.36*Table15[[#This Row],[rpm]]*Table15[[#This Row],[motor]]/9550</f>
        <v>154.5200641094134</v>
      </c>
      <c r="I14" s="18">
        <f>1.36*Table15[[#This Row],[rpm]]*Table15[[#This Row],[motorEco]]/9550</f>
        <v>154.5200641094134</v>
      </c>
      <c r="J1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210.10714285714286</v>
      </c>
      <c r="K1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motorTorque="835" fuelUsageRatio="210.1"/&gt;</v>
      </c>
      <c r="L14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normRpm="0.565" torque="0.988"/&gt;</v>
      </c>
      <c r="M14" s="3">
        <f>(1-(1-Table15[[#This Row],[rpm]]/Table36[idleRpm])^2)*Table7[idleT]</f>
        <v>437.68359375</v>
      </c>
      <c r="N14" s="3">
        <f>MAX(0,(1-Table7[f1]*(Table36[maxTRpm1]-Table15[[#This Row],[rpm]])^2)*Table36[maxT])</f>
        <v>834.65306122448976</v>
      </c>
      <c r="O14" s="3">
        <f>MAX(0,(Table36[linearDown]*(1-Table7[f2]*(Table15[[#This Row],[rpm]]-Table36[maxTRpm]))+(1-Table36[linearDown])*(1-Table7[f3]*(Table15[[#This Row],[rpm]]-Table36[maxTRpm])^2))*Table36[maxT])</f>
        <v>861.85071755975116</v>
      </c>
      <c r="P14" s="3">
        <f>MAX(0,(Table36[maxPS]-Table7[f4]*(Table15[[#This Row],[rpm]]-Table36[maxPRpm])^2)/1.36*9550/MAX(1,Table15[[#This Row],[rpm]]))</f>
        <v>1150.5373303167421</v>
      </c>
      <c r="Q14" s="3">
        <f>MAX(0,Table7[Nm2]*MIN(Table36[ratedRpm]/MAX(1,Table15[[#This Row],[rpm]]),1-(MAX(0,Table15[[#This Row],[rpm]]-Table36[ratedRpm])/Table36[fadeOut])^Table36[fadeOutExp]))</f>
        <v>679.8629679144384</v>
      </c>
      <c r="R14" s="3">
        <f>(1-(1-Table15[[#This Row],[rpm]]/Table36[idleRpm])^2)*Table7[idleTEco]</f>
        <v>437.68359375</v>
      </c>
      <c r="S14" s="3">
        <f>MAX(0,(1-Table7[f1]*(Table36[maxTRpm1]-Table15[[#This Row],[rpm]])^2)*Table36[maxTEco])</f>
        <v>834.65306122448976</v>
      </c>
      <c r="T14" s="3">
        <f>MAX(0,(Table36[linearDown]*(1-Table7[f2Eco]*(Table15[[#This Row],[rpm]]-Table36[maxTRpm]))+(1-Table36[linearDown])*(1-Table7[f3Eco]*(Table15[[#This Row],[rpm]]-Table36[maxTRpm])^2))*Table36[maxTEco])</f>
        <v>861.85071755975116</v>
      </c>
      <c r="U14" s="3">
        <f>MAX(0,(Table36[maxPSEco]-Table7[f4Eco]*(Table15[[#This Row],[rpm]]-Table36[maxPRpm])^2)/1.36*9550/MAX(1,Table15[[#This Row],[rpm]]))</f>
        <v>1150.5373303167421</v>
      </c>
      <c r="V14" s="3">
        <f>MAX(0,Table7[Nm2Eco]*MIN(Table36[ratedRpm]/MAX(1,Table15[[#This Row],[rpm]]),1-(MAX(0,Table15[[#This Row],[rpm]]-Table36[ratedRpm])/Table36[fadeOut])^Table36[fadeOutExp]))</f>
        <v>679.8629679144384</v>
      </c>
      <c r="W1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1141.1238430686958</v>
      </c>
      <c r="X1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1141.1238430686958</v>
      </c>
      <c r="Y14" s="3">
        <f>ABS(Table15[[#This Row],[motor]]-Table15[[#This Row],[motorEco]])</f>
        <v>0</v>
      </c>
    </row>
    <row r="15" spans="1:29" x14ac:dyDescent="0.25">
      <c r="A15" s="3">
        <v>1400</v>
      </c>
      <c r="B1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842.41326530612241</v>
      </c>
      <c r="C15" s="13"/>
      <c r="D1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842.41326530612241</v>
      </c>
      <c r="E15" s="13"/>
      <c r="F15" s="3">
        <f>Table36[Factor]*IF(Table15[[#This Row],[manualData]]&gt;0,Table15[[#This Row],[manualData]],Table15[[#This Row],[rawData]])</f>
        <v>842.41326530612241</v>
      </c>
      <c r="G15" s="3">
        <f>Table36[Factor]*IF(Table15[[#This Row],[manDataEco]]&gt;0,Table15[[#This Row],[manDataEco]],Table15[[#This Row],[rawDataEco]])</f>
        <v>842.41326530612241</v>
      </c>
      <c r="H15" s="18">
        <f>1.36*Table15[[#This Row],[rpm]]*Table15[[#This Row],[motor]]/9550</f>
        <v>167.95338818249814</v>
      </c>
      <c r="I15" s="18">
        <f>1.36*Table15[[#This Row],[rpm]]*Table15[[#This Row],[motorEco]]/9550</f>
        <v>167.95338818249814</v>
      </c>
      <c r="J1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210.05291005291005</v>
      </c>
      <c r="K1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motorTorque="842" fuelUsageRatio="210.1"/&gt;</v>
      </c>
      <c r="L15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normRpm="0.609" torque="0.997"/&gt;</v>
      </c>
      <c r="M15" s="3">
        <f>(1-(1-Table15[[#This Row],[rpm]]/Table36[idleRpm])^2)*Table7[idleT]</f>
        <v>314.234375</v>
      </c>
      <c r="N15" s="3">
        <f>MAX(0,(1-Table7[f1]*(Table36[maxTRpm1]-Table15[[#This Row],[rpm]])^2)*Table36[maxT])</f>
        <v>842.41326530612241</v>
      </c>
      <c r="O15" s="3">
        <f>MAX(0,(Table36[linearDown]*(1-Table7[f2]*(Table15[[#This Row],[rpm]]-Table36[maxTRpm]))+(1-Table36[linearDown])*(1-Table7[f3]*(Table15[[#This Row],[rpm]]-Table36[maxTRpm])^2))*Table36[maxT])</f>
        <v>855.1104305358507</v>
      </c>
      <c r="P15" s="3">
        <f>MAX(0,(Table36[maxPS]-Table7[f4]*(Table15[[#This Row],[rpm]]-Table36[maxPRpm])^2)/1.36*9550/MAX(1,Table15[[#This Row],[rpm]]))</f>
        <v>1068.3560924369747</v>
      </c>
      <c r="Q15" s="3">
        <f>MAX(0,Table7[Nm2]*MIN(Table36[ratedRpm]/MAX(1,Table15[[#This Row],[rpm]]),1-(MAX(0,Table15[[#This Row],[rpm]]-Table36[ratedRpm])/Table36[fadeOut])^Table36[fadeOutExp]))</f>
        <v>679.8629679144384</v>
      </c>
      <c r="R15" s="3">
        <f>(1-(1-Table15[[#This Row],[rpm]]/Table36[idleRpm])^2)*Table7[idleTEco]</f>
        <v>314.234375</v>
      </c>
      <c r="S15" s="3">
        <f>MAX(0,(1-Table7[f1]*(Table36[maxTRpm1]-Table15[[#This Row],[rpm]])^2)*Table36[maxTEco])</f>
        <v>842.41326530612241</v>
      </c>
      <c r="T15" s="3">
        <f>MAX(0,(Table36[linearDown]*(1-Table7[f2Eco]*(Table15[[#This Row],[rpm]]-Table36[maxTRpm]))+(1-Table36[linearDown])*(1-Table7[f3Eco]*(Table15[[#This Row],[rpm]]-Table36[maxTRpm])^2))*Table36[maxTEco])</f>
        <v>855.1104305358507</v>
      </c>
      <c r="U15" s="3">
        <f>MAX(0,(Table36[maxPSEco]-Table7[f4Eco]*(Table15[[#This Row],[rpm]]-Table36[maxPRpm])^2)/1.36*9550/MAX(1,Table15[[#This Row],[rpm]]))</f>
        <v>1068.3560924369747</v>
      </c>
      <c r="V15" s="3">
        <f>MAX(0,Table7[Nm2Eco]*MIN(Table36[ratedRpm]/MAX(1,Table15[[#This Row],[rpm]]),1-(MAX(0,Table15[[#This Row],[rpm]]-Table36[ratedRpm])/Table36[fadeOut])^Table36[fadeOutExp]))</f>
        <v>679.8629679144384</v>
      </c>
      <c r="W1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1060.5862299465239</v>
      </c>
      <c r="X1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1060.5862299465239</v>
      </c>
      <c r="Y15" s="3">
        <f>ABS(Table15[[#This Row],[motor]]-Table15[[#This Row],[motorEco]])</f>
        <v>0</v>
      </c>
    </row>
    <row r="16" spans="1:29" x14ac:dyDescent="0.25">
      <c r="A16" s="3">
        <v>1500</v>
      </c>
      <c r="B1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845</v>
      </c>
      <c r="C16" s="13"/>
      <c r="D1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845</v>
      </c>
      <c r="E16" s="13"/>
      <c r="F16" s="3">
        <f>Table36[Factor]*IF(Table15[[#This Row],[manualData]]&gt;0,Table15[[#This Row],[manualData]],Table15[[#This Row],[rawData]])</f>
        <v>845</v>
      </c>
      <c r="G16" s="3">
        <f>Table36[Factor]*IF(Table15[[#This Row],[manDataEco]]&gt;0,Table15[[#This Row],[manDataEco]],Table15[[#This Row],[rawDataEco]])</f>
        <v>845</v>
      </c>
      <c r="H16" s="18">
        <f>1.36*Table15[[#This Row],[rpm]]*Table15[[#This Row],[motor]]/9550</f>
        <v>180.50261780104714</v>
      </c>
      <c r="I16" s="18">
        <f>1.36*Table15[[#This Row],[rpm]]*Table15[[#This Row],[motorEco]]/9550</f>
        <v>180.50261780104714</v>
      </c>
      <c r="J1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210.64814814814815</v>
      </c>
      <c r="K1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motorTorque="845" fuelUsageRatio="210.6"/&gt;</v>
      </c>
      <c r="L16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normRpm="0.652" torque="1"/&gt;</v>
      </c>
      <c r="M16" s="3">
        <f>(1-(1-Table15[[#This Row],[rpm]]/Table36[idleRpm])^2)*Table7[idleT]</f>
        <v>168.33984375</v>
      </c>
      <c r="N16" s="3">
        <f>MAX(0,(1-Table7[f1]*(Table36[maxTRpm1]-Table15[[#This Row],[rpm]])^2)*Table36[maxT])</f>
        <v>845</v>
      </c>
      <c r="O16" s="3">
        <f>MAX(0,(Table36[linearDown]*(1-Table7[f2]*(Table15[[#This Row],[rpm]]-Table36[maxTRpm]))+(1-Table36[linearDown])*(1-Table7[f3]*(Table15[[#This Row],[rpm]]-Table36[maxTRpm])^2))*Table36[maxT])</f>
        <v>845</v>
      </c>
      <c r="P16" s="3">
        <f>MAX(0,(Table36[maxPS]-Table7[f4]*(Table15[[#This Row],[rpm]]-Table36[maxPRpm])^2)/1.36*9550/MAX(1,Table15[[#This Row],[rpm]]))</f>
        <v>997.13235294117635</v>
      </c>
      <c r="Q16" s="3">
        <f>MAX(0,Table7[Nm2]*MIN(Table36[ratedRpm]/MAX(1,Table15[[#This Row],[rpm]]),1-(MAX(0,Table15[[#This Row],[rpm]]-Table36[ratedRpm])/Table36[fadeOut])^Table36[fadeOutExp]))</f>
        <v>679.8629679144384</v>
      </c>
      <c r="R16" s="3">
        <f>(1-(1-Table15[[#This Row],[rpm]]/Table36[idleRpm])^2)*Table7[idleTEco]</f>
        <v>168.33984375</v>
      </c>
      <c r="S16" s="3">
        <f>MAX(0,(1-Table7[f1]*(Table36[maxTRpm1]-Table15[[#This Row],[rpm]])^2)*Table36[maxTEco])</f>
        <v>845</v>
      </c>
      <c r="T16" s="3">
        <f>MAX(0,(Table36[linearDown]*(1-Table7[f2Eco]*(Table15[[#This Row],[rpm]]-Table36[maxTRpm]))+(1-Table36[linearDown])*(1-Table7[f3Eco]*(Table15[[#This Row],[rpm]]-Table36[maxTRpm])^2))*Table36[maxTEco])</f>
        <v>845</v>
      </c>
      <c r="U16" s="3">
        <f>MAX(0,(Table36[maxPSEco]-Table7[f4Eco]*(Table15[[#This Row],[rpm]]-Table36[maxPRpm])^2)/1.36*9550/MAX(1,Table15[[#This Row],[rpm]]))</f>
        <v>997.13235294117635</v>
      </c>
      <c r="V16" s="3">
        <f>MAX(0,Table7[Nm2Eco]*MIN(Table36[ratedRpm]/MAX(1,Table15[[#This Row],[rpm]]),1-(MAX(0,Table15[[#This Row],[rpm]]-Table36[ratedRpm])/Table36[fadeOut])^Table36[fadeOutExp]))</f>
        <v>679.8629679144384</v>
      </c>
      <c r="W1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990.78696524064162</v>
      </c>
      <c r="X1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990.78696524064162</v>
      </c>
      <c r="Y16" s="3">
        <f>ABS(Table15[[#This Row],[motor]]-Table15[[#This Row],[motorEco]])</f>
        <v>0</v>
      </c>
    </row>
    <row r="17" spans="1:25" x14ac:dyDescent="0.25">
      <c r="A17" s="3">
        <v>1600</v>
      </c>
      <c r="B1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831.51942595219907</v>
      </c>
      <c r="C17" s="13"/>
      <c r="D1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831.51942595219907</v>
      </c>
      <c r="E17" s="13"/>
      <c r="F17" s="3">
        <f>Table36[Factor]*IF(Table15[[#This Row],[manualData]]&gt;0,Table15[[#This Row],[manualData]],Table15[[#This Row],[rawData]])</f>
        <v>831.51942595219907</v>
      </c>
      <c r="G17" s="3">
        <f>Table36[Factor]*IF(Table15[[#This Row],[manDataEco]]&gt;0,Table15[[#This Row],[manDataEco]],Table15[[#This Row],[rawDataEco]])</f>
        <v>831.51942595219907</v>
      </c>
      <c r="H17" s="18">
        <f>1.36*Table15[[#This Row],[rpm]]*Table15[[#This Row],[motor]]/9550</f>
        <v>189.4645309813597</v>
      </c>
      <c r="I17" s="18">
        <f>1.36*Table15[[#This Row],[rpm]]*Table15[[#This Row],[motorEco]]/9550</f>
        <v>189.4645309813597</v>
      </c>
      <c r="J1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211.9047619047619</v>
      </c>
      <c r="K1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motorTorque="832" fuelUsageRatio="211.9"/&gt;</v>
      </c>
      <c r="L17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normRpm="0.696" torque="0.984"/&gt;</v>
      </c>
      <c r="M17" s="3">
        <f>(1-(1-Table15[[#This Row],[rpm]]/Table36[idleRpm])^2)*Table7[idleT]</f>
        <v>0</v>
      </c>
      <c r="N17" s="3">
        <f>MAX(0,(1-Table7[f1]*(Table36[maxTRpm1]-Table15[[#This Row],[rpm]])^2)*Table36[maxT])</f>
        <v>842.41326530612241</v>
      </c>
      <c r="O17" s="3">
        <f>MAX(0,(Table36[linearDown]*(1-Table7[f2]*(Table15[[#This Row],[rpm]]-Table36[maxTRpm]))+(1-Table36[linearDown])*(1-Table7[f3]*(Table15[[#This Row],[rpm]]-Table36[maxTRpm])^2))*Table36[maxT])</f>
        <v>831.51942595219907</v>
      </c>
      <c r="P17" s="3">
        <f>MAX(0,(Table36[maxPS]-Table7[f4]*(Table15[[#This Row],[rpm]]-Table36[maxPRpm])^2)/1.36*9550/MAX(1,Table15[[#This Row],[rpm]]))</f>
        <v>934.81158088235281</v>
      </c>
      <c r="Q17" s="3">
        <f>MAX(0,Table7[Nm2]*MIN(Table36[ratedRpm]/MAX(1,Table15[[#This Row],[rpm]]),1-(MAX(0,Table15[[#This Row],[rpm]]-Table36[ratedRpm])/Table36[fadeOut])^Table36[fadeOutExp]))</f>
        <v>679.8629679144384</v>
      </c>
      <c r="R17" s="3">
        <f>(1-(1-Table15[[#This Row],[rpm]]/Table36[idleRpm])^2)*Table7[idleTEco]</f>
        <v>0</v>
      </c>
      <c r="S17" s="3">
        <f>MAX(0,(1-Table7[f1]*(Table36[maxTRpm1]-Table15[[#This Row],[rpm]])^2)*Table36[maxTEco])</f>
        <v>842.41326530612241</v>
      </c>
      <c r="T17" s="3">
        <f>MAX(0,(Table36[linearDown]*(1-Table7[f2Eco]*(Table15[[#This Row],[rpm]]-Table36[maxTRpm]))+(1-Table36[linearDown])*(1-Table7[f3Eco]*(Table15[[#This Row],[rpm]]-Table36[maxTRpm])^2))*Table36[maxTEco])</f>
        <v>831.51942595219907</v>
      </c>
      <c r="U17" s="3">
        <f>MAX(0,(Table36[maxPSEco]-Table7[f4Eco]*(Table15[[#This Row],[rpm]]-Table36[maxPRpm])^2)/1.36*9550/MAX(1,Table15[[#This Row],[rpm]]))</f>
        <v>934.81158088235281</v>
      </c>
      <c r="V17" s="3">
        <f>MAX(0,Table7[Nm2Eco]*MIN(Table36[ratedRpm]/MAX(1,Table15[[#This Row],[rpm]]),1-(MAX(0,Table15[[#This Row],[rpm]]-Table36[ratedRpm])/Table36[fadeOut])^Table36[fadeOutExp]))</f>
        <v>679.8629679144384</v>
      </c>
      <c r="W1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929.71260862299459</v>
      </c>
      <c r="X1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929.71260862299459</v>
      </c>
      <c r="Y17" s="3">
        <f>ABS(Table15[[#This Row],[motor]]-Table15[[#This Row],[motorEco]])</f>
        <v>0</v>
      </c>
    </row>
    <row r="18" spans="1:25" x14ac:dyDescent="0.25">
      <c r="A18" s="3">
        <v>1700</v>
      </c>
      <c r="B1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814.66870839244791</v>
      </c>
      <c r="C18" s="13"/>
      <c r="D1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814.66870839244791</v>
      </c>
      <c r="E18" s="13"/>
      <c r="F18" s="3">
        <f>Table36[Factor]*IF(Table15[[#This Row],[manualData]]&gt;0,Table15[[#This Row],[manualData]],Table15[[#This Row],[rawData]])</f>
        <v>814.66870839244791</v>
      </c>
      <c r="G18" s="3">
        <f>Table36[Factor]*IF(Table15[[#This Row],[manDataEco]]&gt;0,Table15[[#This Row],[manDataEco]],Table15[[#This Row],[rawDataEco]])</f>
        <v>814.66870839244791</v>
      </c>
      <c r="H18" s="18">
        <f>1.36*Table15[[#This Row],[rpm]]*Table15[[#This Row],[motor]]/9550</f>
        <v>197.22660249249628</v>
      </c>
      <c r="I18" s="18">
        <f>1.36*Table15[[#This Row],[rpm]]*Table15[[#This Row],[motorEco]]/9550</f>
        <v>197.22660249249628</v>
      </c>
      <c r="J1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213.82275132275132</v>
      </c>
      <c r="K1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motorTorque="815" fuelUsageRatio="213.8"/&gt;</v>
      </c>
      <c r="L18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normRpm="0.739" torque="0.964"/&gt;</v>
      </c>
      <c r="M18" s="3">
        <f>(1-(1-Table15[[#This Row],[rpm]]/Table36[idleRpm])^2)*Table7[idleT]</f>
        <v>-190.78515625</v>
      </c>
      <c r="N18" s="3">
        <f>MAX(0,(1-Table7[f1]*(Table36[maxTRpm1]-Table15[[#This Row],[rpm]])^2)*Table36[maxT])</f>
        <v>834.65306122448976</v>
      </c>
      <c r="O18" s="3">
        <f>MAX(0,(Table36[linearDown]*(1-Table7[f2]*(Table15[[#This Row],[rpm]]-Table36[maxTRpm]))+(1-Table36[linearDown])*(1-Table7[f3]*(Table15[[#This Row],[rpm]]-Table36[maxTRpm])^2))*Table36[maxT])</f>
        <v>814.66870839244791</v>
      </c>
      <c r="P18" s="3">
        <f>MAX(0,(Table36[maxPS]-Table7[f4]*(Table15[[#This Row],[rpm]]-Table36[maxPRpm])^2)/1.36*9550/MAX(1,Table15[[#This Row],[rpm]]))</f>
        <v>879.82266435986151</v>
      </c>
      <c r="Q18" s="3">
        <f>MAX(0,Table7[Nm2]*MIN(Table36[ratedRpm]/MAX(1,Table15[[#This Row],[rpm]]),1-(MAX(0,Table15[[#This Row],[rpm]]-Table36[ratedRpm])/Table36[fadeOut])^Table36[fadeOutExp]))</f>
        <v>679.8629679144384</v>
      </c>
      <c r="R18" s="3">
        <f>(1-(1-Table15[[#This Row],[rpm]]/Table36[idleRpm])^2)*Table7[idleTEco]</f>
        <v>-190.78515625</v>
      </c>
      <c r="S18" s="3">
        <f>MAX(0,(1-Table7[f1]*(Table36[maxTRpm1]-Table15[[#This Row],[rpm]])^2)*Table36[maxTEco])</f>
        <v>834.65306122448976</v>
      </c>
      <c r="T18" s="3">
        <f>MAX(0,(Table36[linearDown]*(1-Table7[f2Eco]*(Table15[[#This Row],[rpm]]-Table36[maxTRpm]))+(1-Table36[linearDown])*(1-Table7[f3Eco]*(Table15[[#This Row],[rpm]]-Table36[maxTRpm])^2))*Table36[maxTEco])</f>
        <v>814.66870839244791</v>
      </c>
      <c r="U18" s="3">
        <f>MAX(0,(Table36[maxPSEco]-Table7[f4Eco]*(Table15[[#This Row],[rpm]]-Table36[maxPRpm])^2)/1.36*9550/MAX(1,Table15[[#This Row],[rpm]]))</f>
        <v>879.82266435986151</v>
      </c>
      <c r="V18" s="3">
        <f>MAX(0,Table7[Nm2Eco]*MIN(Table36[ratedRpm]/MAX(1,Table15[[#This Row],[rpm]]),1-(MAX(0,Table15[[#This Row],[rpm]]-Table36[ratedRpm])/Table36[fadeOut])^Table36[fadeOutExp]))</f>
        <v>679.8629679144384</v>
      </c>
      <c r="W1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875.82347043095297</v>
      </c>
      <c r="X1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875.82347043095297</v>
      </c>
      <c r="Y18" s="3">
        <f>ABS(Table15[[#This Row],[motor]]-Table15[[#This Row],[motorEco]])</f>
        <v>0</v>
      </c>
    </row>
    <row r="19" spans="1:25" x14ac:dyDescent="0.25">
      <c r="A19" s="3">
        <v>1800</v>
      </c>
      <c r="B1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794.4478473207464</v>
      </c>
      <c r="C19" s="13"/>
      <c r="D1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794.4478473207464</v>
      </c>
      <c r="E19" s="13"/>
      <c r="F19" s="3">
        <f>Table36[Factor]*IF(Table15[[#This Row],[manualData]]&gt;0,Table15[[#This Row],[manualData]],Table15[[#This Row],[rawData]])</f>
        <v>794.4478473207464</v>
      </c>
      <c r="G19" s="3">
        <f>Table36[Factor]*IF(Table15[[#This Row],[manDataEco]]&gt;0,Table15[[#This Row],[manDataEco]],Table15[[#This Row],[rawDataEco]])</f>
        <v>794.4478473207464</v>
      </c>
      <c r="H19" s="18">
        <f>1.36*Table15[[#This Row],[rpm]]*Table15[[#This Row],[motor]]/9550</f>
        <v>203.64485133415573</v>
      </c>
      <c r="I19" s="18">
        <f>1.36*Table15[[#This Row],[rpm]]*Table15[[#This Row],[motorEco]]/9550</f>
        <v>203.64485133415573</v>
      </c>
      <c r="J1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216.40211640211641</v>
      </c>
      <c r="K1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motorTorque="794" fuelUsageRatio="216.4"/&gt;</v>
      </c>
      <c r="L19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normRpm="0.783" torque="0.94"/&gt;</v>
      </c>
      <c r="M19" s="3">
        <f>(1-(1-Table15[[#This Row],[rpm]]/Table36[idleRpm])^2)*Table7[idleT]</f>
        <v>-404.015625</v>
      </c>
      <c r="N19" s="3">
        <f>MAX(0,(1-Table7[f1]*(Table36[maxTRpm1]-Table15[[#This Row],[rpm]])^2)*Table36[maxT])</f>
        <v>821.71938775510205</v>
      </c>
      <c r="O19" s="3">
        <f>MAX(0,(Table36[linearDown]*(1-Table7[f2]*(Table15[[#This Row],[rpm]]-Table36[maxTRpm]))+(1-Table36[linearDown])*(1-Table7[f3]*(Table15[[#This Row],[rpm]]-Table36[maxTRpm])^2))*Table36[maxT])</f>
        <v>794.4478473207464</v>
      </c>
      <c r="P19" s="3">
        <f>MAX(0,(Table36[maxPS]-Table7[f4]*(Table15[[#This Row],[rpm]]-Table36[maxPRpm])^2)/1.36*9550/MAX(1,Table15[[#This Row],[rpm]]))</f>
        <v>830.94362745098033</v>
      </c>
      <c r="Q19" s="3">
        <f>MAX(0,Table7[Nm2]*MIN(Table36[ratedRpm]/MAX(1,Table15[[#This Row],[rpm]]),1-(MAX(0,Table15[[#This Row],[rpm]]-Table36[ratedRpm])/Table36[fadeOut])^Table36[fadeOutExp]))</f>
        <v>679.8629679144384</v>
      </c>
      <c r="R19" s="3">
        <f>(1-(1-Table15[[#This Row],[rpm]]/Table36[idleRpm])^2)*Table7[idleTEco]</f>
        <v>-404.015625</v>
      </c>
      <c r="S19" s="3">
        <f>MAX(0,(1-Table7[f1]*(Table36[maxTRpm1]-Table15[[#This Row],[rpm]])^2)*Table36[maxTEco])</f>
        <v>821.71938775510205</v>
      </c>
      <c r="T19" s="3">
        <f>MAX(0,(Table36[linearDown]*(1-Table7[f2Eco]*(Table15[[#This Row],[rpm]]-Table36[maxTRpm]))+(1-Table36[linearDown])*(1-Table7[f3Eco]*(Table15[[#This Row],[rpm]]-Table36[maxTRpm])^2))*Table36[maxTEco])</f>
        <v>794.4478473207464</v>
      </c>
      <c r="U19" s="3">
        <f>MAX(0,(Table36[maxPSEco]-Table7[f4Eco]*(Table15[[#This Row],[rpm]]-Table36[maxPRpm])^2)/1.36*9550/MAX(1,Table15[[#This Row],[rpm]]))</f>
        <v>830.94362745098033</v>
      </c>
      <c r="V19" s="3">
        <f>MAX(0,Table7[Nm2Eco]*MIN(Table36[ratedRpm]/MAX(1,Table15[[#This Row],[rpm]]),1-(MAX(0,Table15[[#This Row],[rpm]]-Table36[ratedRpm])/Table36[fadeOut])^Table36[fadeOutExp]))</f>
        <v>679.8629679144384</v>
      </c>
      <c r="W1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827.92201426024951</v>
      </c>
      <c r="X1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827.92201426024951</v>
      </c>
      <c r="Y19" s="3">
        <f>ABS(Table15[[#This Row],[motor]]-Table15[[#This Row],[motorEco]])</f>
        <v>0</v>
      </c>
    </row>
    <row r="20" spans="1:25" x14ac:dyDescent="0.25">
      <c r="A20" s="3">
        <v>1850</v>
      </c>
      <c r="B2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783.07361296791441</v>
      </c>
      <c r="C20" s="13"/>
      <c r="D2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783.07361296791441</v>
      </c>
      <c r="E20" s="13"/>
      <c r="F20" s="3">
        <f>Table36[Factor]*IF(Table15[[#This Row],[manualData]]&gt;0,Table15[[#This Row],[manualData]],Table15[[#This Row],[rawData]])</f>
        <v>783.07361296791441</v>
      </c>
      <c r="G20" s="3">
        <f>Table36[Factor]*IF(Table15[[#This Row],[manDataEco]]&gt;0,Table15[[#This Row],[manDataEco]],Table15[[#This Row],[rawDataEco]])</f>
        <v>783.07361296791441</v>
      </c>
      <c r="H20" s="18">
        <f>1.36*Table15[[#This Row],[rpm]]*Table15[[#This Row],[motor]]/9550</f>
        <v>206.30504819133745</v>
      </c>
      <c r="I20" s="18">
        <f>1.36*Table15[[#This Row],[rpm]]*Table15[[#This Row],[motorEco]]/9550</f>
        <v>206.30504819133745</v>
      </c>
      <c r="J2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217.93981481481481</v>
      </c>
      <c r="K2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motorTorque="783" fuelUsageRatio="217.9"/&gt;</v>
      </c>
      <c r="L20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normRpm="0.804" torque="0.927"/&gt;</v>
      </c>
      <c r="M20" s="3">
        <f>(1-(1-Table15[[#This Row],[rpm]]/Table36[idleRpm])^2)*Table7[idleT]</f>
        <v>-519.0478515625</v>
      </c>
      <c r="N20" s="3">
        <f>MAX(0,(1-Table7[f1]*(Table36[maxTRpm1]-Table15[[#This Row],[rpm]])^2)*Table36[maxT])</f>
        <v>813.3125</v>
      </c>
      <c r="O20" s="3">
        <f>MAX(0,(Table36[linearDown]*(1-Table7[f2]*(Table15[[#This Row],[rpm]]-Table36[maxTRpm]))+(1-Table36[linearDown])*(1-Table7[f3]*(Table15[[#This Row],[rpm]]-Table36[maxTRpm])^2))*Table36[maxT])</f>
        <v>783.07361296791441</v>
      </c>
      <c r="P20" s="3">
        <f>MAX(0,(Table36[maxPS]-Table7[f4]*(Table15[[#This Row],[rpm]]-Table36[maxPRpm])^2)/1.36*9550/MAX(1,Table15[[#This Row],[rpm]]))</f>
        <v>808.48569157392683</v>
      </c>
      <c r="Q20" s="3">
        <f>MAX(0,Table7[Nm2]*MIN(Table36[ratedRpm]/MAX(1,Table15[[#This Row],[rpm]]),1-(MAX(0,Table15[[#This Row],[rpm]]-Table36[ratedRpm])/Table36[fadeOut])^Table36[fadeOutExp]))</f>
        <v>679.8629679144384</v>
      </c>
      <c r="R20" s="3">
        <f>(1-(1-Table15[[#This Row],[rpm]]/Table36[idleRpm])^2)*Table7[idleTEco]</f>
        <v>-519.0478515625</v>
      </c>
      <c r="S20" s="3">
        <f>MAX(0,(1-Table7[f1]*(Table36[maxTRpm1]-Table15[[#This Row],[rpm]])^2)*Table36[maxTEco])</f>
        <v>813.3125</v>
      </c>
      <c r="T20" s="3">
        <f>MAX(0,(Table36[linearDown]*(1-Table7[f2Eco]*(Table15[[#This Row],[rpm]]-Table36[maxTRpm]))+(1-Table36[linearDown])*(1-Table7[f3Eco]*(Table15[[#This Row],[rpm]]-Table36[maxTRpm])^2))*Table36[maxTEco])</f>
        <v>783.07361296791441</v>
      </c>
      <c r="U20" s="3">
        <f>MAX(0,(Table36[maxPSEco]-Table7[f4Eco]*(Table15[[#This Row],[rpm]]-Table36[maxPRpm])^2)/1.36*9550/MAX(1,Table15[[#This Row],[rpm]]))</f>
        <v>808.48569157392683</v>
      </c>
      <c r="V20" s="3">
        <f>MAX(0,Table7[Nm2Eco]*MIN(Table36[ratedRpm]/MAX(1,Table15[[#This Row],[rpm]]),1-(MAX(0,Table15[[#This Row],[rpm]]-Table36[ratedRpm])/Table36[fadeOut])^Table36[fadeOutExp]))</f>
        <v>679.8629679144384</v>
      </c>
      <c r="W2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805.91323710073709</v>
      </c>
      <c r="X2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805.91323710073709</v>
      </c>
      <c r="Y20" s="3">
        <f>ABS(Table15[[#This Row],[motor]]-Table15[[#This Row],[motorEco]])</f>
        <v>0</v>
      </c>
    </row>
    <row r="21" spans="1:25" x14ac:dyDescent="0.25">
      <c r="A21" s="3">
        <v>1900</v>
      </c>
      <c r="B2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770.85684273709478</v>
      </c>
      <c r="C21" s="13"/>
      <c r="D2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770.85684273709478</v>
      </c>
      <c r="E21" s="13"/>
      <c r="F21" s="3">
        <f>Table36[Factor]*IF(Table15[[#This Row],[manualData]]&gt;0,Table15[[#This Row],[manualData]],Table15[[#This Row],[rawData]])</f>
        <v>770.85684273709478</v>
      </c>
      <c r="G21" s="3">
        <f>Table36[Factor]*IF(Table15[[#This Row],[manDataEco]]&gt;0,Table15[[#This Row],[manDataEco]],Table15[[#This Row],[rawDataEco]])</f>
        <v>770.85684273709478</v>
      </c>
      <c r="H21" s="18">
        <f>1.36*Table15[[#This Row],[rpm]]*Table15[[#This Row],[motor]]/9550</f>
        <v>208.57529650603698</v>
      </c>
      <c r="I21" s="18">
        <f>1.36*Table15[[#This Row],[rpm]]*Table15[[#This Row],[motorEco]]/9550</f>
        <v>208.57529650603698</v>
      </c>
      <c r="J2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219.64285714285714</v>
      </c>
      <c r="K2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motorTorque="771" fuelUsageRatio="219.6"/&gt;</v>
      </c>
      <c r="L21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normRpm="0.826" torque="0.912"/&gt;</v>
      </c>
      <c r="M21" s="3">
        <f>(1-(1-Table15[[#This Row],[rpm]]/Table36[idleRpm])^2)*Table7[idleT]</f>
        <v>-639.69140625</v>
      </c>
      <c r="N21" s="3">
        <f>MAX(0,(1-Table7[f1]*(Table36[maxTRpm1]-Table15[[#This Row],[rpm]])^2)*Table36[maxT])</f>
        <v>803.61224489795916</v>
      </c>
      <c r="O21" s="3">
        <f>MAX(0,(Table36[linearDown]*(1-Table7[f2]*(Table15[[#This Row],[rpm]]-Table36[maxTRpm]))+(1-Table36[linearDown])*(1-Table7[f3]*(Table15[[#This Row],[rpm]]-Table36[maxTRpm])^2))*Table36[maxT])</f>
        <v>770.85684273709478</v>
      </c>
      <c r="P21" s="3">
        <f>MAX(0,(Table36[maxPS]-Table7[f4]*(Table15[[#This Row],[rpm]]-Table36[maxPRpm])^2)/1.36*9550/MAX(1,Table15[[#This Row],[rpm]]))</f>
        <v>787.20975232198134</v>
      </c>
      <c r="Q21" s="3">
        <f>MAX(0,Table7[Nm2]*MIN(Table36[ratedRpm]/MAX(1,Table15[[#This Row],[rpm]]),1-(MAX(0,Table15[[#This Row],[rpm]]-Table36[ratedRpm])/Table36[fadeOut])^Table36[fadeOutExp]))</f>
        <v>679.8629679144384</v>
      </c>
      <c r="R21" s="3">
        <f>(1-(1-Table15[[#This Row],[rpm]]/Table36[idleRpm])^2)*Table7[idleTEco]</f>
        <v>-639.69140625</v>
      </c>
      <c r="S21" s="3">
        <f>MAX(0,(1-Table7[f1]*(Table36[maxTRpm1]-Table15[[#This Row],[rpm]])^2)*Table36[maxTEco])</f>
        <v>803.61224489795916</v>
      </c>
      <c r="T21" s="3">
        <f>MAX(0,(Table36[linearDown]*(1-Table7[f2Eco]*(Table15[[#This Row],[rpm]]-Table36[maxTRpm]))+(1-Table36[linearDown])*(1-Table7[f3Eco]*(Table15[[#This Row],[rpm]]-Table36[maxTRpm])^2))*Table36[maxTEco])</f>
        <v>770.85684273709478</v>
      </c>
      <c r="U21" s="3">
        <f>MAX(0,(Table36[maxPSEco]-Table7[f4Eco]*(Table15[[#This Row],[rpm]]-Table36[maxPRpm])^2)/1.36*9550/MAX(1,Table15[[#This Row],[rpm]]))</f>
        <v>787.20975232198134</v>
      </c>
      <c r="V21" s="3">
        <f>MAX(0,Table7[Nm2Eco]*MIN(Table36[ratedRpm]/MAX(1,Table15[[#This Row],[rpm]]),1-(MAX(0,Table15[[#This Row],[rpm]]-Table36[ratedRpm])/Table36[fadeOut])^Table36[fadeOutExp]))</f>
        <v>679.8629679144384</v>
      </c>
      <c r="W2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785.06281663383049</v>
      </c>
      <c r="X2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785.06281663383049</v>
      </c>
      <c r="Y21" s="3">
        <f>ABS(Table15[[#This Row],[motor]]-Table15[[#This Row],[motorEco]])</f>
        <v>0</v>
      </c>
    </row>
    <row r="22" spans="1:25" x14ac:dyDescent="0.25">
      <c r="A22" s="3">
        <v>1950</v>
      </c>
      <c r="B2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757.79753662828762</v>
      </c>
      <c r="C22" s="13"/>
      <c r="D2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757.79753662828762</v>
      </c>
      <c r="E22" s="13"/>
      <c r="F22" s="3">
        <f>Table36[Factor]*IF(Table15[[#This Row],[manualData]]&gt;0,Table15[[#This Row],[manualData]],Table15[[#This Row],[rawData]])</f>
        <v>757.79753662828762</v>
      </c>
      <c r="G22" s="3">
        <f>Table36[Factor]*IF(Table15[[#This Row],[manDataEco]]&gt;0,Table15[[#This Row],[manDataEco]],Table15[[#This Row],[rawDataEco]])</f>
        <v>757.79753662828762</v>
      </c>
      <c r="H22" s="18">
        <f>1.36*Table15[[#This Row],[rpm]]*Table15[[#This Row],[motor]]/9550</f>
        <v>210.43759865321664</v>
      </c>
      <c r="I22" s="18">
        <f>1.36*Table15[[#This Row],[rpm]]*Table15[[#This Row],[motorEco]]/9550</f>
        <v>210.43759865321664</v>
      </c>
      <c r="J2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221.51124338624336</v>
      </c>
      <c r="K2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motorTorque="758" fuelUsageRatio="221.5"/&gt;</v>
      </c>
      <c r="L22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normRpm="0.848" torque="0.897"/&gt;</v>
      </c>
      <c r="M22" s="3">
        <f>(1-(1-Table15[[#This Row],[rpm]]/Table36[idleRpm])^2)*Table7[idleT]</f>
        <v>-765.9462890625</v>
      </c>
      <c r="N22" s="3">
        <f>MAX(0,(1-Table7[f1]*(Table36[maxTRpm1]-Table15[[#This Row],[rpm]])^2)*Table36[maxT])</f>
        <v>792.61862244897952</v>
      </c>
      <c r="O22" s="3">
        <f>MAX(0,(Table36[linearDown]*(1-Table7[f2]*(Table15[[#This Row],[rpm]]-Table36[maxTRpm]))+(1-Table36[linearDown])*(1-Table7[f3]*(Table15[[#This Row],[rpm]]-Table36[maxTRpm])^2))*Table36[maxT])</f>
        <v>757.79753662828762</v>
      </c>
      <c r="P22" s="3">
        <f>MAX(0,(Table36[maxPS]-Table7[f4]*(Table15[[#This Row],[rpm]]-Table36[maxPRpm])^2)/1.36*9550/MAX(1,Table15[[#This Row],[rpm]]))</f>
        <v>767.02488687782795</v>
      </c>
      <c r="Q22" s="3">
        <f>MAX(0,Table7[Nm2]*MIN(Table36[ratedRpm]/MAX(1,Table15[[#This Row],[rpm]]),1-(MAX(0,Table15[[#This Row],[rpm]]-Table36[ratedRpm])/Table36[fadeOut])^Table36[fadeOutExp]))</f>
        <v>679.8629679144384</v>
      </c>
      <c r="R22" s="3">
        <f>(1-(1-Table15[[#This Row],[rpm]]/Table36[idleRpm])^2)*Table7[idleTEco]</f>
        <v>-765.9462890625</v>
      </c>
      <c r="S22" s="3">
        <f>MAX(0,(1-Table7[f1]*(Table36[maxTRpm1]-Table15[[#This Row],[rpm]])^2)*Table36[maxTEco])</f>
        <v>792.61862244897952</v>
      </c>
      <c r="T22" s="3">
        <f>MAX(0,(Table36[linearDown]*(1-Table7[f2Eco]*(Table15[[#This Row],[rpm]]-Table36[maxTRpm]))+(1-Table36[linearDown])*(1-Table7[f3Eco]*(Table15[[#This Row],[rpm]]-Table36[maxTRpm])^2))*Table36[maxTEco])</f>
        <v>757.79753662828762</v>
      </c>
      <c r="U22" s="3">
        <f>MAX(0,(Table36[maxPSEco]-Table7[f4Eco]*(Table15[[#This Row],[rpm]]-Table36[maxPRpm])^2)/1.36*9550/MAX(1,Table15[[#This Row],[rpm]]))</f>
        <v>767.02488687782795</v>
      </c>
      <c r="V22" s="3">
        <f>MAX(0,Table7[Nm2Eco]*MIN(Table36[ratedRpm]/MAX(1,Table15[[#This Row],[rpm]]),1-(MAX(0,Table15[[#This Row],[rpm]]-Table36[ratedRpm])/Table36[fadeOut])^Table36[fadeOutExp]))</f>
        <v>679.8629679144384</v>
      </c>
      <c r="W2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765.28164849856023</v>
      </c>
      <c r="X2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765.28164849856023</v>
      </c>
      <c r="Y22" s="3">
        <f>ABS(Table15[[#This Row],[motor]]-Table15[[#This Row],[motorEco]])</f>
        <v>0</v>
      </c>
    </row>
    <row r="23" spans="1:25" x14ac:dyDescent="0.25">
      <c r="A23" s="3">
        <v>2000</v>
      </c>
      <c r="B2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743.89569464149292</v>
      </c>
      <c r="C23" s="13"/>
      <c r="D2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743.89569464149292</v>
      </c>
      <c r="E23" s="13"/>
      <c r="F23" s="3">
        <f>Table36[Factor]*IF(Table15[[#This Row],[manualData]]&gt;0,Table15[[#This Row],[manualData]],Table15[[#This Row],[rawData]])</f>
        <v>743.89569464149292</v>
      </c>
      <c r="G23" s="3">
        <f>Table36[Factor]*IF(Table15[[#This Row],[manDataEco]]&gt;0,Table15[[#This Row],[manDataEco]],Table15[[#This Row],[rawDataEco]])</f>
        <v>743.89569464149292</v>
      </c>
      <c r="H23" s="18">
        <f>1.36*Table15[[#This Row],[rpm]]*Table15[[#This Row],[motor]]/9550</f>
        <v>211.87395700783884</v>
      </c>
      <c r="I23" s="18">
        <f>1.36*Table15[[#This Row],[rpm]]*Table15[[#This Row],[motorEco]]/9550</f>
        <v>211.87395700783884</v>
      </c>
      <c r="J2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223.54497354497354</v>
      </c>
      <c r="K23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motorTorque="744" fuelUsageRatio="223.5"/&gt;</v>
      </c>
      <c r="L23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normRpm="0.87" torque="0.88"/&gt;</v>
      </c>
      <c r="M23" s="3">
        <f>(1-(1-Table15[[#This Row],[rpm]]/Table36[idleRpm])^2)*Table7[idleT]</f>
        <v>-897.8125</v>
      </c>
      <c r="N23" s="3">
        <f>MAX(0,(1-Table7[f1]*(Table36[maxTRpm1]-Table15[[#This Row],[rpm]])^2)*Table36[maxT])</f>
        <v>780.33163265306121</v>
      </c>
      <c r="O23" s="3">
        <f>MAX(0,(Table36[linearDown]*(1-Table7[f2]*(Table15[[#This Row],[rpm]]-Table36[maxTRpm]))+(1-Table36[linearDown])*(1-Table7[f3]*(Table15[[#This Row],[rpm]]-Table36[maxTRpm])^2))*Table36[maxT])</f>
        <v>743.89569464149292</v>
      </c>
      <c r="P23" s="3">
        <f>MAX(0,(Table36[maxPS]-Table7[f4]*(Table15[[#This Row],[rpm]]-Table36[maxPRpm])^2)/1.36*9550/MAX(1,Table15[[#This Row],[rpm]]))</f>
        <v>747.84926470588232</v>
      </c>
      <c r="Q23" s="3">
        <f>MAX(0,Table7[Nm2]*MIN(Table36[ratedRpm]/MAX(1,Table15[[#This Row],[rpm]]),1-(MAX(0,Table15[[#This Row],[rpm]]-Table36[ratedRpm])/Table36[fadeOut])^Table36[fadeOutExp]))</f>
        <v>679.8629679144384</v>
      </c>
      <c r="R23" s="3">
        <f>(1-(1-Table15[[#This Row],[rpm]]/Table36[idleRpm])^2)*Table7[idleTEco]</f>
        <v>-897.8125</v>
      </c>
      <c r="S23" s="3">
        <f>MAX(0,(1-Table7[f1]*(Table36[maxTRpm1]-Table15[[#This Row],[rpm]])^2)*Table36[maxTEco])</f>
        <v>780.33163265306121</v>
      </c>
      <c r="T23" s="3">
        <f>MAX(0,(Table36[linearDown]*(1-Table7[f2Eco]*(Table15[[#This Row],[rpm]]-Table36[maxTRpm]))+(1-Table36[linearDown])*(1-Table7[f3Eco]*(Table15[[#This Row],[rpm]]-Table36[maxTRpm])^2))*Table36[maxTEco])</f>
        <v>743.89569464149292</v>
      </c>
      <c r="U23" s="3">
        <f>MAX(0,(Table36[maxPSEco]-Table7[f4Eco]*(Table15[[#This Row],[rpm]]-Table36[maxPRpm])^2)/1.36*9550/MAX(1,Table15[[#This Row],[rpm]]))</f>
        <v>747.84926470588232</v>
      </c>
      <c r="V23" s="3">
        <f>MAX(0,Table7[Nm2Eco]*MIN(Table36[ratedRpm]/MAX(1,Table15[[#This Row],[rpm]]),1-(MAX(0,Table15[[#This Row],[rpm]]-Table36[ratedRpm])/Table36[fadeOut])^Table36[fadeOutExp]))</f>
        <v>679.8629679144384</v>
      </c>
      <c r="W2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746.4895387700534</v>
      </c>
      <c r="X2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746.4895387700534</v>
      </c>
      <c r="Y23" s="3">
        <f>ABS(Table15[[#This Row],[motor]]-Table15[[#This Row],[motorEco]])</f>
        <v>0</v>
      </c>
    </row>
    <row r="24" spans="1:25" x14ac:dyDescent="0.25">
      <c r="A24" s="3">
        <v>2050</v>
      </c>
      <c r="B2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728.61411732098588</v>
      </c>
      <c r="C24" s="13"/>
      <c r="D2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728.61411732098588</v>
      </c>
      <c r="E24" s="13"/>
      <c r="F24" s="3">
        <f>Table36[Factor]*IF(Table15[[#This Row],[manualData]]&gt;0,Table15[[#This Row],[manualData]],Table15[[#This Row],[rawData]])</f>
        <v>728.61411732098588</v>
      </c>
      <c r="G24" s="3">
        <f>Table36[Factor]*IF(Table15[[#This Row],[manDataEco]]&gt;0,Table15[[#This Row],[manDataEco]],Table15[[#This Row],[rawDataEco]])</f>
        <v>728.61411732098588</v>
      </c>
      <c r="H24" s="18">
        <f>1.36*Table15[[#This Row],[rpm]]*Table15[[#This Row],[motor]]/9550</f>
        <v>212.70954545454541</v>
      </c>
      <c r="I24" s="18">
        <f>1.36*Table15[[#This Row],[rpm]]*Table15[[#This Row],[motorEco]]/9550</f>
        <v>212.70954545454541</v>
      </c>
      <c r="J2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225.74404761904759</v>
      </c>
      <c r="K2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motorTorque="729" fuelUsageRatio="225.7"/&gt;</v>
      </c>
      <c r="L24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normRpm="0.891" torque="0.862"/&gt;</v>
      </c>
      <c r="M24" s="3">
        <f>(1-(1-Table15[[#This Row],[rpm]]/Table36[idleRpm])^2)*Table7[idleT]</f>
        <v>-1035.2900390625</v>
      </c>
      <c r="N24" s="3">
        <f>MAX(0,(1-Table7[f1]*(Table36[maxTRpm1]-Table15[[#This Row],[rpm]])^2)*Table36[maxT])</f>
        <v>766.7512755102041</v>
      </c>
      <c r="O24" s="3">
        <f>MAX(0,(Table36[linearDown]*(1-Table7[f2]*(Table15[[#This Row],[rpm]]-Table36[maxTRpm]))+(1-Table36[linearDown])*(1-Table7[f3]*(Table15[[#This Row],[rpm]]-Table36[maxTRpm])^2))*Table36[maxT])</f>
        <v>729.15131677671059</v>
      </c>
      <c r="P24" s="3">
        <f>MAX(0,(Table36[maxPS]-Table7[f4]*(Table15[[#This Row],[rpm]]-Table36[maxPRpm])^2)/1.36*9550/MAX(1,Table15[[#This Row],[rpm]]))</f>
        <v>729.6090387374461</v>
      </c>
      <c r="Q24" s="3">
        <f>MAX(0,Table7[Nm2]*MIN(Table36[ratedRpm]/MAX(1,Table15[[#This Row],[rpm]]),1-(MAX(0,Table15[[#This Row],[rpm]]-Table36[ratedRpm])/Table36[fadeOut])^Table36[fadeOutExp]))</f>
        <v>679.8629679144384</v>
      </c>
      <c r="R24" s="3">
        <f>(1-(1-Table15[[#This Row],[rpm]]/Table36[idleRpm])^2)*Table7[idleTEco]</f>
        <v>-1035.2900390625</v>
      </c>
      <c r="S24" s="3">
        <f>MAX(0,(1-Table7[f1]*(Table36[maxTRpm1]-Table15[[#This Row],[rpm]])^2)*Table36[maxTEco])</f>
        <v>766.7512755102041</v>
      </c>
      <c r="T24" s="3">
        <f>MAX(0,(Table36[linearDown]*(1-Table7[f2Eco]*(Table15[[#This Row],[rpm]]-Table36[maxTRpm]))+(1-Table36[linearDown])*(1-Table7[f3Eco]*(Table15[[#This Row],[rpm]]-Table36[maxTRpm])^2))*Table36[maxTEco])</f>
        <v>729.15131677671059</v>
      </c>
      <c r="U24" s="3">
        <f>MAX(0,(Table36[maxPSEco]-Table7[f4Eco]*(Table15[[#This Row],[rpm]]-Table36[maxPRpm])^2)/1.36*9550/MAX(1,Table15[[#This Row],[rpm]]))</f>
        <v>729.6090387374461</v>
      </c>
      <c r="V24" s="3">
        <f>MAX(0,Table7[Nm2Eco]*MIN(Table36[ratedRpm]/MAX(1,Table15[[#This Row],[rpm]]),1-(MAX(0,Table15[[#This Row],[rpm]]-Table36[ratedRpm])/Table36[fadeOut])^Table36[fadeOutExp]))</f>
        <v>679.8629679144384</v>
      </c>
      <c r="W2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728.61411732098588</v>
      </c>
      <c r="X2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728.61411732098588</v>
      </c>
      <c r="Y24" s="3">
        <f>ABS(Table15[[#This Row],[motor]]-Table15[[#This Row],[motorEco]])</f>
        <v>0</v>
      </c>
    </row>
    <row r="25" spans="1:25" x14ac:dyDescent="0.25">
      <c r="A25" s="3">
        <v>2100</v>
      </c>
      <c r="B2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711.58990641711227</v>
      </c>
      <c r="C25" s="13"/>
      <c r="D2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711.58990641711227</v>
      </c>
      <c r="E25" s="13"/>
      <c r="F25" s="3">
        <f>Table36[Factor]*IF(Table15[[#This Row],[manualData]]&gt;0,Table15[[#This Row],[manualData]],Table15[[#This Row],[rawData]])</f>
        <v>711.58990641711227</v>
      </c>
      <c r="G25" s="3">
        <f>Table36[Factor]*IF(Table15[[#This Row],[manDataEco]]&gt;0,Table15[[#This Row],[manDataEco]],Table15[[#This Row],[rawDataEco]])</f>
        <v>711.58990641711227</v>
      </c>
      <c r="H25" s="18">
        <f>1.36*Table15[[#This Row],[rpm]]*Table15[[#This Row],[motor]]/9550</f>
        <v>212.80636363636364</v>
      </c>
      <c r="I25" s="18">
        <f>1.36*Table15[[#This Row],[rpm]]*Table15[[#This Row],[motorEco]]/9550</f>
        <v>212.80636363636364</v>
      </c>
      <c r="J2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228.10846560846559</v>
      </c>
      <c r="K2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motorTorque="712" fuelUsageRatio="228.1"/&gt;</v>
      </c>
      <c r="L25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normRpm="0.913" torque="0.842"/&gt;</v>
      </c>
      <c r="M25" s="3">
        <f>(1-(1-Table15[[#This Row],[rpm]]/Table36[idleRpm])^2)*Table7[idleT]</f>
        <v>-1178.37890625</v>
      </c>
      <c r="N25" s="3">
        <f>MAX(0,(1-Table7[f1]*(Table36[maxTRpm1]-Table15[[#This Row],[rpm]])^2)*Table36[maxT])</f>
        <v>751.87755102040819</v>
      </c>
      <c r="O25" s="3">
        <f>MAX(0,(Table36[linearDown]*(1-Table7[f2]*(Table15[[#This Row],[rpm]]-Table36[maxTRpm]))+(1-Table36[linearDown])*(1-Table7[f3]*(Table15[[#This Row],[rpm]]-Table36[maxTRpm])^2))*Table36[maxT])</f>
        <v>713.56440303394072</v>
      </c>
      <c r="P25" s="3">
        <f>MAX(0,(Table36[maxPS]-Table7[f4]*(Table15[[#This Row],[rpm]]-Table36[maxPRpm])^2)/1.36*9550/MAX(1,Table15[[#This Row],[rpm]]))</f>
        <v>712.23739495798316</v>
      </c>
      <c r="Q25" s="3">
        <f>MAX(0,Table7[Nm2]*MIN(Table36[ratedRpm]/MAX(1,Table15[[#This Row],[rpm]]),1-(MAX(0,Table15[[#This Row],[rpm]]-Table36[ratedRpm])/Table36[fadeOut])^Table36[fadeOutExp]))</f>
        <v>679.8629679144384</v>
      </c>
      <c r="R25" s="3">
        <f>(1-(1-Table15[[#This Row],[rpm]]/Table36[idleRpm])^2)*Table7[idleTEco]</f>
        <v>-1178.37890625</v>
      </c>
      <c r="S25" s="3">
        <f>MAX(0,(1-Table7[f1]*(Table36[maxTRpm1]-Table15[[#This Row],[rpm]])^2)*Table36[maxTEco])</f>
        <v>751.87755102040819</v>
      </c>
      <c r="T25" s="3">
        <f>MAX(0,(Table36[linearDown]*(1-Table7[f2Eco]*(Table15[[#This Row],[rpm]]-Table36[maxTRpm]))+(1-Table36[linearDown])*(1-Table7[f3Eco]*(Table15[[#This Row],[rpm]]-Table36[maxTRpm])^2))*Table36[maxTEco])</f>
        <v>713.56440303394072</v>
      </c>
      <c r="U25" s="3">
        <f>MAX(0,(Table36[maxPSEco]-Table7[f4Eco]*(Table15[[#This Row],[rpm]]-Table36[maxPRpm])^2)/1.36*9550/MAX(1,Table15[[#This Row],[rpm]]))</f>
        <v>712.23739495798316</v>
      </c>
      <c r="V25" s="3">
        <f>MAX(0,Table7[Nm2Eco]*MIN(Table36[ratedRpm]/MAX(1,Table15[[#This Row],[rpm]]),1-(MAX(0,Table15[[#This Row],[rpm]]-Table36[ratedRpm])/Table36[fadeOut])^Table36[fadeOutExp]))</f>
        <v>679.8629679144384</v>
      </c>
      <c r="W2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711.58990641711227</v>
      </c>
      <c r="X2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711.58990641711227</v>
      </c>
      <c r="Y25" s="3">
        <f>ABS(Table15[[#This Row],[motor]]-Table15[[#This Row],[motorEco]])</f>
        <v>0</v>
      </c>
    </row>
    <row r="26" spans="1:25" x14ac:dyDescent="0.25">
      <c r="A26" s="3">
        <v>2150</v>
      </c>
      <c r="B2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695.35751927620925</v>
      </c>
      <c r="C26" s="13"/>
      <c r="D2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695.35751927620925</v>
      </c>
      <c r="E26" s="13"/>
      <c r="F26" s="3">
        <f>Table36[Factor]*IF(Table15[[#This Row],[manualData]]&gt;0,Table15[[#This Row],[manualData]],Table15[[#This Row],[rawData]])</f>
        <v>695.35751927620925</v>
      </c>
      <c r="G26" s="3">
        <f>Table36[Factor]*IF(Table15[[#This Row],[manDataEco]]&gt;0,Table15[[#This Row],[manDataEco]],Table15[[#This Row],[rawDataEco]])</f>
        <v>695.35751927620925</v>
      </c>
      <c r="H26" s="18">
        <f>1.36*Table15[[#This Row],[rpm]]*Table15[[#This Row],[motor]]/9550</f>
        <v>212.90318181818176</v>
      </c>
      <c r="I26" s="18">
        <f>1.36*Table15[[#This Row],[rpm]]*Table15[[#This Row],[motorEco]]/9550</f>
        <v>212.90318181818176</v>
      </c>
      <c r="J2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230.63822751322749</v>
      </c>
      <c r="K2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motorTorque="695" fuelUsageRatio="230.6"/&gt;</v>
      </c>
      <c r="L26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normRpm="0.935" torque="0.823"/&gt;</v>
      </c>
      <c r="M26" s="3">
        <f>(1-(1-Table15[[#This Row],[rpm]]/Table36[idleRpm])^2)*Table7[idleT]</f>
        <v>-1327.0791015625</v>
      </c>
      <c r="N26" s="3">
        <f>MAX(0,(1-Table7[f1]*(Table36[maxTRpm1]-Table15[[#This Row],[rpm]])^2)*Table36[maxT])</f>
        <v>735.71045918367338</v>
      </c>
      <c r="O26" s="3">
        <f>MAX(0,(Table36[linearDown]*(1-Table7[f2]*(Table15[[#This Row],[rpm]]-Table36[maxTRpm]))+(1-Table36[linearDown])*(1-Table7[f3]*(Table15[[#This Row],[rpm]]-Table36[maxTRpm])^2))*Table36[maxT])</f>
        <v>697.13495341318333</v>
      </c>
      <c r="P26" s="3">
        <f>MAX(0,(Table36[maxPS]-Table7[f4]*(Table15[[#This Row],[rpm]]-Table36[maxPRpm])^2)/1.36*9550/MAX(1,Table15[[#This Row],[rpm]]))</f>
        <v>695.67373461012301</v>
      </c>
      <c r="Q26" s="3">
        <f>MAX(0,Table7[Nm2]*MIN(Table36[ratedRpm]/MAX(1,Table15[[#This Row],[rpm]]),1-(MAX(0,Table15[[#This Row],[rpm]]-Table36[ratedRpm])/Table36[fadeOut])^Table36[fadeOutExp]))</f>
        <v>679.8629679144384</v>
      </c>
      <c r="R26" s="3">
        <f>(1-(1-Table15[[#This Row],[rpm]]/Table36[idleRpm])^2)*Table7[idleTEco]</f>
        <v>-1327.0791015625</v>
      </c>
      <c r="S26" s="3">
        <f>MAX(0,(1-Table7[f1]*(Table36[maxTRpm1]-Table15[[#This Row],[rpm]])^2)*Table36[maxTEco])</f>
        <v>735.71045918367338</v>
      </c>
      <c r="T26" s="3">
        <f>MAX(0,(Table36[linearDown]*(1-Table7[f2Eco]*(Table15[[#This Row],[rpm]]-Table36[maxTRpm]))+(1-Table36[linearDown])*(1-Table7[f3Eco]*(Table15[[#This Row],[rpm]]-Table36[maxTRpm])^2))*Table36[maxTEco])</f>
        <v>697.13495341318333</v>
      </c>
      <c r="U26" s="3">
        <f>MAX(0,(Table36[maxPSEco]-Table7[f4Eco]*(Table15[[#This Row],[rpm]]-Table36[maxPRpm])^2)/1.36*9550/MAX(1,Table15[[#This Row],[rpm]]))</f>
        <v>695.67373461012301</v>
      </c>
      <c r="V26" s="3">
        <f>MAX(0,Table7[Nm2Eco]*MIN(Table36[ratedRpm]/MAX(1,Table15[[#This Row],[rpm]]),1-(MAX(0,Table15[[#This Row],[rpm]]-Table36[ratedRpm])/Table36[fadeOut])^Table36[fadeOutExp]))</f>
        <v>679.8629679144384</v>
      </c>
      <c r="W2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695.35751927620925</v>
      </c>
      <c r="X2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695.35751927620925</v>
      </c>
      <c r="Y26" s="3">
        <f>ABS(Table15[[#This Row],[motor]]-Table15[[#This Row],[motorEco]])</f>
        <v>0</v>
      </c>
    </row>
    <row r="27" spans="1:25" x14ac:dyDescent="0.25">
      <c r="A27" s="3">
        <v>2200</v>
      </c>
      <c r="B2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679.8629679144384</v>
      </c>
      <c r="C27" s="13"/>
      <c r="D2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679.8629679144384</v>
      </c>
      <c r="E27" s="13"/>
      <c r="F27" s="3">
        <f>Table36[Factor]*IF(Table15[[#This Row],[manualData]]&gt;0,Table15[[#This Row],[manualData]],Table15[[#This Row],[rawData]])</f>
        <v>679.8629679144384</v>
      </c>
      <c r="G27" s="3">
        <f>Table36[Factor]*IF(Table15[[#This Row],[manDataEco]]&gt;0,Table15[[#This Row],[manDataEco]],Table15[[#This Row],[rawDataEco]])</f>
        <v>679.8629679144384</v>
      </c>
      <c r="H27" s="3">
        <f>1.36*Table15[[#This Row],[rpm]]*Table15[[#This Row],[motor]]/9550</f>
        <v>212.99999999999997</v>
      </c>
      <c r="I27" s="3">
        <f>1.36*Table15[[#This Row],[rpm]]*Table15[[#This Row],[motorEco]]/9550</f>
        <v>212.99999999999997</v>
      </c>
      <c r="J2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233.33333333333331</v>
      </c>
      <c r="K2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motorTorque="680" fuelUsageRatio="233.3"/&gt;</v>
      </c>
      <c r="L27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normRpm="0.957" torque="0.805"/&gt;</v>
      </c>
      <c r="M27" s="3">
        <f>(1-(1-Table15[[#This Row],[rpm]]/Table36[idleRpm])^2)*Table7[idleT]</f>
        <v>-1481.390625</v>
      </c>
      <c r="N27" s="3">
        <f>MAX(0,(1-Table7[f1]*(Table36[maxTRpm1]-Table15[[#This Row],[rpm]])^2)*Table36[maxT])</f>
        <v>718.25</v>
      </c>
      <c r="O27" s="3">
        <f>MAX(0,(Table36[linearDown]*(1-Table7[f2]*(Table15[[#This Row],[rpm]]-Table36[maxTRpm]))+(1-Table36[linearDown])*(1-Table7[f3]*(Table15[[#This Row],[rpm]]-Table36[maxTRpm])^2))*Table36[maxT])</f>
        <v>679.8629679144384</v>
      </c>
      <c r="P27" s="3">
        <f>MAX(0,(Table36[maxPS]-Table7[f4]*(Table15[[#This Row],[rpm]]-Table36[maxPRpm])^2)/1.36*9550/MAX(1,Table15[[#This Row],[rpm]]))</f>
        <v>679.8629679144384</v>
      </c>
      <c r="Q27" s="3">
        <f>MAX(0,Table7[Nm2]*MIN(Table36[ratedRpm]/MAX(1,Table15[[#This Row],[rpm]]),1-(MAX(0,Table15[[#This Row],[rpm]]-Table36[ratedRpm])/Table36[fadeOut])^Table36[fadeOutExp]))</f>
        <v>679.8629679144384</v>
      </c>
      <c r="R27" s="3">
        <f>(1-(1-Table15[[#This Row],[rpm]]/Table36[idleRpm])^2)*Table7[idleTEco]</f>
        <v>-1481.390625</v>
      </c>
      <c r="S27" s="3">
        <f>MAX(0,(1-Table7[f1]*(Table36[maxTRpm1]-Table15[[#This Row],[rpm]])^2)*Table36[maxTEco])</f>
        <v>718.25</v>
      </c>
      <c r="T27" s="3">
        <f>MAX(0,(Table36[linearDown]*(1-Table7[f2Eco]*(Table15[[#This Row],[rpm]]-Table36[maxTRpm]))+(1-Table36[linearDown])*(1-Table7[f3Eco]*(Table15[[#This Row],[rpm]]-Table36[maxTRpm])^2))*Table36[maxTEco])</f>
        <v>679.8629679144384</v>
      </c>
      <c r="U27" s="3">
        <f>MAX(0,(Table36[maxPSEco]-Table7[f4Eco]*(Table15[[#This Row],[rpm]]-Table36[maxPRpm])^2)/1.36*9550/MAX(1,Table15[[#This Row],[rpm]]))</f>
        <v>679.8629679144384</v>
      </c>
      <c r="V27" s="3">
        <f>MAX(0,Table7[Nm2Eco]*MIN(Table36[ratedRpm]/MAX(1,Table15[[#This Row],[rpm]]),1-(MAX(0,Table15[[#This Row],[rpm]]-Table36[ratedRpm])/Table36[fadeOut])^Table36[fadeOutExp]))</f>
        <v>679.8629679144384</v>
      </c>
      <c r="W2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679.8629679144384</v>
      </c>
      <c r="X2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679.8629679144384</v>
      </c>
      <c r="Y27" s="3">
        <f>ABS(Table15[[#This Row],[motor]]-Table15[[#This Row],[motorEco]])</f>
        <v>0</v>
      </c>
    </row>
    <row r="28" spans="1:25" x14ac:dyDescent="0.25">
      <c r="A28" s="3">
        <v>2250</v>
      </c>
      <c r="B2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618.3246522991667</v>
      </c>
      <c r="C28" s="13"/>
      <c r="D2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618.3246522991667</v>
      </c>
      <c r="E28" s="13"/>
      <c r="F28" s="3">
        <f>Table36[Factor]*IF(Table15[[#This Row],[manualData]]&gt;0,Table15[[#This Row],[manualData]],Table15[[#This Row],[rawData]])</f>
        <v>618.3246522991667</v>
      </c>
      <c r="G28" s="3">
        <f>Table36[Factor]*IF(Table15[[#This Row],[manDataEco]]&gt;0,Table15[[#This Row],[manDataEco]],Table15[[#This Row],[rawDataEco]])</f>
        <v>618.3246522991667</v>
      </c>
      <c r="H28" s="3">
        <f>1.36*Table15[[#This Row],[rpm]]*Table15[[#This Row],[motor]]/9550</f>
        <v>198.12287288329321</v>
      </c>
      <c r="I28" s="3">
        <f>1.36*Table15[[#This Row],[rpm]]*Table15[[#This Row],[motorEco]]/9550</f>
        <v>198.12287288329321</v>
      </c>
      <c r="J2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262.38647582763696</v>
      </c>
      <c r="K2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motorTorque="618" fuelUsageRatio="262.4"/&gt;</v>
      </c>
      <c r="L28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normRpm="0.978" torque="0.732"/&gt;</v>
      </c>
      <c r="M28" s="3">
        <f>(1-(1-Table15[[#This Row],[rpm]]/Table36[idleRpm])^2)*Table7[idleT]</f>
        <v>-1641.3134765625</v>
      </c>
      <c r="N28" s="3">
        <f>MAX(0,(1-Table7[f1]*(Table36[maxTRpm1]-Table15[[#This Row],[rpm]])^2)*Table36[maxT])</f>
        <v>699.49617346938771</v>
      </c>
      <c r="O28" s="3">
        <f>MAX(0,(Table36[linearDown]*(1-Table7[f2]*(Table15[[#This Row],[rpm]]-Table36[maxTRpm]))+(1-Table36[linearDown])*(1-Table7[f3]*(Table15[[#This Row],[rpm]]-Table36[maxTRpm])^2))*Table36[maxT])</f>
        <v>661.74844653770595</v>
      </c>
      <c r="P28" s="3">
        <f>MAX(0,(Table36[maxPS]-Table7[f4]*(Table15[[#This Row],[rpm]]-Table36[maxPRpm])^2)/1.36*9550/MAX(1,Table15[[#This Row],[rpm]]))</f>
        <v>664.75490196078431</v>
      </c>
      <c r="Q28" s="3">
        <f>MAX(0,Table7[Nm2]*MIN(Table36[ratedRpm]/MAX(1,Table15[[#This Row],[rpm]]),1-(MAX(0,Table15[[#This Row],[rpm]]-Table36[ratedRpm])/Table36[fadeOut])^Table36[fadeOutExp]))</f>
        <v>618.3246522991667</v>
      </c>
      <c r="R28" s="3">
        <f>(1-(1-Table15[[#This Row],[rpm]]/Table36[idleRpm])^2)*Table7[idleTEco]</f>
        <v>-1641.3134765625</v>
      </c>
      <c r="S28" s="3">
        <f>MAX(0,(1-Table7[f1]*(Table36[maxTRpm1]-Table15[[#This Row],[rpm]])^2)*Table36[maxTEco])</f>
        <v>699.49617346938771</v>
      </c>
      <c r="T28" s="3">
        <f>MAX(0,(Table36[linearDown]*(1-Table7[f2Eco]*(Table15[[#This Row],[rpm]]-Table36[maxTRpm]))+(1-Table36[linearDown])*(1-Table7[f3Eco]*(Table15[[#This Row],[rpm]]-Table36[maxTRpm])^2))*Table36[maxTEco])</f>
        <v>661.74844653770595</v>
      </c>
      <c r="U28" s="3">
        <f>MAX(0,(Table36[maxPSEco]-Table7[f4Eco]*(Table15[[#This Row],[rpm]]-Table36[maxPRpm])^2)/1.36*9550/MAX(1,Table15[[#This Row],[rpm]]))</f>
        <v>664.75490196078431</v>
      </c>
      <c r="V28" s="3">
        <f>MAX(0,Table7[Nm2Eco]*MIN(Table36[ratedRpm]/MAX(1,Table15[[#This Row],[rpm]]),1-(MAX(0,Table15[[#This Row],[rpm]]-Table36[ratedRpm])/Table36[fadeOut])^Table36[fadeOutExp]))</f>
        <v>618.3246522991667</v>
      </c>
      <c r="W2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664.75490196078431</v>
      </c>
      <c r="X2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664.75490196078431</v>
      </c>
      <c r="Y28" s="3">
        <f>ABS(Table15[[#This Row],[motor]]-Table15[[#This Row],[motorEco]])</f>
        <v>0</v>
      </c>
    </row>
    <row r="29" spans="1:25" x14ac:dyDescent="0.25">
      <c r="A29" s="3">
        <v>2300</v>
      </c>
      <c r="B2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397.10712024823454</v>
      </c>
      <c r="C29" s="13"/>
      <c r="D2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397.10712024823454</v>
      </c>
      <c r="E29" s="13"/>
      <c r="F29" s="3">
        <f>Table36[Factor]*IF(Table15[[#This Row],[manualData]]&gt;0,Table15[[#This Row],[manualData]],Table15[[#This Row],[rawData]])</f>
        <v>397.10712024823454</v>
      </c>
      <c r="G29" s="3">
        <f>Table36[Factor]*IF(Table15[[#This Row],[manDataEco]]&gt;0,Table15[[#This Row],[manDataEco]],Table15[[#This Row],[rawDataEco]])</f>
        <v>397.10712024823454</v>
      </c>
      <c r="H29" s="3">
        <f>1.36*Table15[[#This Row],[rpm]]*Table15[[#This Row],[motor]]/9550</f>
        <v>130.06817509282487</v>
      </c>
      <c r="I29" s="3">
        <f>1.36*Table15[[#This Row],[rpm]]*Table15[[#This Row],[motorEco]]/9550</f>
        <v>130.06817509282487</v>
      </c>
      <c r="J2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417.63381188233183</v>
      </c>
      <c r="K2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motorTorque="397" fuelUsageRatio="417.6"/&gt;</v>
      </c>
      <c r="L29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normRpm="1" torque="0.47"/&gt;</v>
      </c>
      <c r="M29" s="3">
        <f>(1-(1-Table15[[#This Row],[rpm]]/Table36[idleRpm])^2)*Table7[idleT]</f>
        <v>-1806.84765625</v>
      </c>
      <c r="N29" s="3">
        <f>MAX(0,(1-Table7[f1]*(Table36[maxTRpm1]-Table15[[#This Row],[rpm]])^2)*Table36[maxT])</f>
        <v>679.44897959183675</v>
      </c>
      <c r="O29" s="3">
        <f>MAX(0,(Table36[linearDown]*(1-Table7[f2]*(Table15[[#This Row],[rpm]]-Table36[maxTRpm]))+(1-Table36[linearDown])*(1-Table7[f3]*(Table15[[#This Row],[rpm]]-Table36[maxTRpm])^2))*Table36[maxT])</f>
        <v>642.79138928298585</v>
      </c>
      <c r="P29" s="3">
        <f>MAX(0,(Table36[maxPS]-Table7[f4]*(Table15[[#This Row],[rpm]]-Table36[maxPRpm])^2)/1.36*9550/MAX(1,Table15[[#This Row],[rpm]]))</f>
        <v>650.3037084398976</v>
      </c>
      <c r="Q29" s="3">
        <f>MAX(0,Table7[Nm2]*MIN(Table36[ratedRpm]/MAX(1,Table15[[#This Row],[rpm]]),1-(MAX(0,Table15[[#This Row],[rpm]]-Table36[ratedRpm])/Table36[fadeOut])^Table36[fadeOutExp]))</f>
        <v>397.10712024823454</v>
      </c>
      <c r="R29" s="3">
        <f>(1-(1-Table15[[#This Row],[rpm]]/Table36[idleRpm])^2)*Table7[idleTEco]</f>
        <v>-1806.84765625</v>
      </c>
      <c r="S29" s="3">
        <f>MAX(0,(1-Table7[f1]*(Table36[maxTRpm1]-Table15[[#This Row],[rpm]])^2)*Table36[maxTEco])</f>
        <v>679.44897959183675</v>
      </c>
      <c r="T29" s="3">
        <f>MAX(0,(Table36[linearDown]*(1-Table7[f2Eco]*(Table15[[#This Row],[rpm]]-Table36[maxTRpm]))+(1-Table36[linearDown])*(1-Table7[f3Eco]*(Table15[[#This Row],[rpm]]-Table36[maxTRpm])^2))*Table36[maxTEco])</f>
        <v>642.79138928298585</v>
      </c>
      <c r="U29" s="3">
        <f>MAX(0,(Table36[maxPSEco]-Table7[f4Eco]*(Table15[[#This Row],[rpm]]-Table36[maxPRpm])^2)/1.36*9550/MAX(1,Table15[[#This Row],[rpm]]))</f>
        <v>650.3037084398976</v>
      </c>
      <c r="V29" s="3">
        <f>MAX(0,Table7[Nm2Eco]*MIN(Table36[ratedRpm]/MAX(1,Table15[[#This Row],[rpm]]),1-(MAX(0,Table15[[#This Row],[rpm]]-Table36[ratedRpm])/Table36[fadeOut])^Table36[fadeOutExp]))</f>
        <v>397.10712024823454</v>
      </c>
      <c r="W2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650.3037084398976</v>
      </c>
      <c r="X2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650.3037084398976</v>
      </c>
      <c r="Y29" s="3">
        <f>ABS(Table15[[#This Row],[motor]]-Table15[[#This Row],[motorEco]])</f>
        <v>0</v>
      </c>
    </row>
    <row r="30" spans="1:25" x14ac:dyDescent="0.25">
      <c r="A30" s="3">
        <v>2350</v>
      </c>
      <c r="B3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0" s="13"/>
      <c r="D3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0" s="13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rpm="2350" motorTorque="0" fuelUsageRatio="0"/&gt;</v>
      </c>
      <c r="L30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0" s="3">
        <f>(1-(1-Table15[[#This Row],[rpm]]/Table36[idleRpm])^2)*Table7[idleT]</f>
        <v>-1977.9931640625</v>
      </c>
      <c r="N30" s="3">
        <f>MAX(0,(1-Table7[f1]*(Table36[maxTRpm1]-Table15[[#This Row],[rpm]])^2)*Table36[maxT])</f>
        <v>658.10841836734687</v>
      </c>
      <c r="O30" s="3">
        <f>MAX(0,(Table36[linearDown]*(1-Table7[f2]*(Table15[[#This Row],[rpm]]-Table36[maxTRpm]))+(1-Table36[linearDown])*(1-Table7[f3]*(Table15[[#This Row],[rpm]]-Table36[maxTRpm])^2))*Table36[maxT])</f>
        <v>622.99179615027822</v>
      </c>
      <c r="P30" s="3">
        <f>MAX(0,(Table36[maxPS]-Table7[f4]*(Table15[[#This Row],[rpm]]-Table36[maxPRpm])^2)/1.36*9550/MAX(1,Table15[[#This Row],[rpm]]))</f>
        <v>636.46745932415513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-1977.9931640625</v>
      </c>
      <c r="S30" s="3">
        <f>MAX(0,(1-Table7[f1]*(Table36[maxTRpm1]-Table15[[#This Row],[rpm]])^2)*Table36[maxTEco])</f>
        <v>658.10841836734687</v>
      </c>
      <c r="T30" s="3">
        <f>MAX(0,(Table36[linearDown]*(1-Table7[f2Eco]*(Table15[[#This Row],[rpm]]-Table36[maxTRpm]))+(1-Table36[linearDown])*(1-Table7[f3Eco]*(Table15[[#This Row],[rpm]]-Table36[maxTRpm])^2))*Table36[maxTEco])</f>
        <v>622.99179615027822</v>
      </c>
      <c r="U30" s="3">
        <f>MAX(0,(Table36[maxPSEco]-Table7[f4Eco]*(Table15[[#This Row],[rpm]]-Table36[maxPRpm])^2)/1.36*9550/MAX(1,Table15[[#This Row],[rpm]]))</f>
        <v>636.46745932415513</v>
      </c>
      <c r="V30" s="3">
        <f>MAX(0,Table7[Nm2Eco]*MIN(Table36[ratedRpm]/MAX(1,Table15[[#This Row],[rpm]]),1-(MAX(0,Table15[[#This Row],[rpm]]-Table36[ratedRpm])/Table36[fadeOut])^Table36[fadeOutExp]))</f>
        <v>0</v>
      </c>
      <c r="W3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636.46745932415513</v>
      </c>
      <c r="X3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636.46745932415513</v>
      </c>
      <c r="Y30" s="3">
        <f>ABS(Table15[[#This Row],[motor]]-Table15[[#This Row],[motorEco]])</f>
        <v>0</v>
      </c>
    </row>
    <row r="31" spans="1:25" x14ac:dyDescent="0.25">
      <c r="A31" s="3">
        <v>2400</v>
      </c>
      <c r="B3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13"/>
      <c r="D3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13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rpm="2400" motorTorque="0" fuelUsageRatio="0"/&gt;</v>
      </c>
      <c r="L31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1" s="3">
        <f>(1-(1-Table15[[#This Row],[rpm]]/Table36[idleRpm])^2)*Table7[idleT]</f>
        <v>-2154.75</v>
      </c>
      <c r="N31" s="3">
        <f>MAX(0,(1-Table7[f1]*(Table36[maxTRpm1]-Table15[[#This Row],[rpm]])^2)*Table36[maxT])</f>
        <v>635.47448979591843</v>
      </c>
      <c r="O31" s="3">
        <f>MAX(0,(Table36[linearDown]*(1-Table7[f2]*(Table15[[#This Row],[rpm]]-Table36[maxTRpm]))+(1-Table36[linearDown])*(1-Table7[f3]*(Table15[[#This Row],[rpm]]-Table36[maxTRpm])^2))*Table36[maxT])</f>
        <v>602.34966713958295</v>
      </c>
      <c r="P31" s="3">
        <f>MAX(0,(Table36[maxPS]-Table7[f4]*(Table15[[#This Row],[rpm]]-Table36[maxPRpm])^2)/1.36*9550/MAX(1,Table15[[#This Row],[rpm]]))</f>
        <v>623.20772058823525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-2154.75</v>
      </c>
      <c r="S31" s="3">
        <f>MAX(0,(1-Table7[f1]*(Table36[maxTRpm1]-Table15[[#This Row],[rpm]])^2)*Table36[maxTEco])</f>
        <v>635.47448979591843</v>
      </c>
      <c r="T31" s="3">
        <f>MAX(0,(Table36[linearDown]*(1-Table7[f2Eco]*(Table15[[#This Row],[rpm]]-Table36[maxTRpm]))+(1-Table36[linearDown])*(1-Table7[f3Eco]*(Table15[[#This Row],[rpm]]-Table36[maxTRpm])^2))*Table36[maxTEco])</f>
        <v>602.34966713958295</v>
      </c>
      <c r="U31" s="3">
        <f>MAX(0,(Table36[maxPSEco]-Table7[f4Eco]*(Table15[[#This Row],[rpm]]-Table36[maxPRpm])^2)/1.36*9550/MAX(1,Table15[[#This Row],[rpm]]))</f>
        <v>623.20772058823525</v>
      </c>
      <c r="V31" s="3">
        <f>MAX(0,Table7[Nm2Eco]*MIN(Table36[ratedRpm]/MAX(1,Table15[[#This Row],[rpm]]),1-(MAX(0,Table15[[#This Row],[rpm]]-Table36[ratedRpm])/Table36[fadeOut])^Table36[fadeOutExp]))</f>
        <v>0</v>
      </c>
      <c r="W3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623.20772058823525</v>
      </c>
      <c r="X3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623.20772058823525</v>
      </c>
      <c r="Y31" s="3">
        <f>ABS(Table15[[#This Row],[motor]]-Table15[[#This Row],[motorEco]])</f>
        <v>0</v>
      </c>
    </row>
    <row r="32" spans="1:25" x14ac:dyDescent="0.25">
      <c r="A32" s="3">
        <v>2450</v>
      </c>
      <c r="B3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13"/>
      <c r="D3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13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2" s="3">
        <f>(1-(1-Table15[[#This Row],[rpm]]/Table36[idleRpm])^2)*Table7[idleT]</f>
        <v>-2337.1181640625</v>
      </c>
      <c r="N32" s="3">
        <f>MAX(0,(1-Table7[f1]*(Table36[maxTRpm1]-Table15[[#This Row],[rpm]])^2)*Table36[maxT])</f>
        <v>611.54719387755097</v>
      </c>
      <c r="O32" s="3">
        <f>MAX(0,(Table36[linearDown]*(1-Table7[f2]*(Table15[[#This Row],[rpm]]-Table36[maxTRpm]))+(1-Table36[linearDown])*(1-Table7[f3]*(Table15[[#This Row],[rpm]]-Table36[maxTRpm])^2))*Table36[maxT])</f>
        <v>580.86500225090026</v>
      </c>
      <c r="P32" s="3">
        <f>MAX(0,(Table36[maxPS]-Table7[f4]*(Table15[[#This Row],[rpm]]-Table36[maxPRpm])^2)/1.36*9550/MAX(1,Table15[[#This Row],[rpm]]))</f>
        <v>610.48919567827124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-2337.1181640625</v>
      </c>
      <c r="S32" s="3">
        <f>MAX(0,(1-Table7[f1]*(Table36[maxTRpm1]-Table15[[#This Row],[rpm]])^2)*Table36[maxTEco])</f>
        <v>611.54719387755097</v>
      </c>
      <c r="T32" s="3">
        <f>MAX(0,(Table36[linearDown]*(1-Table7[f2Eco]*(Table15[[#This Row],[rpm]]-Table36[maxTRpm]))+(1-Table36[linearDown])*(1-Table7[f3Eco]*(Table15[[#This Row],[rpm]]-Table36[maxTRpm])^2))*Table36[maxTEco])</f>
        <v>580.86500225090026</v>
      </c>
      <c r="U32" s="3">
        <f>MAX(0,(Table36[maxPSEco]-Table7[f4Eco]*(Table15[[#This Row],[rpm]]-Table36[maxPRpm])^2)/1.36*9550/MAX(1,Table15[[#This Row],[rpm]]))</f>
        <v>610.48919567827124</v>
      </c>
      <c r="V32" s="3">
        <f>MAX(0,Table7[Nm2Eco]*MIN(Table36[ratedRpm]/MAX(1,Table15[[#This Row],[rpm]]),1-(MAX(0,Table15[[#This Row],[rpm]]-Table36[ratedRpm])/Table36[fadeOut])^Table36[fadeOutExp]))</f>
        <v>0</v>
      </c>
      <c r="W3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610.48919567827124</v>
      </c>
      <c r="X3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610.48919567827124</v>
      </c>
      <c r="Y32" s="3">
        <f>ABS(Table15[[#This Row],[motor]]-Table15[[#This Row],[motorEco]])</f>
        <v>0</v>
      </c>
    </row>
    <row r="33" spans="1:25" x14ac:dyDescent="0.25">
      <c r="A33" s="3">
        <v>2500</v>
      </c>
      <c r="B3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13"/>
      <c r="D3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13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3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3" s="3">
        <f>(1-(1-Table15[[#This Row],[rpm]]/Table36[idleRpm])^2)*Table7[idleT]</f>
        <v>-2525.09765625</v>
      </c>
      <c r="N33" s="3">
        <f>MAX(0,(1-Table7[f1]*(Table36[maxTRpm1]-Table15[[#This Row],[rpm]])^2)*Table36[maxT])</f>
        <v>586.32653061224482</v>
      </c>
      <c r="O33" s="3">
        <f>MAX(0,(Table36[linearDown]*(1-Table7[f2]*(Table15[[#This Row],[rpm]]-Table36[maxTRpm]))+(1-Table36[linearDown])*(1-Table7[f3]*(Table15[[#This Row],[rpm]]-Table36[maxTRpm])^2))*Table36[maxT])</f>
        <v>558.53780148422993</v>
      </c>
      <c r="P33" s="3">
        <f>MAX(0,(Table36[maxPS]-Table7[f4]*(Table15[[#This Row],[rpm]]-Table36[maxPRpm])^2)/1.36*9550/MAX(1,Table15[[#This Row],[rpm]]))</f>
        <v>598.27941176470586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-2525.09765625</v>
      </c>
      <c r="S33" s="3">
        <f>MAX(0,(1-Table7[f1]*(Table36[maxTRpm1]-Table15[[#This Row],[rpm]])^2)*Table36[maxTEco])</f>
        <v>586.32653061224482</v>
      </c>
      <c r="T33" s="3">
        <f>MAX(0,(Table36[linearDown]*(1-Table7[f2Eco]*(Table15[[#This Row],[rpm]]-Table36[maxTRpm]))+(1-Table36[linearDown])*(1-Table7[f3Eco]*(Table15[[#This Row],[rpm]]-Table36[maxTRpm])^2))*Table36[maxTEco])</f>
        <v>558.53780148422993</v>
      </c>
      <c r="U33" s="3">
        <f>MAX(0,(Table36[maxPSEco]-Table7[f4Eco]*(Table15[[#This Row],[rpm]]-Table36[maxPRpm])^2)/1.36*9550/MAX(1,Table15[[#This Row],[rpm]]))</f>
        <v>598.27941176470586</v>
      </c>
      <c r="V33" s="3">
        <f>MAX(0,Table7[Nm2Eco]*MIN(Table36[ratedRpm]/MAX(1,Table15[[#This Row],[rpm]]),1-(MAX(0,Table15[[#This Row],[rpm]]-Table36[ratedRpm])/Table36[fadeOut])^Table36[fadeOutExp]))</f>
        <v>0</v>
      </c>
      <c r="W3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598.27941176470586</v>
      </c>
      <c r="X3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598.27941176470586</v>
      </c>
      <c r="Y33" s="3">
        <f>ABS(Table15[[#This Row],[motor]]-Table15[[#This Row],[motorEco]])</f>
        <v>0</v>
      </c>
    </row>
    <row r="34" spans="1:25" x14ac:dyDescent="0.25">
      <c r="A34" s="3">
        <v>2550</v>
      </c>
      <c r="B3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13"/>
      <c r="D3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13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4" s="3">
        <f>(1-(1-Table15[[#This Row],[rpm]]/Table36[idleRpm])^2)*Table7[idleT]</f>
        <v>-2718.6884765625</v>
      </c>
      <c r="N34" s="3">
        <f>MAX(0,(1-Table7[f1]*(Table36[maxTRpm1]-Table15[[#This Row],[rpm]])^2)*Table36[maxT])</f>
        <v>559.81249999999989</v>
      </c>
      <c r="O34" s="3">
        <f>MAX(0,(Table36[linearDown]*(1-Table7[f2]*(Table15[[#This Row],[rpm]]-Table36[maxTRpm]))+(1-Table36[linearDown])*(1-Table7[f3]*(Table15[[#This Row],[rpm]]-Table36[maxTRpm])^2))*Table36[maxT])</f>
        <v>535.36806483957207</v>
      </c>
      <c r="P34" s="3">
        <f>MAX(0,(Table36[maxPS]-Table7[f4]*(Table15[[#This Row],[rpm]]-Table36[maxPRpm])^2)/1.36*9550/MAX(1,Table15[[#This Row],[rpm]]))</f>
        <v>586.54844290657434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-2718.6884765625</v>
      </c>
      <c r="S34" s="3">
        <f>MAX(0,(1-Table7[f1]*(Table36[maxTRpm1]-Table15[[#This Row],[rpm]])^2)*Table36[maxTEco])</f>
        <v>559.81249999999989</v>
      </c>
      <c r="T34" s="3">
        <f>MAX(0,(Table36[linearDown]*(1-Table7[f2Eco]*(Table15[[#This Row],[rpm]]-Table36[maxTRpm]))+(1-Table36[linearDown])*(1-Table7[f3Eco]*(Table15[[#This Row],[rpm]]-Table36[maxTRpm])^2))*Table36[maxTEco])</f>
        <v>535.36806483957207</v>
      </c>
      <c r="U34" s="3">
        <f>MAX(0,(Table36[maxPSEco]-Table7[f4Eco]*(Table15[[#This Row],[rpm]]-Table36[maxPRpm])^2)/1.36*9550/MAX(1,Table15[[#This Row],[rpm]]))</f>
        <v>586.54844290657434</v>
      </c>
      <c r="V34" s="3">
        <f>MAX(0,Table7[Nm2Eco]*MIN(Table36[ratedRpm]/MAX(1,Table15[[#This Row],[rpm]]),1-(MAX(0,Table15[[#This Row],[rpm]]-Table36[ratedRpm])/Table36[fadeOut])^Table36[fadeOutExp]))</f>
        <v>0</v>
      </c>
      <c r="W3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586.54844290657434</v>
      </c>
      <c r="X3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586.54844290657434</v>
      </c>
      <c r="Y34" s="3">
        <f>ABS(Table15[[#This Row],[motor]]-Table15[[#This Row],[motorEco]])</f>
        <v>0</v>
      </c>
    </row>
    <row r="35" spans="1:25" x14ac:dyDescent="0.25">
      <c r="A35" s="3">
        <v>2600</v>
      </c>
      <c r="B3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13"/>
      <c r="D3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13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5" s="3">
        <f>(1-(1-Table15[[#This Row],[rpm]]/Table36[idleRpm])^2)*Table7[idleT]</f>
        <v>-2917.890625</v>
      </c>
      <c r="N35" s="3">
        <f>MAX(0,(1-Table7[f1]*(Table36[maxTRpm1]-Table15[[#This Row],[rpm]])^2)*Table36[maxT])</f>
        <v>532.00510204081627</v>
      </c>
      <c r="O35" s="3">
        <f>MAX(0,(Table36[linearDown]*(1-Table7[f2]*(Table15[[#This Row],[rpm]]-Table36[maxTRpm]))+(1-Table36[linearDown])*(1-Table7[f3]*(Table15[[#This Row],[rpm]]-Table36[maxTRpm])^2))*Table36[maxT])</f>
        <v>511.35579231692657</v>
      </c>
      <c r="P35" s="3">
        <f>MAX(0,(Table36[maxPS]-Table7[f4]*(Table15[[#This Row],[rpm]]-Table36[maxPRpm])^2)/1.36*9550/MAX(1,Table15[[#This Row],[rpm]]))</f>
        <v>575.26866515837105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-2917.890625</v>
      </c>
      <c r="S35" s="3">
        <f>MAX(0,(1-Table7[f1]*(Table36[maxTRpm1]-Table15[[#This Row],[rpm]])^2)*Table36[maxTEco])</f>
        <v>532.00510204081627</v>
      </c>
      <c r="T35" s="3">
        <f>MAX(0,(Table36[linearDown]*(1-Table7[f2Eco]*(Table15[[#This Row],[rpm]]-Table36[maxTRpm]))+(1-Table36[linearDown])*(1-Table7[f3Eco]*(Table15[[#This Row],[rpm]]-Table36[maxTRpm])^2))*Table36[maxTEco])</f>
        <v>511.35579231692657</v>
      </c>
      <c r="U35" s="3">
        <f>MAX(0,(Table36[maxPSEco]-Table7[f4Eco]*(Table15[[#This Row],[rpm]]-Table36[maxPRpm])^2)/1.36*9550/MAX(1,Table15[[#This Row],[rpm]]))</f>
        <v>575.26866515837105</v>
      </c>
      <c r="V35" s="3">
        <f>MAX(0,Table7[Nm2Eco]*MIN(Table36[ratedRpm]/MAX(1,Table15[[#This Row],[rpm]]),1-(MAX(0,Table15[[#This Row],[rpm]]-Table36[ratedRpm])/Table36[fadeOut])^Table36[fadeOutExp]))</f>
        <v>0</v>
      </c>
      <c r="W3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575.26866515837105</v>
      </c>
      <c r="X3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575.26866515837105</v>
      </c>
      <c r="Y35" s="3">
        <f>ABS(Table15[[#This Row],[motor]]-Table15[[#This Row],[motorEco]])</f>
        <v>0</v>
      </c>
    </row>
    <row r="36" spans="1:25" x14ac:dyDescent="0.25">
      <c r="A36" s="3">
        <v>2650</v>
      </c>
      <c r="B3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13"/>
      <c r="D3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13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6" s="3">
        <f>(1-(1-Table15[[#This Row],[rpm]]/Table36[idleRpm])^2)*Table7[idleT]</f>
        <v>-3122.7041015625</v>
      </c>
      <c r="N36" s="3">
        <f>MAX(0,(1-Table7[f1]*(Table36[maxTRpm1]-Table15[[#This Row],[rpm]])^2)*Table36[maxT])</f>
        <v>502.90433673469386</v>
      </c>
      <c r="O36" s="3">
        <f>MAX(0,(Table36[linearDown]*(1-Table7[f2]*(Table15[[#This Row],[rpm]]-Table36[maxTRpm]))+(1-Table36[linearDown])*(1-Table7[f3]*(Table15[[#This Row],[rpm]]-Table36[maxTRpm])^2))*Table36[maxT])</f>
        <v>486.50098391629359</v>
      </c>
      <c r="P36" s="3">
        <f>MAX(0,(Table36[maxPS]-Table7[f4]*(Table15[[#This Row],[rpm]]-Table36[maxPRpm])^2)/1.36*9550/MAX(1,Table15[[#This Row],[rpm]]))</f>
        <v>564.41453940066583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-3122.7041015625</v>
      </c>
      <c r="S36" s="3">
        <f>MAX(0,(1-Table7[f1]*(Table36[maxTRpm1]-Table15[[#This Row],[rpm]])^2)*Table36[maxTEco])</f>
        <v>502.90433673469386</v>
      </c>
      <c r="T36" s="3">
        <f>MAX(0,(Table36[linearDown]*(1-Table7[f2Eco]*(Table15[[#This Row],[rpm]]-Table36[maxTRpm]))+(1-Table36[linearDown])*(1-Table7[f3Eco]*(Table15[[#This Row],[rpm]]-Table36[maxTRpm])^2))*Table36[maxTEco])</f>
        <v>486.50098391629359</v>
      </c>
      <c r="U36" s="3">
        <f>MAX(0,(Table36[maxPSEco]-Table7[f4Eco]*(Table15[[#This Row],[rpm]]-Table36[maxPRpm])^2)/1.36*9550/MAX(1,Table15[[#This Row],[rpm]]))</f>
        <v>564.41453940066583</v>
      </c>
      <c r="V36" s="3">
        <f>MAX(0,Table7[Nm2Eco]*MIN(Table36[ratedRpm]/MAX(1,Table15[[#This Row],[rpm]]),1-(MAX(0,Table15[[#This Row],[rpm]]-Table36[ratedRpm])/Table36[fadeOut])^Table36[fadeOutExp]))</f>
        <v>0</v>
      </c>
      <c r="W3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564.41453940066583</v>
      </c>
      <c r="X3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564.41453940066583</v>
      </c>
      <c r="Y36" s="3">
        <f>ABS(Table15[[#This Row],[motor]]-Table15[[#This Row],[motorEco]])</f>
        <v>0</v>
      </c>
    </row>
    <row r="37" spans="1:25" x14ac:dyDescent="0.25">
      <c r="A37" s="3">
        <v>2750</v>
      </c>
      <c r="B3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13"/>
      <c r="D3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13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7" s="3">
        <f>(1-(1-Table15[[#This Row],[rpm]]/Table36[idleRpm])^2)*Table7[idleT]</f>
        <v>-3549.1650390625</v>
      </c>
      <c r="N37" s="3">
        <f>MAX(0,(1-Table7[f1]*(Table36[maxTRpm1]-Table15[[#This Row],[rpm]])^2)*Table36[maxT])</f>
        <v>440.82270408163259</v>
      </c>
      <c r="O37" s="3">
        <f>MAX(0,(Table36[linearDown]*(1-Table7[f2]*(Table15[[#This Row],[rpm]]-Table36[maxTRpm]))+(1-Table36[linearDown])*(1-Table7[f3]*(Table15[[#This Row],[rpm]]-Table36[maxTRpm])^2))*Table36[maxT])</f>
        <v>434.26375948106494</v>
      </c>
      <c r="P37" s="3">
        <f>MAX(0,(Table36[maxPS]-Table7[f4]*(Table15[[#This Row],[rpm]]-Table36[maxPRpm])^2)/1.36*9550/MAX(1,Table15[[#This Row],[rpm]]))</f>
        <v>543.89037433155079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-3549.1650390625</v>
      </c>
      <c r="S37" s="3">
        <f>MAX(0,(1-Table7[f1]*(Table36[maxTRpm1]-Table15[[#This Row],[rpm]])^2)*Table36[maxTEco])</f>
        <v>440.82270408163259</v>
      </c>
      <c r="T37" s="3">
        <f>MAX(0,(Table36[linearDown]*(1-Table7[f2Eco]*(Table15[[#This Row],[rpm]]-Table36[maxTRpm]))+(1-Table36[linearDown])*(1-Table7[f3Eco]*(Table15[[#This Row],[rpm]]-Table36[maxTRpm])^2))*Table36[maxTEco])</f>
        <v>434.26375948106494</v>
      </c>
      <c r="U37" s="3">
        <f>MAX(0,(Table36[maxPSEco]-Table7[f4Eco]*(Table15[[#This Row],[rpm]]-Table36[maxPRpm])^2)/1.36*9550/MAX(1,Table15[[#This Row],[rpm]]))</f>
        <v>543.89037433155079</v>
      </c>
      <c r="V37" s="3">
        <f>MAX(0,Table7[Nm2Eco]*MIN(Table36[ratedRpm]/MAX(1,Table15[[#This Row],[rpm]]),1-(MAX(0,Table15[[#This Row],[rpm]]-Table36[ratedRpm])/Table36[fadeOut])^Table36[fadeOutExp]))</f>
        <v>0</v>
      </c>
      <c r="W3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543.89037433155079</v>
      </c>
      <c r="X3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543.89037433155079</v>
      </c>
      <c r="Y37" s="3">
        <f>ABS(Table15[[#This Row],[motor]]-Table15[[#This Row],[motorEco]])</f>
        <v>0</v>
      </c>
    </row>
    <row r="38" spans="1:25" x14ac:dyDescent="0.25">
      <c r="A38" s="3">
        <v>3000</v>
      </c>
      <c r="B3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13"/>
      <c r="D3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13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8" s="3">
        <f>(1-(1-Table15[[#This Row],[rpm]]/Table36[idleRpm])^2)*Table7[idleT]</f>
        <v>-4713.515625</v>
      </c>
      <c r="N38" s="3">
        <f>MAX(0,(1-Table7[f1]*(Table36[maxTRpm1]-Table15[[#This Row],[rpm]])^2)*Table36[maxT])</f>
        <v>262.98469387755091</v>
      </c>
      <c r="O38" s="3">
        <f>MAX(0,(Table36[linearDown]*(1-Table7[f2]*(Table15[[#This Row],[rpm]]-Table36[maxTRpm]))+(1-Table36[linearDown])*(1-Table7[f3]*(Table15[[#This Row],[rpm]]-Table36[maxTRpm])^2))*Table36[maxT])</f>
        <v>288.92632052821097</v>
      </c>
      <c r="P38" s="3">
        <f>MAX(0,(Table36[maxPS]-Table7[f4]*(Table15[[#This Row],[rpm]]-Table36[maxPRpm])^2)/1.36*9550/MAX(1,Table15[[#This Row],[rpm]]))</f>
        <v>498.56617647058818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-4713.515625</v>
      </c>
      <c r="S38" s="3">
        <f>MAX(0,(1-Table7[f1]*(Table36[maxTRpm1]-Table15[[#This Row],[rpm]])^2)*Table36[maxTEco])</f>
        <v>262.98469387755091</v>
      </c>
      <c r="T38" s="3">
        <f>MAX(0,(Table36[linearDown]*(1-Table7[f2Eco]*(Table15[[#This Row],[rpm]]-Table36[maxTRpm]))+(1-Table36[linearDown])*(1-Table7[f3Eco]*(Table15[[#This Row],[rpm]]-Table36[maxTRpm])^2))*Table36[maxTEco])</f>
        <v>288.92632052821097</v>
      </c>
      <c r="U38" s="3">
        <f>MAX(0,(Table36[maxPSEco]-Table7[f4Eco]*(Table15[[#This Row],[rpm]]-Table36[maxPRpm])^2)/1.36*9550/MAX(1,Table15[[#This Row],[rpm]]))</f>
        <v>498.56617647058818</v>
      </c>
      <c r="V38" s="3">
        <f>MAX(0,Table7[Nm2Eco]*MIN(Table36[ratedRpm]/MAX(1,Table15[[#This Row],[rpm]]),1-(MAX(0,Table15[[#This Row],[rpm]]-Table36[ratedRpm])/Table36[fadeOut])^Table36[fadeOutExp]))</f>
        <v>0</v>
      </c>
      <c r="W3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498.56617647058818</v>
      </c>
      <c r="X3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498.56617647058818</v>
      </c>
      <c r="Y38" s="3">
        <f>ABS(Table15[[#This Row],[motor]]-Table15[[#This Row],[motorEco]])</f>
        <v>0</v>
      </c>
    </row>
    <row r="39" spans="1:25" x14ac:dyDescent="0.25">
      <c r="A39" s="3">
        <v>3250</v>
      </c>
      <c r="B3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13"/>
      <c r="D3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13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9" s="3">
        <f>(1-(1-Table15[[#This Row],[rpm]]/Table36[idleRpm])^2)*Table7[idleT]</f>
        <v>-6018.1494140625</v>
      </c>
      <c r="N39" s="3">
        <f>MAX(0,(1-Table7[f1]*(Table36[maxTRpm1]-Table15[[#This Row],[rpm]])^2)*Table36[maxT])</f>
        <v>52.812499999999908</v>
      </c>
      <c r="O39" s="3">
        <f>MAX(0,(Table36[linearDown]*(1-Table7[f2]*(Table15[[#This Row],[rpm]]-Table36[maxTRpm]))+(1-Table36[linearDown])*(1-Table7[f3]*(Table15[[#This Row],[rpm]]-Table36[maxTRpm])^2))*Table36[maxT])</f>
        <v>122.52548462566804</v>
      </c>
      <c r="P39" s="3">
        <f>MAX(0,(Table36[maxPS]-Table7[f4]*(Table15[[#This Row],[rpm]]-Table36[maxPRpm])^2)/1.36*9550/MAX(1,Table15[[#This Row],[rpm]]))</f>
        <v>460.21493212669679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-6018.1494140625</v>
      </c>
      <c r="S39" s="3">
        <f>MAX(0,(1-Table7[f1]*(Table36[maxTRpm1]-Table15[[#This Row],[rpm]])^2)*Table36[maxTEco])</f>
        <v>52.812499999999908</v>
      </c>
      <c r="T39" s="3">
        <f>MAX(0,(Table36[linearDown]*(1-Table7[f2Eco]*(Table15[[#This Row],[rpm]]-Table36[maxTRpm]))+(1-Table36[linearDown])*(1-Table7[f3Eco]*(Table15[[#This Row],[rpm]]-Table36[maxTRpm])^2))*Table36[maxTEco])</f>
        <v>122.52548462566804</v>
      </c>
      <c r="U39" s="3">
        <f>MAX(0,(Table36[maxPSEco]-Table7[f4Eco]*(Table15[[#This Row],[rpm]]-Table36[maxPRpm])^2)/1.36*9550/MAX(1,Table15[[#This Row],[rpm]]))</f>
        <v>460.21493212669679</v>
      </c>
      <c r="V39" s="3">
        <f>MAX(0,Table7[Nm2Eco]*MIN(Table36[ratedRpm]/MAX(1,Table15[[#This Row],[rpm]]),1-(MAX(0,Table15[[#This Row],[rpm]]-Table36[ratedRpm])/Table36[fadeOut])^Table36[fadeOutExp]))</f>
        <v>0</v>
      </c>
      <c r="W3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460.21493212669679</v>
      </c>
      <c r="X3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460.21493212669679</v>
      </c>
      <c r="Y39" s="3">
        <f>ABS(Table15[[#This Row],[motor]]-Table15[[#This Row],[motorEco]])</f>
        <v>0</v>
      </c>
    </row>
    <row r="40" spans="1:25" x14ac:dyDescent="0.25">
      <c r="A40" s="3">
        <v>3500</v>
      </c>
      <c r="B4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13"/>
      <c r="D4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13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0" s="3">
        <f>(1-(1-Table15[[#This Row],[rpm]]/Table36[idleRpm])^2)*Table7[idleT]</f>
        <v>-7463.06640625</v>
      </c>
      <c r="N40" s="3">
        <f>MAX(0,(1-Table7[f1]*(Table36[maxTRpm1]-Table15[[#This Row],[rpm]])^2)*Table36[maxT])</f>
        <v>0</v>
      </c>
      <c r="O40" s="3">
        <f>MAX(0,(Table36[linearDown]*(1-Table7[f2]*(Table15[[#This Row],[rpm]]-Table36[maxTRpm]))+(1-Table36[linearDown])*(1-Table7[f3]*(Table15[[#This Row],[rpm]]-Table36[maxTRpm])^2))*Table36[maxT])</f>
        <v>0</v>
      </c>
      <c r="P40" s="3">
        <f>MAX(0,(Table36[maxPS]-Table7[f4]*(Table15[[#This Row],[rpm]]-Table36[maxPRpm])^2)/1.36*9550/MAX(1,Table15[[#This Row],[rpm]]))</f>
        <v>427.3424369747899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-7463.06640625</v>
      </c>
      <c r="S40" s="3">
        <f>MAX(0,(1-Table7[f1]*(Table36[maxTRpm1]-Table15[[#This Row],[rpm]])^2)*Table36[maxTEco])</f>
        <v>0</v>
      </c>
      <c r="T40" s="3">
        <f>MAX(0,(Table36[linearDown]*(1-Table7[f2Eco]*(Table15[[#This Row],[rpm]]-Table36[maxTRpm]))+(1-Table36[linearDown])*(1-Table7[f3Eco]*(Table15[[#This Row],[rpm]]-Table36[maxTRpm])^2))*Table36[maxTEco])</f>
        <v>0</v>
      </c>
      <c r="U40" s="3">
        <f>MAX(0,(Table36[maxPSEco]-Table7[f4Eco]*(Table15[[#This Row],[rpm]]-Table36[maxPRpm])^2)/1.36*9550/MAX(1,Table15[[#This Row],[rpm]]))</f>
        <v>427.3424369747899</v>
      </c>
      <c r="V40" s="3">
        <f>MAX(0,Table7[Nm2Eco]*MIN(Table36[ratedRpm]/MAX(1,Table15[[#This Row],[rpm]]),1-(MAX(0,Table15[[#This Row],[rpm]]-Table36[ratedRpm])/Table36[fadeOut])^Table36[fadeOutExp]))</f>
        <v>0</v>
      </c>
      <c r="W4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427.3424369747899</v>
      </c>
      <c r="X4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427.3424369747899</v>
      </c>
      <c r="Y40" s="3">
        <f>ABS(Table15[[#This Row],[motor]]-Table15[[#This Row],[motorEco]])</f>
        <v>0</v>
      </c>
    </row>
    <row r="41" spans="1:25" x14ac:dyDescent="0.25">
      <c r="A41" s="3">
        <v>3750</v>
      </c>
      <c r="B4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13"/>
      <c r="D4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13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1" s="3">
        <f>(1-(1-Table15[[#This Row],[rpm]]/Table36[idleRpm])^2)*Table7[idleT]</f>
        <v>-9048.2666015625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398.85294117647055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-9048.2666015625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398.85294117647055</v>
      </c>
      <c r="V41" s="3">
        <f>MAX(0,Table7[Nm2Eco]*MIN(Table36[ratedRpm]/MAX(1,Table15[[#This Row],[rpm]]),1-(MAX(0,Table15[[#This Row],[rpm]]-Table36[ratedRpm])/Table36[fadeOut])^Table36[fadeOutExp]))</f>
        <v>0</v>
      </c>
      <c r="W4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398.85294117647055</v>
      </c>
      <c r="X4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398.85294117647055</v>
      </c>
      <c r="Y41" s="3">
        <f>ABS(Table15[[#This Row],[motor]]-Table15[[#This Row],[motorEco]])</f>
        <v>0</v>
      </c>
    </row>
    <row r="42" spans="1:25" x14ac:dyDescent="0.25">
      <c r="A42" s="3">
        <v>4000</v>
      </c>
      <c r="B4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13"/>
      <c r="D4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13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7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2" s="3">
        <f>(1-(1-Table15[[#This Row],[rpm]]/Table36[idleRpm])^2)*Table7[idleT]</f>
        <v>-10773.75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373.92463235294116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-10773.75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373.92463235294116</v>
      </c>
      <c r="V42" s="3">
        <f>MAX(0,Table7[Nm2Eco]*MIN(Table36[ratedRpm]/MAX(1,Table15[[#This Row],[rpm]]),1-(MAX(0,Table15[[#This Row],[rpm]]-Table36[ratedRpm])/Table36[fadeOut])^Table36[fadeOutExp]))</f>
        <v>0</v>
      </c>
      <c r="W4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373.92463235294116</v>
      </c>
      <c r="X4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373.92463235294116</v>
      </c>
      <c r="Y42" s="3">
        <f>ABS(Table15[[#This Row],[motor]]-Table15[[#This Row],[motorEco]])</f>
        <v>0</v>
      </c>
    </row>
    <row r="43" spans="1:25" x14ac:dyDescent="0.25">
      <c r="A43" s="3">
        <v>4250</v>
      </c>
      <c r="B4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13"/>
      <c r="D4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13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3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2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3" s="3">
        <f>(1-(1-Table15[[#This Row],[rpm]]/Table36[idleRpm])^2)*Table7[idleT]</f>
        <v>-12639.5166015625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351.92906574394459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-12639.5166015625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351.92906574394459</v>
      </c>
      <c r="V43" s="3">
        <f>MAX(0,Table7[Nm2Eco]*MIN(Table36[ratedRpm]/MAX(1,Table15[[#This Row],[rpm]]),1-(MAX(0,Table15[[#This Row],[rpm]]-Table36[ratedRpm])/Table36[fadeOut])^Table36[fadeOutExp]))</f>
        <v>0</v>
      </c>
      <c r="W4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351.92906574394459</v>
      </c>
      <c r="X4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351.92906574394459</v>
      </c>
      <c r="Y43" s="3">
        <f>ABS(Table15[[#This Row],[motor]]-Table15[[#This Row],[motorEco]])</f>
        <v>0</v>
      </c>
    </row>
    <row r="44" spans="1:25" x14ac:dyDescent="0.25">
      <c r="A44" s="3">
        <v>4500</v>
      </c>
      <c r="B4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13"/>
      <c r="D4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13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4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2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4" s="3">
        <f>(1-(1-Table15[[#This Row],[rpm]]/Table36[idleRpm])^2)*Table7[idleT]</f>
        <v>-14645.56640625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332.37745098039215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-14645.56640625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332.37745098039215</v>
      </c>
      <c r="V44" s="3">
        <f>MAX(0,Table7[Nm2Eco]*MIN(Table36[ratedRpm]/MAX(1,Table15[[#This Row],[rpm]]),1-(MAX(0,Table15[[#This Row],[rpm]]-Table36[ratedRpm])/Table36[fadeOut])^Table36[fadeOutExp]))</f>
        <v>0</v>
      </c>
      <c r="W4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332.37745098039215</v>
      </c>
      <c r="X4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332.37745098039215</v>
      </c>
      <c r="Y44" s="3">
        <f>ABS(Table15[[#This Row],[motor]]-Table15[[#This Row],[motorEco]])</f>
        <v>0</v>
      </c>
    </row>
    <row r="45" spans="1:25" x14ac:dyDescent="0.25">
      <c r="A45" s="3">
        <v>4750</v>
      </c>
      <c r="B4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13"/>
      <c r="D4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13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5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2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5" s="3">
        <f>(1-(1-Table15[[#This Row],[rpm]]/Table36[idleRpm])^2)*Table7[idleT]</f>
        <v>-16791.8994140625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314.88390092879257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-16791.8994140625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314.88390092879257</v>
      </c>
      <c r="V45" s="3">
        <f>MAX(0,Table7[Nm2Eco]*MIN(Table36[ratedRpm]/MAX(1,Table15[[#This Row],[rpm]]),1-(MAX(0,Table15[[#This Row],[rpm]]-Table36[ratedRpm])/Table36[fadeOut])^Table36[fadeOutExp]))</f>
        <v>0</v>
      </c>
      <c r="W4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314.88390092879257</v>
      </c>
      <c r="X4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314.88390092879257</v>
      </c>
      <c r="Y45" s="3">
        <f>ABS(Table15[[#This Row],[motor]]-Table15[[#This Row],[motorEco]])</f>
        <v>0</v>
      </c>
    </row>
    <row r="46" spans="1:25" x14ac:dyDescent="0.25">
      <c r="A46" s="3">
        <v>5000</v>
      </c>
      <c r="B4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13"/>
      <c r="D4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13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6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2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6" s="3">
        <f>(1-(1-Table15[[#This Row],[rpm]]/Table36[idleRpm])^2)*Table7[idleT]</f>
        <v>-19078.515625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299.13970588235293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-19078.515625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299.13970588235293</v>
      </c>
      <c r="V46" s="3">
        <f>MAX(0,Table7[Nm2Eco]*MIN(Table36[ratedRpm]/MAX(1,Table15[[#This Row],[rpm]]),1-(MAX(0,Table15[[#This Row],[rpm]]-Table36[ratedRpm])/Table36[fadeOut])^Table36[fadeOutExp]))</f>
        <v>0</v>
      </c>
      <c r="W4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299.13970588235293</v>
      </c>
      <c r="X4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299.13970588235293</v>
      </c>
      <c r="Y46" s="3">
        <f>ABS(Table15[[#This Row],[motor]]-Table15[[#This Row],[motorEco]])</f>
        <v>0</v>
      </c>
    </row>
    <row r="47" spans="1:25" x14ac:dyDescent="0.25">
      <c r="A47" s="3">
        <v>5250</v>
      </c>
      <c r="B4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13"/>
      <c r="D4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13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7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2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7" s="3">
        <f>(1-(1-Table15[[#This Row],[rpm]]/Table36[idleRpm])^2)*Table7[idleT]</f>
        <v>-21505.4150390625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284.89495798319325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-21505.4150390625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284.89495798319325</v>
      </c>
      <c r="V47" s="3">
        <f>MAX(0,Table7[Nm2Eco]*MIN(Table36[ratedRpm]/MAX(1,Table15[[#This Row],[rpm]]),1-(MAX(0,Table15[[#This Row],[rpm]]-Table36[ratedRpm])/Table36[fadeOut])^Table36[fadeOutExp]))</f>
        <v>0</v>
      </c>
      <c r="W4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284.89495798319325</v>
      </c>
      <c r="X4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284.89495798319325</v>
      </c>
      <c r="Y47" s="3">
        <f>ABS(Table15[[#This Row],[motor]]-Table15[[#This Row],[motorEco]])</f>
        <v>0</v>
      </c>
    </row>
    <row r="48" spans="1:25" x14ac:dyDescent="0.25">
      <c r="A48" s="3">
        <v>5500</v>
      </c>
      <c r="B4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13"/>
      <c r="D4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13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8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2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8" s="3">
        <f>(1-(1-Table15[[#This Row],[rpm]]/Table36[idleRpm])^2)*Table7[idleT]</f>
        <v>-24072.59765625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271.94518716577539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-24072.59765625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271.94518716577539</v>
      </c>
      <c r="V48" s="3">
        <f>MAX(0,Table7[Nm2Eco]*MIN(Table36[ratedRpm]/MAX(1,Table15[[#This Row],[rpm]]),1-(MAX(0,Table15[[#This Row],[rpm]]-Table36[ratedRpm])/Table36[fadeOut])^Table36[fadeOutExp]))</f>
        <v>0</v>
      </c>
      <c r="W4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271.94518716577539</v>
      </c>
      <c r="X4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271.94518716577539</v>
      </c>
      <c r="Y48" s="3">
        <f>ABS(Table15[[#This Row],[motor]]-Table15[[#This Row],[motorEco]])</f>
        <v>0</v>
      </c>
    </row>
    <row r="49" spans="1:25" x14ac:dyDescent="0.25">
      <c r="A49" s="3">
        <v>5750</v>
      </c>
      <c r="B4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13"/>
      <c r="D4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13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9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2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9" s="3">
        <f>(1-(1-Table15[[#This Row],[rpm]]/Table36[idleRpm])^2)*Table7[idleT]</f>
        <v>-26780.0634765625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260.12148337595903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-26780.0634765625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260.12148337595903</v>
      </c>
      <c r="V49" s="3">
        <f>MAX(0,Table7[Nm2Eco]*MIN(Table36[ratedRpm]/MAX(1,Table15[[#This Row],[rpm]]),1-(MAX(0,Table15[[#This Row],[rpm]]-Table36[ratedRpm])/Table36[fadeOut])^Table36[fadeOutExp]))</f>
        <v>0</v>
      </c>
      <c r="W4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260.12148337595903</v>
      </c>
      <c r="X4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260.12148337595903</v>
      </c>
      <c r="Y49" s="3">
        <f>ABS(Table15[[#This Row],[motor]]-Table15[[#This Row],[motorEco]])</f>
        <v>0</v>
      </c>
    </row>
    <row r="50" spans="1:25" x14ac:dyDescent="0.25">
      <c r="A50" s="3">
        <v>6000</v>
      </c>
      <c r="B5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13"/>
      <c r="D5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13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0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2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0" s="3">
        <f>(1-(1-Table15[[#This Row],[rpm]]/Table36[idleRpm])^2)*Table7[idleT]</f>
        <v>-29627.8125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249.28308823529409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-29627.8125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249.28308823529409</v>
      </c>
      <c r="V50" s="3">
        <f>MAX(0,Table7[Nm2Eco]*MIN(Table36[ratedRpm]/MAX(1,Table15[[#This Row],[rpm]]),1-(MAX(0,Table15[[#This Row],[rpm]]-Table36[ratedRpm])/Table36[fadeOut])^Table36[fadeOutExp]))</f>
        <v>0</v>
      </c>
      <c r="W5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249.28308823529409</v>
      </c>
      <c r="X5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249.28308823529409</v>
      </c>
      <c r="Y50" s="3">
        <f>ABS(Table15[[#This Row],[motor]]-Table15[[#This Row],[motorEco]])</f>
        <v>0</v>
      </c>
    </row>
    <row r="51" spans="1:25" x14ac:dyDescent="0.25">
      <c r="A51" s="3">
        <v>6250</v>
      </c>
      <c r="B5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13"/>
      <c r="D5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13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1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2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1" s="3">
        <f>(1-(1-Table15[[#This Row],[rpm]]/Table36[idleRpm])^2)*Table7[idleT]</f>
        <v>-32615.8447265625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239.31176470588233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-32615.8447265625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239.31176470588233</v>
      </c>
      <c r="V51" s="3">
        <f>MAX(0,Table7[Nm2Eco]*MIN(Table36[ratedRpm]/MAX(1,Table15[[#This Row],[rpm]]),1-(MAX(0,Table15[[#This Row],[rpm]]-Table36[ratedRpm])/Table36[fadeOut])^Table36[fadeOutExp]))</f>
        <v>0</v>
      </c>
      <c r="W5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239.31176470588233</v>
      </c>
      <c r="X5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239.31176470588233</v>
      </c>
      <c r="Y51" s="3">
        <f>ABS(Table15[[#This Row],[motor]]-Table15[[#This Row],[motorEco]])</f>
        <v>0</v>
      </c>
    </row>
    <row r="52" spans="1:25" x14ac:dyDescent="0.25">
      <c r="A52" s="3">
        <v>6500</v>
      </c>
      <c r="B5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13"/>
      <c r="D5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13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2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2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2" s="3">
        <f>(1-(1-Table15[[#This Row],[rpm]]/Table36[idleRpm])^2)*Table7[idleT]</f>
        <v>-35744.16015625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230.1074660633484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-35744.16015625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230.1074660633484</v>
      </c>
      <c r="V52" s="3">
        <f>MAX(0,Table7[Nm2Eco]*MIN(Table36[ratedRpm]/MAX(1,Table15[[#This Row],[rpm]]),1-(MAX(0,Table15[[#This Row],[rpm]]-Table36[ratedRpm])/Table36[fadeOut])^Table36[fadeOutExp]))</f>
        <v>0</v>
      </c>
      <c r="W5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230.1074660633484</v>
      </c>
      <c r="X5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230.1074660633484</v>
      </c>
      <c r="Y52" s="3">
        <f>ABS(Table15[[#This Row],[motor]]-Table15[[#This Row],[motorEco]])</f>
        <v>0</v>
      </c>
    </row>
    <row r="53" spans="1:25" x14ac:dyDescent="0.25">
      <c r="A53" s="3">
        <v>6750</v>
      </c>
      <c r="B5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13"/>
      <c r="D5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13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3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2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3" s="3">
        <f>(1-(1-Table15[[#This Row],[rpm]]/Table36[idleRpm])^2)*Table7[idleT]</f>
        <v>-39012.7587890625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221.58496732026143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-39012.7587890625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221.58496732026143</v>
      </c>
      <c r="V53" s="3">
        <f>MAX(0,Table7[Nm2Eco]*MIN(Table36[ratedRpm]/MAX(1,Table15[[#This Row],[rpm]]),1-(MAX(0,Table15[[#This Row],[rpm]]-Table36[ratedRpm])/Table36[fadeOut])^Table36[fadeOutExp]))</f>
        <v>0</v>
      </c>
      <c r="W5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221.58496732026143</v>
      </c>
      <c r="X5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221.58496732026143</v>
      </c>
      <c r="Y53" s="3">
        <f>ABS(Table15[[#This Row],[motor]]-Table15[[#This Row],[motorEco]])</f>
        <v>0</v>
      </c>
    </row>
    <row r="54" spans="1:25" x14ac:dyDescent="0.25">
      <c r="A54" s="3">
        <v>7000</v>
      </c>
      <c r="B5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13"/>
      <c r="D5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13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4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2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4" s="3">
        <f>(1-(1-Table15[[#This Row],[rpm]]/Table36[idleRpm])^2)*Table7[idleT]</f>
        <v>-42421.640625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213.67121848739495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-42421.640625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213.67121848739495</v>
      </c>
      <c r="V54" s="3">
        <f>MAX(0,Table7[Nm2Eco]*MIN(Table36[ratedRpm]/MAX(1,Table15[[#This Row],[rpm]]),1-(MAX(0,Table15[[#This Row],[rpm]]-Table36[ratedRpm])/Table36[fadeOut])^Table36[fadeOutExp]))</f>
        <v>0</v>
      </c>
      <c r="W5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213.67121848739495</v>
      </c>
      <c r="X5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213.67121848739495</v>
      </c>
      <c r="Y54" s="3">
        <f>ABS(Table15[[#This Row],[motor]]-Table15[[#This Row],[motorEco]])</f>
        <v>0</v>
      </c>
    </row>
    <row r="55" spans="1:25" x14ac:dyDescent="0.25">
      <c r="A55" s="3">
        <v>7250</v>
      </c>
      <c r="B5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13"/>
      <c r="D5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13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5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2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5" s="3">
        <f>(1-(1-Table15[[#This Row],[rpm]]/Table36[idleRpm])^2)*Table7[idleT]</f>
        <v>-45970.8056640625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206.30324543610547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-45970.8056640625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206.30324543610547</v>
      </c>
      <c r="V55" s="3">
        <f>MAX(0,Table7[Nm2Eco]*MIN(Table36[ratedRpm]/MAX(1,Table15[[#This Row],[rpm]]),1-(MAX(0,Table15[[#This Row],[rpm]]-Table36[ratedRpm])/Table36[fadeOut])^Table36[fadeOutExp]))</f>
        <v>0</v>
      </c>
      <c r="W5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206.30324543610547</v>
      </c>
      <c r="X5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206.30324543610547</v>
      </c>
      <c r="Y55" s="3">
        <f>ABS(Table15[[#This Row],[motor]]-Table15[[#This Row],[motorEco]])</f>
        <v>0</v>
      </c>
    </row>
    <row r="56" spans="1:25" x14ac:dyDescent="0.25">
      <c r="A56" s="3">
        <v>7500</v>
      </c>
      <c r="B5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13"/>
      <c r="D5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13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6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2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6" s="3">
        <f>(1-(1-Table15[[#This Row],[rpm]]/Table36[idleRpm])^2)*Table7[idleT]</f>
        <v>-49660.25390625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199.42647058823528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-49660.25390625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199.42647058823528</v>
      </c>
      <c r="V56" s="3">
        <f>MAX(0,Table7[Nm2Eco]*MIN(Table36[ratedRpm]/MAX(1,Table15[[#This Row],[rpm]]),1-(MAX(0,Table15[[#This Row],[rpm]]-Table36[ratedRpm])/Table36[fadeOut])^Table36[fadeOutExp]))</f>
        <v>0</v>
      </c>
      <c r="W5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199.42647058823528</v>
      </c>
      <c r="X5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199.42647058823528</v>
      </c>
      <c r="Y56" s="3">
        <f>ABS(Table15[[#This Row],[motor]]-Table15[[#This Row],[motorEco]])</f>
        <v>0</v>
      </c>
    </row>
    <row r="57" spans="1:25" x14ac:dyDescent="0.25">
      <c r="A57" s="3">
        <v>7750</v>
      </c>
      <c r="B5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13"/>
      <c r="D5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13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7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2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7" s="3">
        <f>(1-(1-Table15[[#This Row],[rpm]]/Table36[idleRpm])^2)*Table7[idleT]</f>
        <v>-53489.9853515625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192.99335863377607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-53489.9853515625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192.99335863377607</v>
      </c>
      <c r="V57" s="3">
        <f>MAX(0,Table7[Nm2Eco]*MIN(Table36[ratedRpm]/MAX(1,Table15[[#This Row],[rpm]]),1-(MAX(0,Table15[[#This Row],[rpm]]-Table36[ratedRpm])/Table36[fadeOut])^Table36[fadeOutExp]))</f>
        <v>0</v>
      </c>
      <c r="W5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192.99335863377607</v>
      </c>
      <c r="X5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192.99335863377607</v>
      </c>
      <c r="Y57" s="3">
        <f>ABS(Table15[[#This Row],[motor]]-Table15[[#This Row],[motorEco]])</f>
        <v>0</v>
      </c>
    </row>
    <row r="58" spans="1:25" x14ac:dyDescent="0.25">
      <c r="A58" s="3">
        <v>8000</v>
      </c>
      <c r="B5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13"/>
      <c r="D5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13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8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2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8" s="3">
        <f>(1-(1-Table15[[#This Row],[rpm]]/Table36[idleRpm])^2)*Table7[idleT]</f>
        <v>-57460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186.96231617647058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-57460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186.96231617647058</v>
      </c>
      <c r="V58" s="3">
        <f>MAX(0,Table7[Nm2Eco]*MIN(Table36[ratedRpm]/MAX(1,Table15[[#This Row],[rpm]]),1-(MAX(0,Table15[[#This Row],[rpm]]-Table36[ratedRpm])/Table36[fadeOut])^Table36[fadeOutExp]))</f>
        <v>0</v>
      </c>
      <c r="W5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186.96231617647058</v>
      </c>
      <c r="X5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186.96231617647058</v>
      </c>
      <c r="Y58" s="3">
        <f>ABS(Table15[[#This Row],[motor]]-Table15[[#This Row],[motorEco]])</f>
        <v>0</v>
      </c>
    </row>
    <row r="59" spans="1:25" x14ac:dyDescent="0.25">
      <c r="A59" s="3">
        <v>8250</v>
      </c>
      <c r="B5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13"/>
      <c r="D5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13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9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2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9" s="3">
        <f>(1-(1-Table15[[#This Row],[rpm]]/Table36[idleRpm])^2)*Table7[idleT]</f>
        <v>-61570.2978515625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181.29679144385025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-61570.2978515625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181.29679144385025</v>
      </c>
      <c r="V59" s="3">
        <f>MAX(0,Table7[Nm2Eco]*MIN(Table36[ratedRpm]/MAX(1,Table15[[#This Row],[rpm]]),1-(MAX(0,Table15[[#This Row],[rpm]]-Table36[ratedRpm])/Table36[fadeOut])^Table36[fadeOutExp]))</f>
        <v>0</v>
      </c>
      <c r="W5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181.29679144385025</v>
      </c>
      <c r="X5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181.29679144385025</v>
      </c>
      <c r="Y59" s="3">
        <f>ABS(Table15[[#This Row],[motor]]-Table15[[#This Row],[motorEco]])</f>
        <v>0</v>
      </c>
    </row>
    <row r="60" spans="1:25" x14ac:dyDescent="0.25">
      <c r="A60" s="3">
        <v>8500</v>
      </c>
      <c r="B6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13"/>
      <c r="D6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13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0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2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0" s="3">
        <f>(1-(1-Table15[[#This Row],[rpm]]/Table36[idleRpm])^2)*Table7[idleT]</f>
        <v>-65820.87890625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175.9645328719723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-65820.87890625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175.9645328719723</v>
      </c>
      <c r="V60" s="3">
        <f>MAX(0,Table7[Nm2Eco]*MIN(Table36[ratedRpm]/MAX(1,Table15[[#This Row],[rpm]]),1-(MAX(0,Table15[[#This Row],[rpm]]-Table36[ratedRpm])/Table36[fadeOut])^Table36[fadeOutExp]))</f>
        <v>0</v>
      </c>
      <c r="W6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175.9645328719723</v>
      </c>
      <c r="X6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175.9645328719723</v>
      </c>
      <c r="Y60" s="3">
        <f>ABS(Table15[[#This Row],[motor]]-Table15[[#This Row],[motorEco]])</f>
        <v>0</v>
      </c>
    </row>
    <row r="61" spans="1:25" x14ac:dyDescent="0.25">
      <c r="A61" s="3">
        <v>8750</v>
      </c>
      <c r="B6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13"/>
      <c r="D6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13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1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2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1" s="3">
        <f>(1-(1-Table15[[#This Row],[rpm]]/Table36[idleRpm])^2)*Table7[idleT]</f>
        <v>-70211.7431640625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170.93697478991595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-70211.7431640625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170.93697478991595</v>
      </c>
      <c r="V61" s="3">
        <f>MAX(0,Table7[Nm2Eco]*MIN(Table36[ratedRpm]/MAX(1,Table15[[#This Row],[rpm]]),1-(MAX(0,Table15[[#This Row],[rpm]]-Table36[ratedRpm])/Table36[fadeOut])^Table36[fadeOutExp]))</f>
        <v>0</v>
      </c>
      <c r="W6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170.93697478991595</v>
      </c>
      <c r="X6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170.93697478991595</v>
      </c>
      <c r="Y61" s="3">
        <f>ABS(Table15[[#This Row],[motor]]-Table15[[#This Row],[motorEco]])</f>
        <v>0</v>
      </c>
    </row>
    <row r="62" spans="1:25" x14ac:dyDescent="0.25">
      <c r="A62" s="3">
        <v>9000</v>
      </c>
      <c r="B6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13"/>
      <c r="D6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13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2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2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2" s="3">
        <f>(1-(1-Table15[[#This Row],[rpm]]/Table36[idleRpm])^2)*Table7[idleT]</f>
        <v>-74742.890625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166.18872549019608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-74742.890625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166.18872549019608</v>
      </c>
      <c r="V62" s="3">
        <f>MAX(0,Table7[Nm2Eco]*MIN(Table36[ratedRpm]/MAX(1,Table15[[#This Row],[rpm]]),1-(MAX(0,Table15[[#This Row],[rpm]]-Table36[ratedRpm])/Table36[fadeOut])^Table36[fadeOutExp]))</f>
        <v>0</v>
      </c>
      <c r="W6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166.18872549019608</v>
      </c>
      <c r="X6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166.18872549019608</v>
      </c>
      <c r="Y62" s="3">
        <f>ABS(Table15[[#This Row],[motor]]-Table15[[#This Row],[motorEco]])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5"/>
  <sheetViews>
    <sheetView workbookViewId="0">
      <selection activeCell="B2" sqref="B2"/>
    </sheetView>
  </sheetViews>
  <sheetFormatPr defaultColWidth="9.28515625" defaultRowHeight="15" x14ac:dyDescent="0.25"/>
  <cols>
    <col min="2" max="3" width="11" customWidth="1"/>
  </cols>
  <sheetData>
    <row r="1" spans="1:12" ht="63" thickBot="1" x14ac:dyDescent="0.3">
      <c r="A1" s="28" t="s">
        <v>18</v>
      </c>
      <c r="B1" s="29" t="s">
        <v>23</v>
      </c>
      <c r="C1" s="29" t="s">
        <v>8</v>
      </c>
      <c r="D1" s="29" t="s">
        <v>10</v>
      </c>
      <c r="E1" s="29" t="s">
        <v>22</v>
      </c>
      <c r="F1" s="29" t="s">
        <v>12</v>
      </c>
      <c r="G1" s="30" t="s">
        <v>13</v>
      </c>
      <c r="H1" s="35" t="s">
        <v>14</v>
      </c>
      <c r="I1" s="35" t="s">
        <v>27</v>
      </c>
      <c r="K1" s="26" t="s">
        <v>19</v>
      </c>
      <c r="L1" s="26" t="s">
        <v>20</v>
      </c>
    </row>
    <row r="2" spans="1:12" x14ac:dyDescent="0.25">
      <c r="A2" s="31">
        <v>1900</v>
      </c>
      <c r="B2" s="32">
        <v>396</v>
      </c>
      <c r="C2" s="33">
        <v>2100</v>
      </c>
      <c r="D2" s="34">
        <v>390</v>
      </c>
      <c r="E2" s="31">
        <v>1450</v>
      </c>
      <c r="F2" s="32">
        <v>1450</v>
      </c>
      <c r="G2" s="32">
        <v>1538</v>
      </c>
      <c r="H2" s="19">
        <v>800</v>
      </c>
      <c r="I2" s="36">
        <v>1.0900000000000001</v>
      </c>
      <c r="K2" s="27">
        <f>Table2[maxPS]/1.36*9550/Table2[maxPRpm]</f>
        <v>1463.5448916408668</v>
      </c>
      <c r="L2" s="27">
        <f>Table2[PS]/1.36*9550/Table2[ratedRpm]</f>
        <v>1304.0966386554621</v>
      </c>
    </row>
    <row r="4" spans="1:12" x14ac:dyDescent="0.25">
      <c r="A4" t="s">
        <v>78</v>
      </c>
      <c r="B4" t="s">
        <v>19</v>
      </c>
      <c r="C4" t="s">
        <v>77</v>
      </c>
    </row>
    <row r="5" spans="1:12" x14ac:dyDescent="0.25">
      <c r="A5">
        <v>0</v>
      </c>
      <c r="B5">
        <v>0</v>
      </c>
      <c r="C5">
        <f>B5*A5/9550</f>
        <v>0</v>
      </c>
    </row>
    <row r="6" spans="1:12" x14ac:dyDescent="0.25">
      <c r="A6">
        <v>1000</v>
      </c>
      <c r="B6">
        <f>Table2[Anfahrmoment]*L2</f>
        <v>1421.4653361344538</v>
      </c>
      <c r="C6">
        <f t="shared" ref="C6:C10" si="0">B6*A6/9550</f>
        <v>148.84453781512605</v>
      </c>
    </row>
    <row r="7" spans="1:12" x14ac:dyDescent="0.25">
      <c r="A7">
        <f>Table2[maxTRpm1]</f>
        <v>1450</v>
      </c>
      <c r="B7">
        <f>Table2[maxT]</f>
        <v>1538</v>
      </c>
      <c r="C7">
        <f t="shared" si="0"/>
        <v>233.51832460732984</v>
      </c>
    </row>
    <row r="8" spans="1:12" x14ac:dyDescent="0.25">
      <c r="A8">
        <f>Table2[maxTRpm]</f>
        <v>1450</v>
      </c>
      <c r="B8">
        <f>Table2[maxT]</f>
        <v>1538</v>
      </c>
      <c r="C8">
        <f t="shared" si="0"/>
        <v>233.51832460732984</v>
      </c>
    </row>
    <row r="9" spans="1:12" x14ac:dyDescent="0.25">
      <c r="A9">
        <f>Table2[maxPRpm]</f>
        <v>1900</v>
      </c>
      <c r="B9">
        <f>K2</f>
        <v>1463.5448916408668</v>
      </c>
      <c r="C9">
        <f t="shared" si="0"/>
        <v>291.17647058823525</v>
      </c>
    </row>
    <row r="10" spans="1:12" x14ac:dyDescent="0.25">
      <c r="A10">
        <f>Table2[ratedRpm]</f>
        <v>2100</v>
      </c>
      <c r="B10">
        <f>L2</f>
        <v>1304.0966386554621</v>
      </c>
      <c r="C10">
        <f t="shared" si="0"/>
        <v>286.76470588235293</v>
      </c>
    </row>
    <row r="11" spans="1:12" x14ac:dyDescent="0.25">
      <c r="A11">
        <f>Table2[ratedRpm]+200</f>
        <v>2300</v>
      </c>
      <c r="B11">
        <v>0</v>
      </c>
      <c r="C11">
        <f>B11*A11/9550</f>
        <v>0</v>
      </c>
    </row>
    <row r="14" spans="1:12" x14ac:dyDescent="0.25">
      <c r="A14" t="s">
        <v>78</v>
      </c>
      <c r="B14" t="s">
        <v>79</v>
      </c>
      <c r="C14" t="s">
        <v>80</v>
      </c>
    </row>
    <row r="15" spans="1:12" x14ac:dyDescent="0.25">
      <c r="A15">
        <v>0</v>
      </c>
    </row>
    <row r="16" spans="1:12" x14ac:dyDescent="0.25">
      <c r="A16">
        <v>50</v>
      </c>
    </row>
    <row r="17" spans="1:1" x14ac:dyDescent="0.25">
      <c r="A17">
        <v>100</v>
      </c>
    </row>
    <row r="18" spans="1:1" x14ac:dyDescent="0.25">
      <c r="A18">
        <v>150</v>
      </c>
    </row>
    <row r="19" spans="1:1" x14ac:dyDescent="0.25">
      <c r="A19">
        <v>200</v>
      </c>
    </row>
    <row r="20" spans="1:1" x14ac:dyDescent="0.25">
      <c r="A20">
        <v>250</v>
      </c>
    </row>
    <row r="21" spans="1:1" x14ac:dyDescent="0.25">
      <c r="A21">
        <v>300</v>
      </c>
    </row>
    <row r="22" spans="1:1" x14ac:dyDescent="0.25">
      <c r="A22">
        <v>350</v>
      </c>
    </row>
    <row r="23" spans="1:1" x14ac:dyDescent="0.25">
      <c r="A23">
        <v>400</v>
      </c>
    </row>
    <row r="24" spans="1:1" x14ac:dyDescent="0.25">
      <c r="A24">
        <v>450</v>
      </c>
    </row>
    <row r="25" spans="1:1" x14ac:dyDescent="0.25">
      <c r="A25">
        <v>500</v>
      </c>
    </row>
    <row r="26" spans="1:1" x14ac:dyDescent="0.25">
      <c r="A26">
        <v>550</v>
      </c>
    </row>
    <row r="27" spans="1:1" x14ac:dyDescent="0.25">
      <c r="A27">
        <v>600</v>
      </c>
    </row>
    <row r="28" spans="1:1" x14ac:dyDescent="0.25">
      <c r="A28">
        <v>650</v>
      </c>
    </row>
    <row r="29" spans="1:1" x14ac:dyDescent="0.25">
      <c r="A29">
        <v>700</v>
      </c>
    </row>
    <row r="30" spans="1:1" x14ac:dyDescent="0.25">
      <c r="A30">
        <v>750</v>
      </c>
    </row>
    <row r="31" spans="1:1" x14ac:dyDescent="0.25">
      <c r="A31">
        <v>800</v>
      </c>
    </row>
    <row r="32" spans="1:1" x14ac:dyDescent="0.25">
      <c r="A32">
        <v>850</v>
      </c>
    </row>
    <row r="33" spans="1:1" x14ac:dyDescent="0.25">
      <c r="A33">
        <v>900</v>
      </c>
    </row>
    <row r="34" spans="1:1" x14ac:dyDescent="0.25">
      <c r="A34">
        <v>950</v>
      </c>
    </row>
    <row r="35" spans="1:1" x14ac:dyDescent="0.25">
      <c r="A35">
        <v>1000</v>
      </c>
    </row>
    <row r="36" spans="1:1" x14ac:dyDescent="0.25">
      <c r="A36">
        <v>1050</v>
      </c>
    </row>
    <row r="37" spans="1:1" x14ac:dyDescent="0.25">
      <c r="A37">
        <v>1100</v>
      </c>
    </row>
    <row r="38" spans="1:1" x14ac:dyDescent="0.25">
      <c r="A38">
        <v>1150</v>
      </c>
    </row>
    <row r="39" spans="1:1" x14ac:dyDescent="0.25">
      <c r="A39">
        <v>1200</v>
      </c>
    </row>
    <row r="40" spans="1:1" x14ac:dyDescent="0.25">
      <c r="A40">
        <v>1250</v>
      </c>
    </row>
    <row r="41" spans="1:1" x14ac:dyDescent="0.25">
      <c r="A41">
        <v>1300</v>
      </c>
    </row>
    <row r="42" spans="1:1" x14ac:dyDescent="0.25">
      <c r="A42">
        <v>1350</v>
      </c>
    </row>
    <row r="43" spans="1:1" x14ac:dyDescent="0.25">
      <c r="A43">
        <v>1400</v>
      </c>
    </row>
    <row r="44" spans="1:1" x14ac:dyDescent="0.25">
      <c r="A44">
        <v>1450</v>
      </c>
    </row>
    <row r="45" spans="1:1" x14ac:dyDescent="0.25">
      <c r="A45">
        <v>1500</v>
      </c>
    </row>
    <row r="46" spans="1:1" x14ac:dyDescent="0.25">
      <c r="A46">
        <v>1550</v>
      </c>
    </row>
    <row r="47" spans="1:1" x14ac:dyDescent="0.25">
      <c r="A47">
        <v>1600</v>
      </c>
    </row>
    <row r="48" spans="1:1" x14ac:dyDescent="0.25">
      <c r="A48">
        <v>1650</v>
      </c>
    </row>
    <row r="49" spans="1:1" x14ac:dyDescent="0.25">
      <c r="A49">
        <v>1700</v>
      </c>
    </row>
    <row r="50" spans="1:1" x14ac:dyDescent="0.25">
      <c r="A50">
        <v>1750</v>
      </c>
    </row>
    <row r="51" spans="1:1" x14ac:dyDescent="0.25">
      <c r="A51">
        <v>1800</v>
      </c>
    </row>
    <row r="52" spans="1:1" x14ac:dyDescent="0.25">
      <c r="A52">
        <v>1850</v>
      </c>
    </row>
    <row r="53" spans="1:1" x14ac:dyDescent="0.25">
      <c r="A53">
        <v>1900</v>
      </c>
    </row>
    <row r="54" spans="1:1" x14ac:dyDescent="0.25">
      <c r="A54">
        <v>1950</v>
      </c>
    </row>
    <row r="55" spans="1:1" x14ac:dyDescent="0.25">
      <c r="A55">
        <v>2000</v>
      </c>
    </row>
    <row r="56" spans="1:1" x14ac:dyDescent="0.25">
      <c r="A56">
        <v>2050</v>
      </c>
    </row>
    <row r="57" spans="1:1" x14ac:dyDescent="0.25">
      <c r="A57">
        <v>2100</v>
      </c>
    </row>
    <row r="58" spans="1:1" x14ac:dyDescent="0.25">
      <c r="A58">
        <v>2150</v>
      </c>
    </row>
    <row r="59" spans="1:1" x14ac:dyDescent="0.25">
      <c r="A59">
        <v>2200</v>
      </c>
    </row>
    <row r="60" spans="1:1" x14ac:dyDescent="0.25">
      <c r="A60">
        <v>2250</v>
      </c>
    </row>
    <row r="61" spans="1:1" x14ac:dyDescent="0.25">
      <c r="A61">
        <v>2300</v>
      </c>
    </row>
    <row r="62" spans="1:1" x14ac:dyDescent="0.25">
      <c r="A62">
        <v>2350</v>
      </c>
    </row>
    <row r="63" spans="1:1" x14ac:dyDescent="0.25">
      <c r="A63">
        <v>2400</v>
      </c>
    </row>
    <row r="64" spans="1:1" x14ac:dyDescent="0.25">
      <c r="A64">
        <v>2450</v>
      </c>
    </row>
    <row r="65" spans="1:1" x14ac:dyDescent="0.25">
      <c r="A65">
        <v>2500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Sheet2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2017-11-26T16:50:48Z</dcterms:modified>
</cp:coreProperties>
</file>