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32010" yWindow="0" windowWidth="20400" windowHeight="9945"/>
  </bookViews>
  <sheets>
    <sheet name="Calculate from Values" sheetId="3" r:id="rId1"/>
    <sheet name="Sheet1" sheetId="1" r:id="rId2"/>
    <sheet name="Sheet2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3" l="1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R2" i="3"/>
  <c r="M2" i="3" l="1"/>
  <c r="H2" i="3"/>
  <c r="A11" i="4" l="1"/>
  <c r="C11" i="4" s="1"/>
  <c r="C5" i="4"/>
  <c r="A10" i="4" l="1"/>
  <c r="A9" i="4"/>
  <c r="B8" i="4"/>
  <c r="A8" i="4"/>
  <c r="L2" i="4"/>
  <c r="B10" i="4" s="1"/>
  <c r="C10" i="4" s="1"/>
  <c r="K2" i="4"/>
  <c r="B9" i="4" s="1"/>
  <c r="C9" i="4" s="1"/>
  <c r="B7" i="4"/>
  <c r="A7" i="4"/>
  <c r="C7" i="4" l="1"/>
  <c r="C8" i="4"/>
  <c r="B6" i="4"/>
  <c r="C6" i="4" s="1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W31" i="3" l="1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X7" i="3"/>
  <c r="W7" i="3"/>
  <c r="L4" i="3" l="1"/>
  <c r="K4" i="3"/>
  <c r="W2" i="3" l="1"/>
  <c r="V2" i="3"/>
  <c r="J18" i="3" l="1"/>
  <c r="J15" i="3"/>
  <c r="J19" i="3"/>
  <c r="J23" i="3"/>
  <c r="J20" i="3"/>
  <c r="J16" i="3"/>
  <c r="J24" i="3"/>
  <c r="J17" i="3"/>
  <c r="J21" i="3"/>
  <c r="J25" i="3"/>
  <c r="J22" i="3"/>
  <c r="X2" i="3"/>
  <c r="J10" i="3" s="1"/>
  <c r="M4" i="3"/>
  <c r="Y2" i="3"/>
  <c r="J7" i="3" l="1"/>
  <c r="J14" i="3"/>
  <c r="J13" i="3"/>
  <c r="J8" i="3"/>
  <c r="J12" i="3"/>
  <c r="J11" i="3"/>
  <c r="J9" i="3"/>
  <c r="AB2" i="3"/>
  <c r="D2" i="3" s="1"/>
  <c r="X54" i="3" l="1"/>
  <c r="X60" i="3"/>
  <c r="X9" i="3"/>
  <c r="X15" i="3"/>
  <c r="X21" i="3"/>
  <c r="X29" i="3"/>
  <c r="X31" i="3"/>
  <c r="X33" i="3"/>
  <c r="X35" i="3"/>
  <c r="X37" i="3"/>
  <c r="X39" i="3"/>
  <c r="X41" i="3"/>
  <c r="X43" i="3"/>
  <c r="X45" i="3"/>
  <c r="X47" i="3"/>
  <c r="X49" i="3"/>
  <c r="X51" i="3"/>
  <c r="X53" i="3"/>
  <c r="X55" i="3"/>
  <c r="X57" i="3"/>
  <c r="X59" i="3"/>
  <c r="X61" i="3"/>
  <c r="X8" i="3"/>
  <c r="X10" i="3"/>
  <c r="X12" i="3"/>
  <c r="X14" i="3"/>
  <c r="X16" i="3"/>
  <c r="X18" i="3"/>
  <c r="X20" i="3"/>
  <c r="X22" i="3"/>
  <c r="X24" i="3"/>
  <c r="X26" i="3"/>
  <c r="X28" i="3"/>
  <c r="X30" i="3"/>
  <c r="X34" i="3"/>
  <c r="X38" i="3"/>
  <c r="X42" i="3"/>
  <c r="X46" i="3"/>
  <c r="X50" i="3"/>
  <c r="X56" i="3"/>
  <c r="X62" i="3"/>
  <c r="X13" i="3"/>
  <c r="X17" i="3"/>
  <c r="X23" i="3"/>
  <c r="X27" i="3"/>
  <c r="X32" i="3"/>
  <c r="X36" i="3"/>
  <c r="X40" i="3"/>
  <c r="X44" i="3"/>
  <c r="X48" i="3"/>
  <c r="X52" i="3"/>
  <c r="X58" i="3"/>
  <c r="X11" i="3"/>
  <c r="X19" i="3"/>
  <c r="X25" i="3"/>
  <c r="J4" i="3"/>
  <c r="V4" i="3" l="1"/>
  <c r="O4" i="3"/>
  <c r="P4" i="3"/>
  <c r="H4" i="3" s="1"/>
  <c r="K7" i="3" l="1"/>
  <c r="L7" i="3"/>
  <c r="V59" i="3"/>
  <c r="D59" i="3" s="1"/>
  <c r="V58" i="3"/>
  <c r="V57" i="3"/>
  <c r="V60" i="3"/>
  <c r="V55" i="3"/>
  <c r="D55" i="3" s="1"/>
  <c r="G55" i="3" s="1"/>
  <c r="I55" i="3" s="1"/>
  <c r="V62" i="3"/>
  <c r="V61" i="3"/>
  <c r="V56" i="3"/>
  <c r="G59" i="3"/>
  <c r="I59" i="3" s="1"/>
  <c r="V44" i="3"/>
  <c r="D44" i="3" s="1"/>
  <c r="V48" i="3"/>
  <c r="D48" i="3" s="1"/>
  <c r="V52" i="3"/>
  <c r="V51" i="3"/>
  <c r="D51" i="3" s="1"/>
  <c r="V45" i="3"/>
  <c r="D45" i="3" s="1"/>
  <c r="V49" i="3"/>
  <c r="D49" i="3" s="1"/>
  <c r="V53" i="3"/>
  <c r="V43" i="3"/>
  <c r="D43" i="3" s="1"/>
  <c r="V46" i="3"/>
  <c r="D46" i="3" s="1"/>
  <c r="V50" i="3"/>
  <c r="D50" i="3" s="1"/>
  <c r="V54" i="3"/>
  <c r="V47" i="3"/>
  <c r="D47" i="3" s="1"/>
  <c r="R4" i="3"/>
  <c r="V9" i="3"/>
  <c r="V13" i="3"/>
  <c r="V17" i="3"/>
  <c r="V21" i="3"/>
  <c r="V25" i="3"/>
  <c r="V29" i="3"/>
  <c r="D29" i="3" s="1"/>
  <c r="V33" i="3"/>
  <c r="D33" i="3" s="1"/>
  <c r="V37" i="3"/>
  <c r="D37" i="3" s="1"/>
  <c r="V41" i="3"/>
  <c r="D41" i="3" s="1"/>
  <c r="V14" i="3"/>
  <c r="V22" i="3"/>
  <c r="V30" i="3"/>
  <c r="D30" i="3" s="1"/>
  <c r="V38" i="3"/>
  <c r="D38" i="3" s="1"/>
  <c r="V7" i="3"/>
  <c r="V11" i="3"/>
  <c r="V15" i="3"/>
  <c r="V19" i="3"/>
  <c r="V23" i="3"/>
  <c r="V27" i="3"/>
  <c r="V31" i="3"/>
  <c r="D31" i="3" s="1"/>
  <c r="V35" i="3"/>
  <c r="D35" i="3" s="1"/>
  <c r="V39" i="3"/>
  <c r="D39" i="3" s="1"/>
  <c r="V8" i="3"/>
  <c r="V12" i="3"/>
  <c r="V16" i="3"/>
  <c r="V20" i="3"/>
  <c r="V24" i="3"/>
  <c r="V28" i="3"/>
  <c r="D28" i="3" s="1"/>
  <c r="V32" i="3"/>
  <c r="D32" i="3" s="1"/>
  <c r="V36" i="3"/>
  <c r="D36" i="3" s="1"/>
  <c r="V40" i="3"/>
  <c r="D40" i="3" s="1"/>
  <c r="V10" i="3"/>
  <c r="V18" i="3"/>
  <c r="V26" i="3"/>
  <c r="V34" i="3"/>
  <c r="D34" i="3" s="1"/>
  <c r="V42" i="3"/>
  <c r="D42" i="3" s="1"/>
  <c r="Q4" i="3"/>
  <c r="S4" i="3"/>
  <c r="D61" i="3" l="1"/>
  <c r="G61" i="3" s="1"/>
  <c r="I61" i="3" s="1"/>
  <c r="D62" i="3"/>
  <c r="G62" i="3" s="1"/>
  <c r="I62" i="3" s="1"/>
  <c r="D58" i="3"/>
  <c r="G58" i="3" s="1"/>
  <c r="I58" i="3" s="1"/>
  <c r="D57" i="3"/>
  <c r="G57" i="3" s="1"/>
  <c r="I57" i="3" s="1"/>
  <c r="D54" i="3"/>
  <c r="G54" i="3" s="1"/>
  <c r="I54" i="3" s="1"/>
  <c r="D53" i="3"/>
  <c r="G53" i="3" s="1"/>
  <c r="I53" i="3" s="1"/>
  <c r="D52" i="3"/>
  <c r="G52" i="3" s="1"/>
  <c r="I52" i="3" s="1"/>
  <c r="D56" i="3"/>
  <c r="G56" i="3" s="1"/>
  <c r="I56" i="3" s="1"/>
  <c r="D60" i="3"/>
  <c r="G60" i="3" s="1"/>
  <c r="I60" i="3" s="1"/>
  <c r="U60" i="3"/>
  <c r="U56" i="3"/>
  <c r="U57" i="3"/>
  <c r="U58" i="3"/>
  <c r="U59" i="3"/>
  <c r="U62" i="3"/>
  <c r="U61" i="3"/>
  <c r="U55" i="3"/>
  <c r="T61" i="3"/>
  <c r="T56" i="3"/>
  <c r="T58" i="3"/>
  <c r="T62" i="3"/>
  <c r="T57" i="3"/>
  <c r="T60" i="3"/>
  <c r="T59" i="3"/>
  <c r="T55" i="3"/>
  <c r="U46" i="3"/>
  <c r="U51" i="3"/>
  <c r="G51" i="3" s="1"/>
  <c r="I51" i="3" s="1"/>
  <c r="U48" i="3"/>
  <c r="U50" i="3"/>
  <c r="U45" i="3"/>
  <c r="U52" i="3"/>
  <c r="U43" i="3"/>
  <c r="U54" i="3"/>
  <c r="U53" i="3"/>
  <c r="U49" i="3"/>
  <c r="U47" i="3"/>
  <c r="U44" i="3"/>
  <c r="T45" i="3"/>
  <c r="G45" i="3" s="1"/>
  <c r="I45" i="3" s="1"/>
  <c r="T49" i="3"/>
  <c r="G49" i="3" s="1"/>
  <c r="I49" i="3" s="1"/>
  <c r="T53" i="3"/>
  <c r="T43" i="3"/>
  <c r="G43" i="3" s="1"/>
  <c r="I43" i="3" s="1"/>
  <c r="T52" i="3"/>
  <c r="T46" i="3"/>
  <c r="G46" i="3" s="1"/>
  <c r="I46" i="3" s="1"/>
  <c r="T50" i="3"/>
  <c r="T54" i="3"/>
  <c r="T44" i="3"/>
  <c r="T47" i="3"/>
  <c r="T51" i="3"/>
  <c r="T48" i="3"/>
  <c r="G48" i="3" s="1"/>
  <c r="I48" i="3" s="1"/>
  <c r="U7" i="3"/>
  <c r="U23" i="3"/>
  <c r="U39" i="3"/>
  <c r="U20" i="3"/>
  <c r="U36" i="3"/>
  <c r="U17" i="3"/>
  <c r="U33" i="3"/>
  <c r="U26" i="3"/>
  <c r="U30" i="3"/>
  <c r="U11" i="3"/>
  <c r="U27" i="3"/>
  <c r="D27" i="3" s="1"/>
  <c r="U8" i="3"/>
  <c r="U24" i="3"/>
  <c r="U40" i="3"/>
  <c r="U21" i="3"/>
  <c r="U37" i="3"/>
  <c r="U42" i="3"/>
  <c r="U38" i="3"/>
  <c r="U19" i="3"/>
  <c r="U16" i="3"/>
  <c r="U13" i="3"/>
  <c r="U10" i="3"/>
  <c r="U34" i="3"/>
  <c r="U15" i="3"/>
  <c r="U31" i="3"/>
  <c r="U12" i="3"/>
  <c r="U28" i="3"/>
  <c r="U9" i="3"/>
  <c r="U25" i="3"/>
  <c r="U41" i="3"/>
  <c r="U22" i="3"/>
  <c r="U18" i="3"/>
  <c r="U35" i="3"/>
  <c r="U32" i="3"/>
  <c r="U29" i="3"/>
  <c r="U14" i="3"/>
  <c r="T7" i="3"/>
  <c r="T11" i="3"/>
  <c r="T15" i="3"/>
  <c r="T19" i="3"/>
  <c r="T23" i="3"/>
  <c r="T27" i="3"/>
  <c r="T31" i="3"/>
  <c r="T35" i="3"/>
  <c r="G35" i="3" s="1"/>
  <c r="I35" i="3" s="1"/>
  <c r="T39" i="3"/>
  <c r="T8" i="3"/>
  <c r="T12" i="3"/>
  <c r="T16" i="3"/>
  <c r="T20" i="3"/>
  <c r="T24" i="3"/>
  <c r="T28" i="3"/>
  <c r="T32" i="3"/>
  <c r="T36" i="3"/>
  <c r="G36" i="3" s="1"/>
  <c r="I36" i="3" s="1"/>
  <c r="T40" i="3"/>
  <c r="G40" i="3" s="1"/>
  <c r="I40" i="3" s="1"/>
  <c r="T9" i="3"/>
  <c r="T13" i="3"/>
  <c r="T17" i="3"/>
  <c r="D17" i="3" s="1"/>
  <c r="T21" i="3"/>
  <c r="T25" i="3"/>
  <c r="T29" i="3"/>
  <c r="T33" i="3"/>
  <c r="T37" i="3"/>
  <c r="T41" i="3"/>
  <c r="G41" i="3" s="1"/>
  <c r="I41" i="3" s="1"/>
  <c r="T10" i="3"/>
  <c r="T26" i="3"/>
  <c r="T42" i="3"/>
  <c r="G42" i="3" s="1"/>
  <c r="I42" i="3" s="1"/>
  <c r="T38" i="3"/>
  <c r="T14" i="3"/>
  <c r="T30" i="3"/>
  <c r="T18" i="3"/>
  <c r="D18" i="3" s="1"/>
  <c r="T34" i="3"/>
  <c r="G34" i="3" s="1"/>
  <c r="I34" i="3" s="1"/>
  <c r="T22" i="3"/>
  <c r="D20" i="3" l="1"/>
  <c r="D26" i="3"/>
  <c r="D25" i="3"/>
  <c r="D21" i="3"/>
  <c r="D22" i="3"/>
  <c r="D19" i="3"/>
  <c r="D23" i="3"/>
  <c r="D24" i="3"/>
  <c r="G47" i="3"/>
  <c r="I47" i="3" s="1"/>
  <c r="G39" i="3"/>
  <c r="I39" i="3" s="1"/>
  <c r="G50" i="3"/>
  <c r="I50" i="3" s="1"/>
  <c r="G44" i="3"/>
  <c r="I44" i="3" s="1"/>
  <c r="D4" i="3"/>
  <c r="E4" i="3"/>
  <c r="A4" i="3"/>
  <c r="F4" i="3"/>
  <c r="I4" i="3" l="1"/>
  <c r="N61" i="3"/>
  <c r="N58" i="3"/>
  <c r="N62" i="3"/>
  <c r="N55" i="3"/>
  <c r="N56" i="3"/>
  <c r="N59" i="3"/>
  <c r="N60" i="3"/>
  <c r="N57" i="3"/>
  <c r="S58" i="3"/>
  <c r="S57" i="3"/>
  <c r="S56" i="3"/>
  <c r="S61" i="3"/>
  <c r="S62" i="3"/>
  <c r="S60" i="3"/>
  <c r="S59" i="3"/>
  <c r="S55" i="3"/>
  <c r="Q58" i="3"/>
  <c r="B58" i="3" s="1"/>
  <c r="F58" i="3" s="1"/>
  <c r="J58" i="3" s="1"/>
  <c r="Q62" i="3"/>
  <c r="B62" i="3" s="1"/>
  <c r="F62" i="3" s="1"/>
  <c r="J62" i="3" s="1"/>
  <c r="Q55" i="3"/>
  <c r="Q56" i="3"/>
  <c r="Q59" i="3"/>
  <c r="B59" i="3" s="1"/>
  <c r="F59" i="3" s="1"/>
  <c r="J59" i="3" s="1"/>
  <c r="Q60" i="3"/>
  <c r="Q57" i="3"/>
  <c r="B57" i="3" s="1"/>
  <c r="F57" i="3" s="1"/>
  <c r="J57" i="3" s="1"/>
  <c r="Q61" i="3"/>
  <c r="P61" i="3"/>
  <c r="P56" i="3"/>
  <c r="P58" i="3"/>
  <c r="P62" i="3"/>
  <c r="P57" i="3"/>
  <c r="P60" i="3"/>
  <c r="P59" i="3"/>
  <c r="P55" i="3"/>
  <c r="N47" i="3"/>
  <c r="N51" i="3"/>
  <c r="S45" i="3"/>
  <c r="S49" i="3"/>
  <c r="S53" i="3"/>
  <c r="N43" i="3"/>
  <c r="N44" i="3"/>
  <c r="N48" i="3"/>
  <c r="N52" i="3"/>
  <c r="S46" i="3"/>
  <c r="S50" i="3"/>
  <c r="S54" i="3"/>
  <c r="S43" i="3"/>
  <c r="N50" i="3"/>
  <c r="S44" i="3"/>
  <c r="S48" i="3"/>
  <c r="N45" i="3"/>
  <c r="N49" i="3"/>
  <c r="N53" i="3"/>
  <c r="S47" i="3"/>
  <c r="S51" i="3"/>
  <c r="N46" i="3"/>
  <c r="N54" i="3"/>
  <c r="S52" i="3"/>
  <c r="Q45" i="3"/>
  <c r="B45" i="3" s="1"/>
  <c r="Q49" i="3"/>
  <c r="B49" i="3" s="1"/>
  <c r="Q53" i="3"/>
  <c r="Q43" i="3"/>
  <c r="B43" i="3" s="1"/>
  <c r="Q52" i="3"/>
  <c r="B52" i="3" s="1"/>
  <c r="Q46" i="3"/>
  <c r="B46" i="3" s="1"/>
  <c r="Q50" i="3"/>
  <c r="B50" i="3" s="1"/>
  <c r="Q54" i="3"/>
  <c r="Q48" i="3"/>
  <c r="B48" i="3" s="1"/>
  <c r="Q47" i="3"/>
  <c r="B47" i="3" s="1"/>
  <c r="Q51" i="3"/>
  <c r="B51" i="3" s="1"/>
  <c r="Q44" i="3"/>
  <c r="B44" i="3" s="1"/>
  <c r="F52" i="3"/>
  <c r="J52" i="3" s="1"/>
  <c r="P45" i="3"/>
  <c r="P49" i="3"/>
  <c r="P53" i="3"/>
  <c r="P46" i="3"/>
  <c r="P50" i="3"/>
  <c r="P54" i="3"/>
  <c r="P44" i="3"/>
  <c r="P52" i="3"/>
  <c r="P47" i="3"/>
  <c r="P51" i="3"/>
  <c r="P43" i="3"/>
  <c r="P48" i="3"/>
  <c r="P7" i="3"/>
  <c r="P11" i="3"/>
  <c r="P15" i="3"/>
  <c r="P19" i="3"/>
  <c r="P23" i="3"/>
  <c r="P27" i="3"/>
  <c r="P31" i="3"/>
  <c r="P35" i="3"/>
  <c r="P39" i="3"/>
  <c r="P8" i="3"/>
  <c r="P12" i="3"/>
  <c r="P16" i="3"/>
  <c r="P20" i="3"/>
  <c r="P24" i="3"/>
  <c r="P28" i="3"/>
  <c r="P32" i="3"/>
  <c r="P36" i="3"/>
  <c r="P40" i="3"/>
  <c r="P9" i="3"/>
  <c r="P13" i="3"/>
  <c r="P17" i="3"/>
  <c r="P21" i="3"/>
  <c r="P25" i="3"/>
  <c r="P29" i="3"/>
  <c r="P33" i="3"/>
  <c r="P37" i="3"/>
  <c r="P41" i="3"/>
  <c r="P10" i="3"/>
  <c r="P26" i="3"/>
  <c r="P42" i="3"/>
  <c r="P22" i="3"/>
  <c r="P14" i="3"/>
  <c r="P30" i="3"/>
  <c r="P38" i="3"/>
  <c r="P18" i="3"/>
  <c r="P34" i="3"/>
  <c r="Q7" i="3"/>
  <c r="Q11" i="3"/>
  <c r="Q15" i="3"/>
  <c r="Q19" i="3"/>
  <c r="Q23" i="3"/>
  <c r="Q27" i="3"/>
  <c r="B27" i="3" s="1"/>
  <c r="Q31" i="3"/>
  <c r="B31" i="3" s="1"/>
  <c r="Q35" i="3"/>
  <c r="B35" i="3" s="1"/>
  <c r="Q39" i="3"/>
  <c r="B39" i="3" s="1"/>
  <c r="Q8" i="3"/>
  <c r="Q12" i="3"/>
  <c r="Q16" i="3"/>
  <c r="Q20" i="3"/>
  <c r="Q24" i="3"/>
  <c r="Q28" i="3"/>
  <c r="B28" i="3" s="1"/>
  <c r="Q32" i="3"/>
  <c r="B32" i="3" s="1"/>
  <c r="Q36" i="3"/>
  <c r="B36" i="3" s="1"/>
  <c r="Q40" i="3"/>
  <c r="B40" i="3" s="1"/>
  <c r="Q9" i="3"/>
  <c r="Q13" i="3"/>
  <c r="Q17" i="3"/>
  <c r="Q21" i="3"/>
  <c r="Q25" i="3"/>
  <c r="Q29" i="3"/>
  <c r="B29" i="3" s="1"/>
  <c r="Q33" i="3"/>
  <c r="B33" i="3" s="1"/>
  <c r="Q37" i="3"/>
  <c r="B37" i="3" s="1"/>
  <c r="Q41" i="3"/>
  <c r="B41" i="3" s="1"/>
  <c r="Q14" i="3"/>
  <c r="Q30" i="3"/>
  <c r="B30" i="3" s="1"/>
  <c r="Q10" i="3"/>
  <c r="Q18" i="3"/>
  <c r="Q34" i="3"/>
  <c r="B34" i="3" s="1"/>
  <c r="Q42" i="3"/>
  <c r="B42" i="3" s="1"/>
  <c r="Q22" i="3"/>
  <c r="Q38" i="3"/>
  <c r="B38" i="3" s="1"/>
  <c r="Q26" i="3"/>
  <c r="S7" i="3"/>
  <c r="S11" i="3"/>
  <c r="D11" i="3" s="1"/>
  <c r="S15" i="3"/>
  <c r="S19" i="3"/>
  <c r="G19" i="3" s="1"/>
  <c r="S23" i="3"/>
  <c r="G23" i="3" s="1"/>
  <c r="I23" i="3" s="1"/>
  <c r="S27" i="3"/>
  <c r="G27" i="3" s="1"/>
  <c r="I27" i="3" s="1"/>
  <c r="S31" i="3"/>
  <c r="G31" i="3" s="1"/>
  <c r="I31" i="3" s="1"/>
  <c r="S35" i="3"/>
  <c r="S39" i="3"/>
  <c r="N7" i="3"/>
  <c r="N11" i="3"/>
  <c r="B11" i="3" s="1"/>
  <c r="N15" i="3"/>
  <c r="N19" i="3"/>
  <c r="N23" i="3"/>
  <c r="N27" i="3"/>
  <c r="N31" i="3"/>
  <c r="N35" i="3"/>
  <c r="N39" i="3"/>
  <c r="S8" i="3"/>
  <c r="S12" i="3"/>
  <c r="D12" i="3" s="1"/>
  <c r="S16" i="3"/>
  <c r="S20" i="3"/>
  <c r="G20" i="3" s="1"/>
  <c r="I20" i="3" s="1"/>
  <c r="S24" i="3"/>
  <c r="G24" i="3" s="1"/>
  <c r="I24" i="3" s="1"/>
  <c r="S28" i="3"/>
  <c r="G28" i="3" s="1"/>
  <c r="I28" i="3" s="1"/>
  <c r="S32" i="3"/>
  <c r="G32" i="3" s="1"/>
  <c r="I32" i="3" s="1"/>
  <c r="S36" i="3"/>
  <c r="S40" i="3"/>
  <c r="N8" i="3"/>
  <c r="N12" i="3"/>
  <c r="B12" i="3" s="1"/>
  <c r="N16" i="3"/>
  <c r="N20" i="3"/>
  <c r="N24" i="3"/>
  <c r="N28" i="3"/>
  <c r="N32" i="3"/>
  <c r="N36" i="3"/>
  <c r="N40" i="3"/>
  <c r="S9" i="3"/>
  <c r="S13" i="3"/>
  <c r="S17" i="3"/>
  <c r="G17" i="3" s="1"/>
  <c r="S21" i="3"/>
  <c r="G21" i="3" s="1"/>
  <c r="I21" i="3" s="1"/>
  <c r="S25" i="3"/>
  <c r="G25" i="3" s="1"/>
  <c r="I25" i="3" s="1"/>
  <c r="S29" i="3"/>
  <c r="G29" i="3" s="1"/>
  <c r="I29" i="3" s="1"/>
  <c r="S33" i="3"/>
  <c r="G33" i="3" s="1"/>
  <c r="I33" i="3" s="1"/>
  <c r="S37" i="3"/>
  <c r="S41" i="3"/>
  <c r="N9" i="3"/>
  <c r="N13" i="3"/>
  <c r="B13" i="3" s="1"/>
  <c r="N17" i="3"/>
  <c r="N21" i="3"/>
  <c r="N25" i="3"/>
  <c r="N29" i="3"/>
  <c r="N33" i="3"/>
  <c r="N37" i="3"/>
  <c r="N41" i="3"/>
  <c r="S22" i="3"/>
  <c r="G22" i="3" s="1"/>
  <c r="I22" i="3" s="1"/>
  <c r="S38" i="3"/>
  <c r="N18" i="3"/>
  <c r="N34" i="3"/>
  <c r="S10" i="3"/>
  <c r="S26" i="3"/>
  <c r="G26" i="3" s="1"/>
  <c r="I26" i="3" s="1"/>
  <c r="S42" i="3"/>
  <c r="N22" i="3"/>
  <c r="N38" i="3"/>
  <c r="S18" i="3"/>
  <c r="G18" i="3" s="1"/>
  <c r="N14" i="3"/>
  <c r="S14" i="3"/>
  <c r="D14" i="3" s="1"/>
  <c r="S30" i="3"/>
  <c r="G30" i="3" s="1"/>
  <c r="I30" i="3" s="1"/>
  <c r="N10" i="3"/>
  <c r="N26" i="3"/>
  <c r="N42" i="3"/>
  <c r="S34" i="3"/>
  <c r="N30" i="3"/>
  <c r="B4" i="3"/>
  <c r="N4" i="3"/>
  <c r="G4" i="3" s="1"/>
  <c r="U4" i="3"/>
  <c r="T4" i="3"/>
  <c r="C4" i="3"/>
  <c r="A22" i="1"/>
  <c r="B13" i="1" s="1"/>
  <c r="F51" i="3" l="1"/>
  <c r="J51" i="3" s="1"/>
  <c r="Y52" i="3"/>
  <c r="D16" i="3"/>
  <c r="G16" i="3" s="1"/>
  <c r="I16" i="3" s="1"/>
  <c r="B15" i="1"/>
  <c r="B14" i="1"/>
  <c r="H57" i="3"/>
  <c r="Y57" i="3"/>
  <c r="H62" i="3"/>
  <c r="Y62" i="3"/>
  <c r="H59" i="3"/>
  <c r="Y59" i="3"/>
  <c r="H58" i="3"/>
  <c r="Y58" i="3"/>
  <c r="D15" i="3"/>
  <c r="G15" i="3" s="1"/>
  <c r="I15" i="3" s="1"/>
  <c r="D13" i="3"/>
  <c r="G13" i="3" s="1"/>
  <c r="I13" i="3" s="1"/>
  <c r="B54" i="3"/>
  <c r="F54" i="3" s="1"/>
  <c r="J54" i="3" s="1"/>
  <c r="B56" i="3"/>
  <c r="F56" i="3" s="1"/>
  <c r="J56" i="3" s="1"/>
  <c r="B55" i="3"/>
  <c r="F55" i="3" s="1"/>
  <c r="J55" i="3" s="1"/>
  <c r="B60" i="3"/>
  <c r="F60" i="3" s="1"/>
  <c r="J60" i="3" s="1"/>
  <c r="B61" i="3"/>
  <c r="F61" i="3" s="1"/>
  <c r="J61" i="3" s="1"/>
  <c r="B53" i="3"/>
  <c r="F53" i="3" s="1"/>
  <c r="J53" i="3" s="1"/>
  <c r="M61" i="3"/>
  <c r="M55" i="3"/>
  <c r="M58" i="3"/>
  <c r="M62" i="3"/>
  <c r="M56" i="3"/>
  <c r="M60" i="3"/>
  <c r="M59" i="3"/>
  <c r="M57" i="3"/>
  <c r="R59" i="3"/>
  <c r="R57" i="3"/>
  <c r="R62" i="3"/>
  <c r="R60" i="3"/>
  <c r="R58" i="3"/>
  <c r="R61" i="3"/>
  <c r="R55" i="3"/>
  <c r="R56" i="3"/>
  <c r="O58" i="3"/>
  <c r="O62" i="3"/>
  <c r="O55" i="3"/>
  <c r="O61" i="3"/>
  <c r="O59" i="3"/>
  <c r="O56" i="3"/>
  <c r="O60" i="3"/>
  <c r="O57" i="3"/>
  <c r="R44" i="3"/>
  <c r="R48" i="3"/>
  <c r="R52" i="3"/>
  <c r="R43" i="3"/>
  <c r="R51" i="3"/>
  <c r="R45" i="3"/>
  <c r="R49" i="3"/>
  <c r="R53" i="3"/>
  <c r="R46" i="3"/>
  <c r="R50" i="3"/>
  <c r="R54" i="3"/>
  <c r="R47" i="3"/>
  <c r="M46" i="3"/>
  <c r="M50" i="3"/>
  <c r="M54" i="3"/>
  <c r="M47" i="3"/>
  <c r="M51" i="3"/>
  <c r="M44" i="3"/>
  <c r="M48" i="3"/>
  <c r="M52" i="3"/>
  <c r="M43" i="3"/>
  <c r="M45" i="3"/>
  <c r="M49" i="3"/>
  <c r="M53" i="3"/>
  <c r="H51" i="3"/>
  <c r="H52" i="3"/>
  <c r="O44" i="3"/>
  <c r="F44" i="3" s="1"/>
  <c r="J44" i="3" s="1"/>
  <c r="O48" i="3"/>
  <c r="F48" i="3" s="1"/>
  <c r="J48" i="3" s="1"/>
  <c r="O52" i="3"/>
  <c r="O51" i="3"/>
  <c r="O45" i="3"/>
  <c r="F45" i="3" s="1"/>
  <c r="J45" i="3" s="1"/>
  <c r="O49" i="3"/>
  <c r="F49" i="3" s="1"/>
  <c r="J49" i="3" s="1"/>
  <c r="O53" i="3"/>
  <c r="O43" i="3"/>
  <c r="F43" i="3" s="1"/>
  <c r="J43" i="3" s="1"/>
  <c r="O46" i="3"/>
  <c r="F46" i="3" s="1"/>
  <c r="J46" i="3" s="1"/>
  <c r="O50" i="3"/>
  <c r="F50" i="3" s="1"/>
  <c r="J50" i="3" s="1"/>
  <c r="O54" i="3"/>
  <c r="O47" i="3"/>
  <c r="F47" i="3" s="1"/>
  <c r="J47" i="3" s="1"/>
  <c r="M10" i="3"/>
  <c r="M14" i="3"/>
  <c r="M18" i="3"/>
  <c r="M22" i="3"/>
  <c r="M26" i="3"/>
  <c r="M30" i="3"/>
  <c r="M34" i="3"/>
  <c r="M38" i="3"/>
  <c r="M42" i="3"/>
  <c r="M13" i="3"/>
  <c r="M25" i="3"/>
  <c r="M37" i="3"/>
  <c r="M7" i="3"/>
  <c r="B7" i="3" s="1"/>
  <c r="M11" i="3"/>
  <c r="F11" i="3" s="1"/>
  <c r="M15" i="3"/>
  <c r="M19" i="3"/>
  <c r="M23" i="3"/>
  <c r="M27" i="3"/>
  <c r="M31" i="3"/>
  <c r="M35" i="3"/>
  <c r="M39" i="3"/>
  <c r="M17" i="3"/>
  <c r="M29" i="3"/>
  <c r="M41" i="3"/>
  <c r="M8" i="3"/>
  <c r="B8" i="3" s="1"/>
  <c r="M12" i="3"/>
  <c r="M16" i="3"/>
  <c r="M20" i="3"/>
  <c r="M24" i="3"/>
  <c r="M28" i="3"/>
  <c r="M32" i="3"/>
  <c r="M36" i="3"/>
  <c r="M40" i="3"/>
  <c r="M9" i="3"/>
  <c r="B9" i="3" s="1"/>
  <c r="M21" i="3"/>
  <c r="M33" i="3"/>
  <c r="R7" i="3"/>
  <c r="R11" i="3"/>
  <c r="G11" i="3" s="1"/>
  <c r="R15" i="3"/>
  <c r="R19" i="3"/>
  <c r="R23" i="3"/>
  <c r="R27" i="3"/>
  <c r="R31" i="3"/>
  <c r="R35" i="3"/>
  <c r="R39" i="3"/>
  <c r="R8" i="3"/>
  <c r="D8" i="3" s="1"/>
  <c r="R12" i="3"/>
  <c r="R16" i="3"/>
  <c r="R20" i="3"/>
  <c r="R24" i="3"/>
  <c r="R28" i="3"/>
  <c r="R32" i="3"/>
  <c r="R36" i="3"/>
  <c r="R40" i="3"/>
  <c r="R9" i="3"/>
  <c r="R13" i="3"/>
  <c r="R17" i="3"/>
  <c r="R21" i="3"/>
  <c r="R25" i="3"/>
  <c r="R29" i="3"/>
  <c r="R33" i="3"/>
  <c r="R37" i="3"/>
  <c r="G37" i="3" s="1"/>
  <c r="I37" i="3" s="1"/>
  <c r="R41" i="3"/>
  <c r="R18" i="3"/>
  <c r="R34" i="3"/>
  <c r="R22" i="3"/>
  <c r="R38" i="3"/>
  <c r="G38" i="3" s="1"/>
  <c r="I38" i="3" s="1"/>
  <c r="R30" i="3"/>
  <c r="R10" i="3"/>
  <c r="D10" i="3" s="1"/>
  <c r="R26" i="3"/>
  <c r="R42" i="3"/>
  <c r="R14" i="3"/>
  <c r="G14" i="3" s="1"/>
  <c r="I14" i="3" s="1"/>
  <c r="O7" i="3"/>
  <c r="O11" i="3"/>
  <c r="O15" i="3"/>
  <c r="O19" i="3"/>
  <c r="B19" i="3" s="1"/>
  <c r="O23" i="3"/>
  <c r="O27" i="3"/>
  <c r="F27" i="3" s="1"/>
  <c r="J27" i="3" s="1"/>
  <c r="O31" i="3"/>
  <c r="F31" i="3" s="1"/>
  <c r="J31" i="3" s="1"/>
  <c r="O35" i="3"/>
  <c r="F35" i="3" s="1"/>
  <c r="J35" i="3" s="1"/>
  <c r="O39" i="3"/>
  <c r="F39" i="3" s="1"/>
  <c r="J39" i="3" s="1"/>
  <c r="O8" i="3"/>
  <c r="O12" i="3"/>
  <c r="O16" i="3"/>
  <c r="O20" i="3"/>
  <c r="B20" i="3" s="1"/>
  <c r="O24" i="3"/>
  <c r="O28" i="3"/>
  <c r="F28" i="3" s="1"/>
  <c r="J28" i="3" s="1"/>
  <c r="O32" i="3"/>
  <c r="F32" i="3" s="1"/>
  <c r="J32" i="3" s="1"/>
  <c r="O36" i="3"/>
  <c r="F36" i="3" s="1"/>
  <c r="J36" i="3" s="1"/>
  <c r="O40" i="3"/>
  <c r="F40" i="3" s="1"/>
  <c r="J40" i="3" s="1"/>
  <c r="O9" i="3"/>
  <c r="O13" i="3"/>
  <c r="O17" i="3"/>
  <c r="O21" i="3"/>
  <c r="B21" i="3" s="1"/>
  <c r="O25" i="3"/>
  <c r="O29" i="3"/>
  <c r="F29" i="3" s="1"/>
  <c r="J29" i="3" s="1"/>
  <c r="O33" i="3"/>
  <c r="F33" i="3" s="1"/>
  <c r="J33" i="3" s="1"/>
  <c r="O37" i="3"/>
  <c r="F37" i="3" s="1"/>
  <c r="J37" i="3" s="1"/>
  <c r="O41" i="3"/>
  <c r="F41" i="3" s="1"/>
  <c r="J41" i="3" s="1"/>
  <c r="O22" i="3"/>
  <c r="O38" i="3"/>
  <c r="F38" i="3" s="1"/>
  <c r="J38" i="3" s="1"/>
  <c r="O34" i="3"/>
  <c r="F34" i="3" s="1"/>
  <c r="J34" i="3" s="1"/>
  <c r="O10" i="3"/>
  <c r="O26" i="3"/>
  <c r="B26" i="3" s="1"/>
  <c r="O42" i="3"/>
  <c r="F42" i="3" s="1"/>
  <c r="J42" i="3" s="1"/>
  <c r="O14" i="3"/>
  <c r="O30" i="3"/>
  <c r="F30" i="3" s="1"/>
  <c r="J30" i="3" s="1"/>
  <c r="O18" i="3"/>
  <c r="I18" i="3"/>
  <c r="I19" i="3"/>
  <c r="I17" i="3"/>
  <c r="G12" i="3"/>
  <c r="F12" i="3"/>
  <c r="F13" i="3"/>
  <c r="D22" i="1"/>
  <c r="F26" i="3" l="1"/>
  <c r="J26" i="3" s="1"/>
  <c r="Y51" i="3"/>
  <c r="Y40" i="3"/>
  <c r="Y39" i="3"/>
  <c r="Y46" i="3"/>
  <c r="Y45" i="3"/>
  <c r="Y44" i="3"/>
  <c r="Y50" i="3"/>
  <c r="Y49" i="3"/>
  <c r="Y48" i="3"/>
  <c r="Y47" i="3"/>
  <c r="Y43" i="3"/>
  <c r="Y42" i="3"/>
  <c r="Y41" i="3"/>
  <c r="B25" i="3"/>
  <c r="F25" i="3" s="1"/>
  <c r="Y38" i="3"/>
  <c r="B10" i="3"/>
  <c r="F10" i="3" s="1"/>
  <c r="Y12" i="3"/>
  <c r="Y13" i="3"/>
  <c r="Y34" i="3"/>
  <c r="Y11" i="3"/>
  <c r="Y33" i="3"/>
  <c r="Y36" i="3"/>
  <c r="H61" i="3"/>
  <c r="Y61" i="3"/>
  <c r="H54" i="3"/>
  <c r="Y54" i="3"/>
  <c r="Y37" i="3"/>
  <c r="H56" i="3"/>
  <c r="Y56" i="3"/>
  <c r="Y29" i="3"/>
  <c r="Y32" i="3"/>
  <c r="Y35" i="3"/>
  <c r="H60" i="3"/>
  <c r="Y60" i="3"/>
  <c r="Y27" i="3"/>
  <c r="H53" i="3"/>
  <c r="Y53" i="3"/>
  <c r="Y30" i="3"/>
  <c r="Y28" i="3"/>
  <c r="Y31" i="3"/>
  <c r="H55" i="3"/>
  <c r="Y55" i="3"/>
  <c r="D9" i="3"/>
  <c r="G9" i="3" s="1"/>
  <c r="I9" i="3" s="1"/>
  <c r="B24" i="3"/>
  <c r="F24" i="3" s="1"/>
  <c r="B23" i="3"/>
  <c r="F23" i="3" s="1"/>
  <c r="B15" i="3"/>
  <c r="F15" i="3" s="1"/>
  <c r="B14" i="3"/>
  <c r="F14" i="3" s="1"/>
  <c r="B17" i="3"/>
  <c r="F17" i="3" s="1"/>
  <c r="B22" i="3"/>
  <c r="F22" i="3" s="1"/>
  <c r="B16" i="3"/>
  <c r="F16" i="3" s="1"/>
  <c r="D7" i="3"/>
  <c r="G7" i="3" s="1"/>
  <c r="I7" i="3" s="1"/>
  <c r="B18" i="3"/>
  <c r="F18" i="3" s="1"/>
  <c r="H50" i="3"/>
  <c r="H49" i="3"/>
  <c r="H48" i="3"/>
  <c r="H46" i="3"/>
  <c r="H45" i="3"/>
  <c r="H44" i="3"/>
  <c r="H47" i="3"/>
  <c r="H43" i="3"/>
  <c r="G10" i="3"/>
  <c r="G8" i="3"/>
  <c r="I8" i="3" s="1"/>
  <c r="F19" i="3"/>
  <c r="F21" i="3"/>
  <c r="F20" i="3"/>
  <c r="I12" i="3"/>
  <c r="I11" i="3"/>
  <c r="H39" i="3"/>
  <c r="H34" i="3"/>
  <c r="H33" i="3"/>
  <c r="H41" i="3"/>
  <c r="H11" i="3"/>
  <c r="H40" i="3"/>
  <c r="H38" i="3"/>
  <c r="H13" i="3"/>
  <c r="H12" i="3"/>
  <c r="H28" i="3"/>
  <c r="H36" i="3"/>
  <c r="H32" i="3"/>
  <c r="H42" i="3"/>
  <c r="H35" i="3"/>
  <c r="H37" i="3"/>
  <c r="H29" i="3"/>
  <c r="H31" i="3"/>
  <c r="H27" i="3"/>
  <c r="H30" i="3"/>
  <c r="F8" i="3"/>
  <c r="F9" i="3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L8" i="3" l="1"/>
  <c r="L12" i="3"/>
  <c r="L18" i="3"/>
  <c r="L21" i="3"/>
  <c r="L24" i="3"/>
  <c r="H26" i="3"/>
  <c r="L19" i="3"/>
  <c r="L14" i="3"/>
  <c r="L11" i="3"/>
  <c r="L10" i="3"/>
  <c r="L16" i="3"/>
  <c r="L15" i="3"/>
  <c r="L25" i="3"/>
  <c r="L13" i="3"/>
  <c r="L17" i="3"/>
  <c r="L9" i="3"/>
  <c r="L20" i="3"/>
  <c r="L22" i="3"/>
  <c r="L23" i="3"/>
  <c r="Y26" i="3"/>
  <c r="H10" i="3"/>
  <c r="H25" i="3"/>
  <c r="Y25" i="3"/>
  <c r="Y10" i="3"/>
  <c r="Y7" i="3"/>
  <c r="Y18" i="3"/>
  <c r="Y9" i="3"/>
  <c r="Y14" i="3"/>
  <c r="Y24" i="3"/>
  <c r="Y8" i="3"/>
  <c r="Y16" i="3"/>
  <c r="Y15" i="3"/>
  <c r="Y17" i="3"/>
  <c r="Y22" i="3"/>
  <c r="Y23" i="3"/>
  <c r="Y19" i="3"/>
  <c r="Y20" i="3"/>
  <c r="Y21" i="3"/>
  <c r="H24" i="3"/>
  <c r="H23" i="3"/>
  <c r="H14" i="3"/>
  <c r="H15" i="3"/>
  <c r="H22" i="3"/>
  <c r="H16" i="3"/>
  <c r="H18" i="3"/>
  <c r="H17" i="3"/>
  <c r="I10" i="3"/>
  <c r="H20" i="3"/>
  <c r="H21" i="3"/>
  <c r="H19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W4" i="3" l="1"/>
  <c r="K24" i="3" s="1"/>
  <c r="G15" i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K9" i="3" l="1"/>
  <c r="K22" i="3"/>
  <c r="K14" i="3"/>
  <c r="K20" i="3"/>
  <c r="K11" i="3"/>
  <c r="K32" i="3"/>
  <c r="K17" i="3"/>
  <c r="K16" i="3"/>
  <c r="K8" i="3"/>
  <c r="K23" i="3"/>
  <c r="K18" i="3"/>
  <c r="K15" i="3"/>
  <c r="K21" i="3"/>
  <c r="K19" i="3"/>
  <c r="K28" i="3"/>
  <c r="K29" i="3"/>
  <c r="K27" i="3"/>
  <c r="K25" i="3"/>
  <c r="K26" i="3"/>
  <c r="K10" i="3"/>
  <c r="K30" i="3"/>
  <c r="K31" i="3"/>
  <c r="K12" i="3"/>
  <c r="K13" i="3"/>
  <c r="G2" i="1"/>
  <c r="D18" i="1"/>
  <c r="E18" i="1" s="1"/>
  <c r="F18" i="1" l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<sst xmlns="http://schemas.openxmlformats.org/spreadsheetml/2006/main" count="106" uniqueCount="84">
  <si>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</si>
  <si>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</si>
  <si>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</si>
  <si>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</si>
  <si>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</si>
  <si>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</si>
  <si>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</si>
  <si>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</si>
  <si>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</si>
  <si>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</si>
  <si>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</si>
  <si>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</si>
  <si>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</si>
  <si>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</si>
  <si>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</si>
  <si>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</si>
  <si>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</si>
  <si>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</si>
  <si>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</si>
  <si>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</si>
  <si>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</si>
  <si>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</si>
  <si>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</si>
  <si>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</si>
  <si>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</si>
  <si>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</si>
  <si>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</si>
  <si>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</si>
  <si>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</si>
  <si>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</si>
  <si>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</si>
  <si>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</si>
  <si>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</si>
  <si>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</si>
  <si>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</si>
  <si>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</si>
  <si>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</si>
  <si>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</si>
  <si>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</si>
  <si>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</si>
  <si>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</si>
  <si>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</si>
  <si>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</si>
  <si>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</si>
  <si>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</si>
  <si>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</si>
  <si>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</si>
  <si>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</si>
  <si>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</si>
  <si>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</si>
  <si>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</si>
  <si>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</si>
  <si>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</si>
  <si>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</si>
  <si>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</si>
  <si>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</si>
  <si>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</si>
  <si>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</si>
  <si>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</si>
  <si>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</si>
  <si>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</si>
  <si>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</si>
  <si>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</si>
  <si>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</si>
  <si>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</si>
  <si>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</si>
  <si>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</si>
  <si>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</si>
  <si>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</si>
  <si>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max kW</t>
  </si>
  <si>
    <t>rated kW</t>
  </si>
  <si>
    <t>max g/kWh</t>
  </si>
  <si>
    <t>t6</t>
  </si>
  <si>
    <t>t6E</t>
  </si>
  <si>
    <t>maxPSRpmRate</t>
  </si>
  <si>
    <t>deltaEco</t>
  </si>
  <si>
    <t>maxDeltaEco</t>
  </si>
  <si>
    <t>kW</t>
  </si>
  <si>
    <t>U/min</t>
  </si>
  <si>
    <t>Column1</t>
  </si>
  <si>
    <t>Column2</t>
  </si>
  <si>
    <t>maxPSEcoInput</t>
  </si>
  <si>
    <t>PSEcoInput</t>
  </si>
  <si>
    <t>maxTEcoInput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</si>
</sst>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63377788628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1" fontId="2" fillId="0" borderId="0" xfId="0" applyNumberFormat="1" applyFont="1"/>
    <xf numFmtId="0" fontId="3" fillId="2" borderId="0" xfId="0" applyFont="1" applyFill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9" fontId="4" fillId="2" borderId="9" xfId="1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164" fontId="0" fillId="0" borderId="0" xfId="0" applyNumberFormat="1"/>
    <xf numFmtId="0" fontId="0" fillId="0" borderId="6" xfId="0" applyBorder="1"/>
    <xf numFmtId="1" fontId="4" fillId="2" borderId="9" xfId="1" applyNumberFormat="1" applyFont="1" applyFill="1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7" fillId="0" borderId="0" xfId="0" applyNumberFormat="1" applyFont="1"/>
    <xf numFmtId="165" fontId="4" fillId="2" borderId="10" xfId="1" applyNumberFormat="1" applyFont="1" applyFill="1" applyBorder="1"/>
    <xf numFmtId="0" fontId="8" fillId="2" borderId="0" xfId="0" applyFont="1" applyFill="1"/>
    <xf numFmtId="0" fontId="10" fillId="2" borderId="13" xfId="0" applyFont="1" applyFill="1" applyBorder="1"/>
    <xf numFmtId="0" fontId="3" fillId="2" borderId="14" xfId="0" applyFont="1" applyFill="1" applyBorder="1"/>
    <xf numFmtId="0" fontId="9" fillId="5" borderId="15" xfId="0" applyFont="1" applyFill="1" applyBorder="1" applyAlignment="1">
      <alignment textRotation="45"/>
    </xf>
    <xf numFmtId="0" fontId="9" fillId="5" borderId="0" xfId="0" applyFont="1" applyFill="1" applyBorder="1" applyAlignment="1">
      <alignment textRotation="45"/>
    </xf>
    <xf numFmtId="49" fontId="9" fillId="5" borderId="0" xfId="0" applyNumberFormat="1" applyFont="1" applyFill="1" applyBorder="1" applyAlignment="1">
      <alignment textRotation="45"/>
    </xf>
    <xf numFmtId="0" fontId="0" fillId="3" borderId="6" xfId="0" applyFont="1" applyFill="1" applyBorder="1"/>
    <xf numFmtId="0" fontId="0" fillId="3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11" fillId="5" borderId="0" xfId="0" applyFont="1" applyFill="1" applyAlignment="1">
      <alignment textRotation="45"/>
    </xf>
    <xf numFmtId="9" fontId="0" fillId="0" borderId="0" xfId="1" applyFont="1"/>
    <xf numFmtId="9" fontId="5" fillId="0" borderId="12" xfId="1" applyFont="1" applyBorder="1"/>
    <xf numFmtId="9" fontId="0" fillId="0" borderId="12" xfId="1" applyFont="1" applyBorder="1"/>
    <xf numFmtId="0" fontId="5" fillId="0" borderId="3" xfId="0" applyFont="1" applyFill="1" applyBorder="1"/>
    <xf numFmtId="0" fontId="0" fillId="0" borderId="3" xfId="0" applyFill="1" applyBorder="1"/>
    <xf numFmtId="0" fontId="5" fillId="0" borderId="2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1" applyFont="1" applyFill="1" applyBorder="1"/>
    <xf numFmtId="0" fontId="0" fillId="6" borderId="12" xfId="0" applyFill="1" applyBorder="1"/>
    <xf numFmtId="9" fontId="0" fillId="6" borderId="1" xfId="1" applyFont="1" applyFill="1" applyBorder="1"/>
    <xf numFmtId="9" fontId="0" fillId="6" borderId="3" xfId="1" applyFont="1" applyFill="1" applyBorder="1"/>
  </cellXfs>
  <cellStyles count="2">
    <cellStyle name="Normal" xfId="0" builtinId="0"/>
    <cellStyle name="Percent" xfId="1" builtinId="5"/>
  </cellStyles>
  <dxfs count="96"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 style="medium">
          <color indexed="64"/>
        </top>
        <bottom/>
        <vertical/>
        <horizontal/>
      </border>
    </dxf>
    <dxf>
      <border outline="0">
        <top style="thin">
          <color theme="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45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ont>
        <i/>
        <color theme="0" tint="-0.34998626667073579"/>
      </font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color theme="0" tint="-0.34998626667073579"/>
      </font>
      <fill>
        <patternFill patternType="none">
          <fgColor indexed="64"/>
          <bgColor auto="1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59996337778862885"/>
        </patternFill>
      </fill>
    </dxf>
    <dxf>
      <fill>
        <patternFill patternType="solid">
          <fgColor indexed="64"/>
          <bgColor theme="4" tint="0.5999633777886288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Values'!$F$7:$F$62</c:f>
              <c:numCache>
                <c:formatCode>0</c:formatCode>
                <c:ptCount val="56"/>
                <c:pt idx="0">
                  <c:v>0</c:v>
                </c:pt>
                <c:pt idx="1">
                  <c:v>633.50304180311389</c:v>
                </c:pt>
                <c:pt idx="2">
                  <c:v>858.62784377156606</c:v>
                </c:pt>
                <c:pt idx="3">
                  <c:v>921.19644970414197</c:v>
                </c:pt>
                <c:pt idx="4">
                  <c:v>947.41420118343194</c:v>
                </c:pt>
                <c:pt idx="5">
                  <c:v>968.86508875739651</c:v>
                </c:pt>
                <c:pt idx="6">
                  <c:v>985.54911242603555</c:v>
                </c:pt>
                <c:pt idx="7">
                  <c:v>997.46627218934907</c:v>
                </c:pt>
                <c:pt idx="8">
                  <c:v>1004.6165680473373</c:v>
                </c:pt>
                <c:pt idx="9">
                  <c:v>1007</c:v>
                </c:pt>
                <c:pt idx="10">
                  <c:v>1002.1758351488743</c:v>
                </c:pt>
                <c:pt idx="11">
                  <c:v>987.70334059549748</c:v>
                </c:pt>
                <c:pt idx="12">
                  <c:v>963.58251633986924</c:v>
                </c:pt>
                <c:pt idx="13">
                  <c:v>936.80169139727946</c:v>
                </c:pt>
                <c:pt idx="14">
                  <c:v>909.99312005503953</c:v>
                </c:pt>
                <c:pt idx="15">
                  <c:v>883.15893665158353</c:v>
                </c:pt>
                <c:pt idx="16">
                  <c:v>856.30106209150324</c:v>
                </c:pt>
                <c:pt idx="17">
                  <c:v>829.42122987406344</c:v>
                </c:pt>
                <c:pt idx="18">
                  <c:v>802.52100840336129</c:v>
                </c:pt>
                <c:pt idx="19">
                  <c:v>699.13522108376173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4-4209-99D6-1F31AA2D53E1}"/>
            </c:ext>
          </c:extLst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Values'!$G$7:$G$62</c:f>
              <c:numCache>
                <c:formatCode>0</c:formatCode>
                <c:ptCount val="56"/>
                <c:pt idx="0">
                  <c:v>0</c:v>
                </c:pt>
                <c:pt idx="1">
                  <c:v>633.50304180311389</c:v>
                </c:pt>
                <c:pt idx="2">
                  <c:v>858.62784377156606</c:v>
                </c:pt>
                <c:pt idx="3">
                  <c:v>921.19644970414197</c:v>
                </c:pt>
                <c:pt idx="4">
                  <c:v>947.41420118343194</c:v>
                </c:pt>
                <c:pt idx="5">
                  <c:v>968.86508875739651</c:v>
                </c:pt>
                <c:pt idx="6">
                  <c:v>985.54911242603555</c:v>
                </c:pt>
                <c:pt idx="7">
                  <c:v>997.46627218934907</c:v>
                </c:pt>
                <c:pt idx="8">
                  <c:v>1004.6165680473373</c:v>
                </c:pt>
                <c:pt idx="9">
                  <c:v>1007</c:v>
                </c:pt>
                <c:pt idx="10">
                  <c:v>997.8412309368191</c:v>
                </c:pt>
                <c:pt idx="11">
                  <c:v>970.36492374727663</c:v>
                </c:pt>
                <c:pt idx="12">
                  <c:v>924.57107843137237</c:v>
                </c:pt>
                <c:pt idx="13">
                  <c:v>897.26307189542467</c:v>
                </c:pt>
                <c:pt idx="14">
                  <c:v>866.87521499827994</c:v>
                </c:pt>
                <c:pt idx="15">
                  <c:v>833.64441930618398</c:v>
                </c:pt>
                <c:pt idx="16">
                  <c:v>797.78390522875816</c:v>
                </c:pt>
                <c:pt idx="17">
                  <c:v>759.48609118444119</c:v>
                </c:pt>
                <c:pt idx="18">
                  <c:v>718.92507002801108</c:v>
                </c:pt>
                <c:pt idx="19">
                  <c:v>626.30863555420319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4-4209-99D6-1F31AA2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5736"/>
        <c:axId val="521869856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Values'!$H$7:$H$62</c:f>
              <c:numCache>
                <c:formatCode>0.0</c:formatCode>
                <c:ptCount val="56"/>
                <c:pt idx="0">
                  <c:v>0</c:v>
                </c:pt>
                <c:pt idx="1">
                  <c:v>31.57564899458453</c:v>
                </c:pt>
                <c:pt idx="2">
                  <c:v>85.593058352935188</c:v>
                </c:pt>
                <c:pt idx="3">
                  <c:v>118.06748214009109</c:v>
                </c:pt>
                <c:pt idx="4">
                  <c:v>134.91971870256202</c:v>
                </c:pt>
                <c:pt idx="5">
                  <c:v>151.771955265033</c:v>
                </c:pt>
                <c:pt idx="6">
                  <c:v>168.42053942191521</c:v>
                </c:pt>
                <c:pt idx="7">
                  <c:v>184.66181876761982</c:v>
                </c:pt>
                <c:pt idx="8">
                  <c:v>200.29214089655818</c:v>
                </c:pt>
                <c:pt idx="9">
                  <c:v>215.10785340314138</c:v>
                </c:pt>
                <c:pt idx="10">
                  <c:v>228.34917458470687</c:v>
                </c:pt>
                <c:pt idx="11">
                  <c:v>239.11729041432358</c:v>
                </c:pt>
                <c:pt idx="12">
                  <c:v>247</c:v>
                </c:pt>
                <c:pt idx="13">
                  <c:v>246.80555555555551</c:v>
                </c:pt>
                <c:pt idx="14">
                  <c:v>246.2222222222222</c:v>
                </c:pt>
                <c:pt idx="15">
                  <c:v>245.24999999999994</c:v>
                </c:pt>
                <c:pt idx="16">
                  <c:v>243.88888888888889</c:v>
                </c:pt>
                <c:pt idx="17">
                  <c:v>242.13888888888889</c:v>
                </c:pt>
                <c:pt idx="18">
                  <c:v>240</c:v>
                </c:pt>
                <c:pt idx="19">
                  <c:v>214.05983104177164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4-4209-99D6-1F31AA2D53E1}"/>
            </c:ext>
          </c:extLst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Values'!$I$7:$I$62</c:f>
              <c:numCache>
                <c:formatCode>0.0</c:formatCode>
                <c:ptCount val="56"/>
                <c:pt idx="0">
                  <c:v>0</c:v>
                </c:pt>
                <c:pt idx="1">
                  <c:v>31.57564899458453</c:v>
                </c:pt>
                <c:pt idx="2">
                  <c:v>85.593058352935188</c:v>
                </c:pt>
                <c:pt idx="3">
                  <c:v>118.06748214009109</c:v>
                </c:pt>
                <c:pt idx="4">
                  <c:v>134.91971870256202</c:v>
                </c:pt>
                <c:pt idx="5">
                  <c:v>151.771955265033</c:v>
                </c:pt>
                <c:pt idx="6">
                  <c:v>168.42053942191521</c:v>
                </c:pt>
                <c:pt idx="7">
                  <c:v>184.66181876761982</c:v>
                </c:pt>
                <c:pt idx="8">
                  <c:v>200.29214089655818</c:v>
                </c:pt>
                <c:pt idx="9">
                  <c:v>215.10785340314138</c:v>
                </c:pt>
                <c:pt idx="10">
                  <c:v>227.36152026371917</c:v>
                </c:pt>
                <c:pt idx="11">
                  <c:v>234.919759550126</c:v>
                </c:pt>
                <c:pt idx="12">
                  <c:v>236.99999999999994</c:v>
                </c:pt>
                <c:pt idx="13">
                  <c:v>236.38888888888886</c:v>
                </c:pt>
                <c:pt idx="14">
                  <c:v>234.55555555555554</c:v>
                </c:pt>
                <c:pt idx="15">
                  <c:v>231.5</c:v>
                </c:pt>
                <c:pt idx="16">
                  <c:v>227.2222222222222</c:v>
                </c:pt>
                <c:pt idx="17">
                  <c:v>221.7222222222222</c:v>
                </c:pt>
                <c:pt idx="18">
                  <c:v>214.99999999999994</c:v>
                </c:pt>
                <c:pt idx="19">
                  <c:v>191.76193197492046</c:v>
                </c:pt>
                <c:pt idx="20" formatCode="0">
                  <c:v>0</c:v>
                </c:pt>
                <c:pt idx="21" formatCode="0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F4-4209-99D6-1F31AA2D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560"/>
        <c:axId val="521866720"/>
      </c:scatterChart>
      <c:valAx>
        <c:axId val="521875736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856"/>
        <c:crosses val="autoZero"/>
        <c:crossBetween val="midCat"/>
        <c:majorUnit val="250"/>
      </c:valAx>
      <c:valAx>
        <c:axId val="5218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5736"/>
        <c:crosses val="autoZero"/>
        <c:crossBetween val="midCat"/>
      </c:valAx>
      <c:valAx>
        <c:axId val="52186672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560"/>
        <c:crosses val="max"/>
        <c:crossBetween val="midCat"/>
      </c:valAx>
      <c:valAx>
        <c:axId val="52187456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218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Values'!$J$7:$J$62</c:f>
              <c:numCache>
                <c:formatCode>0.0</c:formatCode>
                <c:ptCount val="56"/>
                <c:pt idx="0">
                  <c:v>268.77199999999993</c:v>
                </c:pt>
                <c:pt idx="1">
                  <c:v>239.08888888888885</c:v>
                </c:pt>
                <c:pt idx="2">
                  <c:v>218.24755555555555</c:v>
                </c:pt>
                <c:pt idx="3">
                  <c:v>210.30799999999999</c:v>
                </c:pt>
                <c:pt idx="4">
                  <c:v>207.4208888888889</c:v>
                </c:pt>
                <c:pt idx="5">
                  <c:v>205.25555555555556</c:v>
                </c:pt>
                <c:pt idx="6">
                  <c:v>203.81200000000001</c:v>
                </c:pt>
                <c:pt idx="7">
                  <c:v>203.09022222222222</c:v>
                </c:pt>
                <c:pt idx="8">
                  <c:v>203.10024691358024</c:v>
                </c:pt>
                <c:pt idx="9">
                  <c:v>203.90222222222224</c:v>
                </c:pt>
                <c:pt idx="10">
                  <c:v>205.50617283950618</c:v>
                </c:pt>
                <c:pt idx="11">
                  <c:v>207.91209876543209</c:v>
                </c:pt>
                <c:pt idx="12">
                  <c:v>211.12</c:v>
                </c:pt>
                <c:pt idx="13">
                  <c:v>213.02469135802468</c:v>
                </c:pt>
                <c:pt idx="14">
                  <c:v>215.12987654320986</c:v>
                </c:pt>
                <c:pt idx="15">
                  <c:v>217.43555555555554</c:v>
                </c:pt>
                <c:pt idx="16">
                  <c:v>219.94172839506172</c:v>
                </c:pt>
                <c:pt idx="17">
                  <c:v>222.64839506172839</c:v>
                </c:pt>
                <c:pt idx="18">
                  <c:v>225.55555555555554</c:v>
                </c:pt>
                <c:pt idx="19">
                  <c:v>318.27345852621374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9-408D-970D-3BBE94E11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4168"/>
        <c:axId val="521876520"/>
      </c:scatterChart>
      <c:valAx>
        <c:axId val="521874168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6520"/>
        <c:crosses val="autoZero"/>
        <c:crossBetween val="midCat"/>
        <c:majorUnit val="250"/>
      </c:valAx>
      <c:valAx>
        <c:axId val="521876520"/>
        <c:scaling>
          <c:orientation val="minMax"/>
          <c:max val="32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168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7-4293-A875-F76E589BA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208"/>
        <c:axId val="521874952"/>
      </c:scatterChart>
      <c:valAx>
        <c:axId val="521872208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4952"/>
        <c:crosses val="autoZero"/>
        <c:crossBetween val="midCat"/>
      </c:valAx>
      <c:valAx>
        <c:axId val="5218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Sheet2!$B$5:$B$11</c:f>
              <c:numCache>
                <c:formatCode>General</c:formatCode>
                <c:ptCount val="7"/>
                <c:pt idx="0">
                  <c:v>0</c:v>
                </c:pt>
                <c:pt idx="1">
                  <c:v>1421.4653361344538</c:v>
                </c:pt>
                <c:pt idx="2">
                  <c:v>1538</c:v>
                </c:pt>
                <c:pt idx="3">
                  <c:v>1538</c:v>
                </c:pt>
                <c:pt idx="4">
                  <c:v>1463.5448916408668</c:v>
                </c:pt>
                <c:pt idx="5">
                  <c:v>1304.0966386554621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1-40BF-8EFC-B6646375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2600"/>
        <c:axId val="521869464"/>
      </c:scatterChart>
      <c:valAx>
        <c:axId val="52187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464"/>
        <c:crosses val="autoZero"/>
        <c:crossBetween val="midCat"/>
      </c:valAx>
      <c:valAx>
        <c:axId val="5218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kW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Sheet2!$A$5:$A$11</c:f>
              <c:numCache>
                <c:formatCode>General</c:formatCode>
                <c:ptCount val="7"/>
                <c:pt idx="0">
                  <c:v>0</c:v>
                </c:pt>
                <c:pt idx="1">
                  <c:v>1000</c:v>
                </c:pt>
                <c:pt idx="2">
                  <c:v>1450</c:v>
                </c:pt>
                <c:pt idx="3">
                  <c:v>1450</c:v>
                </c:pt>
                <c:pt idx="4">
                  <c:v>1900</c:v>
                </c:pt>
                <c:pt idx="5">
                  <c:v>2100</c:v>
                </c:pt>
                <c:pt idx="6">
                  <c:v>2300</c:v>
                </c:pt>
              </c:numCache>
            </c:numRef>
          </c:xVal>
          <c:yVal>
            <c:numRef>
              <c:f>Sheet2!$C$5:$C$11</c:f>
              <c:numCache>
                <c:formatCode>General</c:formatCode>
                <c:ptCount val="7"/>
                <c:pt idx="0">
                  <c:v>0</c:v>
                </c:pt>
                <c:pt idx="1">
                  <c:v>148.84453781512605</c:v>
                </c:pt>
                <c:pt idx="2">
                  <c:v>233.51832460732984</c:v>
                </c:pt>
                <c:pt idx="3">
                  <c:v>233.51832460732984</c:v>
                </c:pt>
                <c:pt idx="4">
                  <c:v>291.17647058823525</c:v>
                </c:pt>
                <c:pt idx="5">
                  <c:v>286.76470588235293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4-40FA-99A4-5F62EAE0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69072"/>
        <c:axId val="521871816"/>
      </c:scatterChart>
      <c:valAx>
        <c:axId val="5218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1816"/>
        <c:crosses val="autoZero"/>
        <c:crossBetween val="midCat"/>
      </c:valAx>
      <c:valAx>
        <c:axId val="5218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6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4</xdr:row>
      <xdr:rowOff>0</xdr:rowOff>
    </xdr:from>
    <xdr:to>
      <xdr:col>67</xdr:col>
      <xdr:colOff>171449</xdr:colOff>
      <xdr:row>27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27</xdr:row>
      <xdr:rowOff>28576</xdr:rowOff>
    </xdr:from>
    <xdr:to>
      <xdr:col>65</xdr:col>
      <xdr:colOff>276226</xdr:colOff>
      <xdr:row>43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</xdr:colOff>
      <xdr:row>12</xdr:row>
      <xdr:rowOff>114300</xdr:rowOff>
    </xdr:from>
    <xdr:to>
      <xdr:col>17</xdr:col>
      <xdr:colOff>338137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185737</xdr:colOff>
      <xdr:row>0</xdr:row>
      <xdr:rowOff>771525</xdr:rowOff>
    </xdr:from>
    <xdr:to>
      <xdr:col>23</xdr:col>
      <xdr:colOff>423862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Y62" totalsRowShown="0" headerRowDxfId="95" dataDxfId="94">
  <tableColumns count="25">
    <tableColumn id="1" name="rpm" dataDxfId="93"/>
    <tableColumn id="7" name="rawData" dataDxfId="92">
      <calculatedColumnFormula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name="manualData" dataDxfId="91"/>
    <tableColumn id="12" name="rawDataEco" dataDxfId="90">
      <calculatedColumnFormula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name="manDataEco" dataDxfId="89"/>
    <tableColumn id="4" name="motor" dataDxfId="88">
      <calculatedColumnFormula>Table36[Factor]*IF(Table15[[#This Row],[manualData]]&gt;0,Table15[[#This Row],[manualData]],Table15[[#This Row],[rawData]])</calculatedColumnFormula>
    </tableColumn>
    <tableColumn id="14" name="motorEco" dataDxfId="87">
      <calculatedColumnFormula>Table36[Factor]*IF(Table15[[#This Row],[manDataEco]]&gt;0,Table15[[#This Row],[manDataEco]],Table15[[#This Row],[rawDataEco]])</calculatedColumnFormula>
    </tableColumn>
    <tableColumn id="3" name="ps" dataDxfId="86">
      <calculatedColumnFormula>1.36*Table15[[#This Row],[rpm]]*Table15[[#This Row],[motor]]/9550</calculatedColumnFormula>
    </tableColumn>
    <tableColumn id="13" name="psEco" dataDxfId="85">
      <calculatedColumnFormula>1.36*Table15[[#This Row],[rpm]]*Table15[[#This Row],[motorEco]]/9550</calculatedColumnFormula>
    </tableColumn>
    <tableColumn id="10" name="fuelUsageRatio" dataDxfId="84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calculatedColumnFormula>
    </tableColumn>
    <tableColumn id="5" name="xml" dataDxfId="83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0">
      <calculatedColumnFormula>IF(Table15[[#This Row],[rpm]]&lt;1,Table7[xmlComment],IF(A6&gt;Table36[normRpm],"",IF(Table15[[#This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calculatedColumnFormula>
    </tableColumn>
    <tableColumn id="15" name="t1" dataDxfId="82">
      <calculatedColumnFormula>(1-(1-Table15[[#This Row],[rpm]]/Table36[idleRpm])^2)*Table7[idleT]</calculatedColumnFormula>
    </tableColumn>
    <tableColumn id="18" name="t2" dataDxfId="81">
      <calculatedColumnFormula>MAX(0,(1-Table7[f1]*(Table36[maxTRpm1]-Table15[[#This Row],[rpm]])^2)*Table36[maxT])</calculatedColumnFormula>
    </tableColumn>
    <tableColumn id="19" name="t3" dataDxfId="80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79">
      <calculatedColumnFormula>MAX(0,(Table36[maxPS]-Table7[f4]*(Table15[[#This Row],[rpm]]-Table36[maxPRpm])^2)/1.36*9550/MAX(1,Table15[[#This Row],[rpm]]))</calculatedColumnFormula>
    </tableColumn>
    <tableColumn id="17" name="t5" dataDxfId="78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77">
      <calculatedColumnFormula>(1-(1-Table15[[#This Row],[rpm]]/Table36[idleRpm])^2)*Table7[idleTEco]</calculatedColumnFormula>
    </tableColumn>
    <tableColumn id="22" name="t2E" dataDxfId="76">
      <calculatedColumnFormula>MAX(0,(1-Table7[f1]*(Table36[maxTRpm1]-Table15[[#This Row],[rpm]])^2)*Table36[maxTEco])</calculatedColumnFormula>
    </tableColumn>
    <tableColumn id="23" name="t3E" dataDxfId="75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74">
      <calculatedColumnFormula>MAX(0,(Table36[maxPSEco]-Table7[f4Eco]*(Table15[[#This Row],[rpm]]-Table36[maxPRpm])^2)/1.36*9550/MAX(1,Table15[[#This Row],[rpm]]))</calculatedColumnFormula>
    </tableColumn>
    <tableColumn id="25" name="t5E" dataDxfId="73">
      <calculatedColumnFormula>MAX(0,Table7[Nm2Eco]*MIN(Table36[ratedRpm]/MAX(1,Table15[[#This Row],[rpm]]),1-(MAX(0,Table15[[#This Row],[rpm]]-Table36[ratedRpm])/Table36[fadeOut])^Table36[fadeOutExp]))</calculatedColumnFormula>
    </tableColumn>
    <tableColumn id="2" name="t6" dataDxfId="72">
      <calculatedColumnFormula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calculatedColumnFormula>
    </tableColumn>
    <tableColumn id="6" name="t6E" dataDxfId="71"/>
    <tableColumn id="20" name="deltaEco" dataDxfId="70">
      <calculatedColumnFormula>ABS(Table15[[#This Row],[motor]]-Table15[[#This Row],[motorEco]])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AC2" totalsRowShown="0" headerRowDxfId="69">
  <autoFilter ref="A1:AC2">
    <filterColumn colId="0" hiddenButton="1"/>
    <filterColumn colId="1" hiddenButton="1"/>
    <filterColumn colId="3" hiddenButton="1"/>
    <filterColumn colId="4" hiddenButton="1"/>
    <filterColumn colId="5" hiddenButton="1"/>
    <filterColumn colId="7" hiddenButton="1"/>
    <filterColumn colId="8" hiddenButton="1"/>
    <filterColumn colId="9" hiddenButton="1"/>
    <filterColumn colId="10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9">
    <tableColumn id="10" name="maxPRpm" dataDxfId="68"/>
    <tableColumn id="14" name="maxPS" dataDxfId="67"/>
    <tableColumn id="27" name="maxPSEcoInput" dataDxfId="66"/>
    <tableColumn id="19" name="maxPSEco" dataDxfId="65">
      <calculatedColumnFormula>IF(Table36[maxPSEcoInput]&gt;0,Table36[maxPSEcoInput],Table36[maxPS]*Table36[maxPsEcoRate])</calculatedColumnFormula>
    </tableColumn>
    <tableColumn id="2" name="ratedRpm" dataDxfId="64"/>
    <tableColumn id="3" name="PS" dataDxfId="63"/>
    <tableColumn id="28" name="PSEcoInput" dataDxfId="62"/>
    <tableColumn id="20" name="PSEco" dataDxfId="61">
      <calculatedColumnFormula>IF(Table36[PSEcoInput]&gt;0,Table36[PSEcoInput],Table36[PS]*Table36[PSEcoRate])</calculatedColumnFormula>
    </tableColumn>
    <tableColumn id="12" name="maxTRpm1" dataDxfId="60"/>
    <tableColumn id="4" name="maxTRpm" dataDxfId="59"/>
    <tableColumn id="5" name="maxT" dataDxfId="58"/>
    <tableColumn id="29" name="maxTEcoInput" dataDxfId="57"/>
    <tableColumn id="21" name="maxTEco" dataDxfId="56">
      <calculatedColumnFormula>IF(Table36[maxTEcoInput]&gt;0,Table36[maxTEcoInput],Table36[maxT]*Table36[NmEcoRate])</calculatedColumnFormula>
    </tableColumn>
    <tableColumn id="6" name="idleRpm" dataDxfId="55"/>
    <tableColumn id="7" name="idleRatio" dataDxfId="54" dataCellStyle="Percent"/>
    <tableColumn id="11" name="fadeOut" dataDxfId="53"/>
    <tableColumn id="15" name="linearDown" dataDxfId="52"/>
    <tableColumn id="25" name="fadeOutExp" dataDxfId="51">
      <calculatedColumnFormula>IF(Table36[fadeOut]&lt;100,3,IF(Table36[fadeOut]&lt;150,2.2,IF(Table36[fadeOut]&lt;200,2,1.7)))</calculatedColumnFormula>
    </tableColumn>
    <tableColumn id="22" name="Efficiency" dataDxfId="50" dataCellStyle="Percent"/>
    <tableColumn id="16" name="Factor" dataDxfId="49"/>
    <tableColumn id="13" name="fuelMinRate" dataDxfId="48"/>
    <tableColumn id="18" name="fuelRatedRate" dataDxfId="47">
      <calculatedColumnFormula>Table36[fuelMinRate]/0.9</calculatedColumnFormula>
    </tableColumn>
    <tableColumn id="9" name="fuelMinRpm" dataDxfId="46">
      <calculatedColumnFormula>ROUND(MIN(0.6*Table36[idleRpm]+0.4*Table36[ratedRpm],0.5*Table36[maxTRpm1]+0.5*Table36[maxTRpm]),-1)</calculatedColumnFormula>
    </tableColumn>
    <tableColumn id="17" name="fuelIdleRate" dataDxfId="45">
      <calculatedColumnFormula>0.94*Table36[fuelRatedRate]</calculatedColumnFormula>
    </tableColumn>
    <tableColumn id="1" name="normRpm" dataDxfId="44">
      <calculatedColumnFormula>ROUND(Table36[ratedRpm]+0.49*Table36[fadeOut],-2)</calculatedColumnFormula>
    </tableColumn>
    <tableColumn id="8" name="PSEcoRate" dataDxfId="43" dataCellStyle="Percent"/>
    <tableColumn id="23" name="NmEcoRate" dataDxfId="42" dataCellStyle="Percent"/>
    <tableColumn id="24" name="maxPsEcoRate" dataDxfId="41" dataCellStyle="Percent">
      <calculatedColumnFormula>Table36[PSEcoRate]* (Table36[maxPRpm]-Table36[maxTRpm])/(Table36[ratedRpm]-Table36[maxTRpm]) + Table36[NmEcoRate]* (1- (Table36[maxPRpm]-Table36[maxTRpm])/(Table36[ratedRpm]-Table36[maxTRpm]))</calculatedColumnFormula>
    </tableColumn>
    <tableColumn id="26" name="maxPSRpmRate" dataDxfId="40" dataCellStyle="Perce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W4" totalsRowShown="0" headerRowDxfId="39" dataDxfId="38">
  <tableColumns count="23">
    <tableColumn id="1" name="f1" dataDxfId="37">
      <calculatedColumnFormula>(1-Table36[idleRatio])/((Table36[maxTRpm1]-Table36[idleRpm])^2)</calculatedColumnFormula>
    </tableColumn>
    <tableColumn id="2" name="f2" dataDxfId="36">
      <calculatedColumnFormula>(Table36[maxT]-Table7[Nm])/Table36[maxT]/(Table36[maxPRpm]-Table36[maxTRpm])</calculatedColumnFormula>
    </tableColumn>
    <tableColumn id="5" name="f3" dataDxfId="35">
      <calculatedColumnFormula>(Table36[maxT]-Table7[Nm])/Table36[maxT]/(Table36[maxPRpm]-Table36[maxTRpm])^2</calculatedColumnFormula>
    </tableColumn>
    <tableColumn id="6" name="f4" dataDxfId="34">
      <calculatedColumnFormula>(Table36[maxPS]-Table36[PS])/MAX(1,Table36[ratedRpm]-Table36[maxPRpm])^2</calculatedColumnFormula>
    </tableColumn>
    <tableColumn id="3" name="Nm" dataDxfId="33">
      <calculatedColumnFormula>Table36[maxPS]/1.36*9550/Table36[maxPRpm]</calculatedColumnFormula>
    </tableColumn>
    <tableColumn id="4" name="Nm2" dataDxfId="32">
      <calculatedColumnFormula>Table36[PS]/1.36*9550/Table36[ratedRpm]</calculatedColumnFormula>
    </tableColumn>
    <tableColumn id="7" name="Anfahrmoment" dataDxfId="31" dataCellStyle="Percent">
      <calculatedColumnFormula>Table7[Nm1000]/Table7[Nm2]</calculatedColumnFormula>
    </tableColumn>
    <tableColumn id="17" name="AnstiegE" dataDxfId="30" dataCellStyle="Percent">
      <calculatedColumnFormula>Table36[maxTEco]/Table7[Nm2Eco]-1</calculatedColumnFormula>
    </tableColumn>
    <tableColumn id="14" name="Anstieg" dataDxfId="29" dataCellStyle="Percent">
      <calculatedColumnFormula>Table36[maxT]/Table7[Nm2]-1</calculatedColumnFormula>
    </tableColumn>
    <tableColumn id="15" name="Abfall" dataDxfId="28" dataCellStyle="Percent">
      <calculatedColumnFormula>1-Table36[maxTRpm]/Table36[ratedRpm]</calculatedColumnFormula>
    </tableColumn>
    <tableColumn id="20" name="max kW" dataDxfId="27" dataCellStyle="Percent">
      <calculatedColumnFormula>Table36[maxPS]/1.36</calculatedColumnFormula>
    </tableColumn>
    <tableColumn id="18" name="rated kW" dataDxfId="26" dataCellStyle="Percent">
      <calculatedColumnFormula>Table36[PS]/1.36</calculatedColumnFormula>
    </tableColumn>
    <tableColumn id="23" name="max g/kWh" dataDxfId="25" dataCellStyle="Percent">
      <calculatedColumnFormula>Table36[fuelRatedRate]*1.1</calculatedColumnFormula>
    </tableColumn>
    <tableColumn id="16" name="Nm1000" dataDxfId="24" dataCellStyle="Percent">
      <calculatedColumnFormula>(1-Table7[f1]*(Table36[maxTRpm1]-1000)^2)*Table36[maxTEco]</calculatedColumnFormula>
    </tableColumn>
    <tableColumn id="8" name="NmEco" dataDxfId="23">
      <calculatedColumnFormula>Table36[maxPSEco]/1.36*9550/Table36[maxPRpm]</calculatedColumnFormula>
    </tableColumn>
    <tableColumn id="9" name="Nm2Eco" dataDxfId="22">
      <calculatedColumnFormula>Table36[PSEco]/1.36*9550/Table36[ratedRpm]</calculatedColumnFormula>
    </tableColumn>
    <tableColumn id="12" name="f2Eco" dataDxfId="21">
      <calculatedColumnFormula>(Table36[maxTEco]-Table7[NmEco])/Table36[maxTEco]/(Table36[maxPRpm]-Table36[maxTRpm])</calculatedColumnFormula>
    </tableColumn>
    <tableColumn id="10" name="f3Eco" dataDxfId="20">
      <calculatedColumnFormula>(Table36[maxTEco]-Table7[NmEco])/Table36[maxTEco]/(Table36[maxPRpm]-Table36[maxTRpm])^2</calculatedColumnFormula>
    </tableColumn>
    <tableColumn id="11" name="f4Eco" dataDxfId="19">
      <calculatedColumnFormula>(Table36[maxPSEco]-Table36[PSEco])/MAX(1,Table36[ratedRpm]-Table36[maxPRpm])^2</calculatedColumnFormula>
    </tableColumn>
    <tableColumn id="13" name="idleT" dataDxfId="18">
      <calculatedColumnFormula>(1-Table7[f1]*(Table36[maxTRpm1]-Table36[idleRpm])^2)*Table36[maxT]</calculatedColumnFormula>
    </tableColumn>
    <tableColumn id="19" name="idleTEco" dataDxfId="17">
      <calculatedColumnFormula>(1-Table7[f1]*(Table36[maxTRpm1]-Table36[idleRpm])^2)*Table36[maxTEco]</calculatedColumnFormula>
    </tableColumn>
    <tableColumn id="21" name="xmlComment" dataDxfId="16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  <tableColumn id="22" name="maxDeltaEco" dataDxfId="15">
      <calculatedColumnFormula>MAX(Table15[deltaEco])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14">
      <calculatedColumnFormula>A2*C2/9550</calculatedColumnFormula>
    </tableColumn>
    <tableColumn id="3" name="ps" dataDxfId="13">
      <calculatedColumnFormula>Table1[[#This Row],[kw_pto]]*1.36/0.94</calculatedColumnFormula>
    </tableColumn>
    <tableColumn id="4" name="motor"/>
    <tableColumn id="5" name="xml" dataDxfId="12">
      <calculatedColumnFormula>CONCATENATE("&lt;torque rpm=""",Table1[[#This Row],[rpm]],""" motorTorque=""",ROUND(Table1[[#This Row],[motor]],0),"""/&gt;")</calculatedColumnFormula>
    </tableColumn>
    <tableColumn id="8" name="xml2" dataDxfId="11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2" displayName="Table2" ref="A1:I2" totalsRowShown="0" headerRowDxfId="10" tableBorderDxfId="9">
  <tableColumns count="9">
    <tableColumn id="1" name="maxPRpm" dataDxfId="8"/>
    <tableColumn id="2" name="maxPS" dataDxfId="7"/>
    <tableColumn id="4" name="ratedRpm" dataDxfId="6"/>
    <tableColumn id="5" name="PS" dataDxfId="5"/>
    <tableColumn id="7" name="maxTRpm1" dataDxfId="4"/>
    <tableColumn id="8" name="maxTRpm" dataDxfId="3"/>
    <tableColumn id="9" name="maxT" dataDxfId="2"/>
    <tableColumn id="11" name="idleRpm" dataDxfId="1"/>
    <tableColumn id="12" name="Anfahrmoment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4:C11" totalsRowShown="0">
  <tableColumns count="3">
    <tableColumn id="1" name="U/min"/>
    <tableColumn id="2" name="Nm"/>
    <tableColumn id="3" name="kW">
      <calculatedColumnFormula>B5*A5/9550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4:C65" totalsRowShown="0">
  <tableColumns count="3">
    <tableColumn id="1" name="U/min"/>
    <tableColumn id="2" name="Column1"/>
    <tableColumn id="3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62"/>
  <sheetViews>
    <sheetView tabSelected="1" workbookViewId="0">
      <selection activeCell="L7" sqref="L7:L26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3" width="11.140625" bestFit="1" customWidth="1"/>
    <col min="14" max="14" width="7.28515625" bestFit="1" customWidth="1"/>
  </cols>
  <sheetData>
    <row r="1" spans="1:29" s="4" customFormat="1" ht="45.75" customHeight="1" thickBot="1" x14ac:dyDescent="0.3">
      <c r="A1" s="4" t="s">
        <v>18</v>
      </c>
      <c r="B1" s="4" t="s">
        <v>23</v>
      </c>
      <c r="C1" s="4" t="s">
        <v>81</v>
      </c>
      <c r="D1" s="4" t="s">
        <v>35</v>
      </c>
      <c r="E1" s="4" t="s">
        <v>8</v>
      </c>
      <c r="F1" s="4" t="s">
        <v>10</v>
      </c>
      <c r="G1" s="4" t="s">
        <v>82</v>
      </c>
      <c r="H1" s="4" t="s">
        <v>36</v>
      </c>
      <c r="I1" s="4" t="s">
        <v>22</v>
      </c>
      <c r="J1" s="4" t="s">
        <v>12</v>
      </c>
      <c r="K1" s="5" t="s">
        <v>13</v>
      </c>
      <c r="L1" s="5" t="s">
        <v>83</v>
      </c>
      <c r="M1" s="4" t="s">
        <v>47</v>
      </c>
      <c r="N1" s="4" t="s">
        <v>14</v>
      </c>
      <c r="O1" s="4" t="s">
        <v>15</v>
      </c>
      <c r="P1" s="4" t="s">
        <v>21</v>
      </c>
      <c r="Q1" s="4" t="s">
        <v>25</v>
      </c>
      <c r="R1" s="4" t="s">
        <v>68</v>
      </c>
      <c r="S1" s="4" t="s">
        <v>49</v>
      </c>
      <c r="T1" s="4" t="s">
        <v>7</v>
      </c>
      <c r="U1" s="4" t="s">
        <v>31</v>
      </c>
      <c r="V1" s="4" t="s">
        <v>33</v>
      </c>
      <c r="W1" s="4" t="s">
        <v>30</v>
      </c>
      <c r="X1" s="4" t="s">
        <v>32</v>
      </c>
      <c r="Y1" s="4" t="s">
        <v>60</v>
      </c>
      <c r="Z1" s="4" t="s">
        <v>63</v>
      </c>
      <c r="AA1" s="4" t="s">
        <v>64</v>
      </c>
      <c r="AB1" s="4" t="s">
        <v>67</v>
      </c>
      <c r="AC1" s="4" t="s">
        <v>74</v>
      </c>
    </row>
    <row r="2" spans="1:29" ht="15.75" thickBot="1" x14ac:dyDescent="0.3">
      <c r="A2" s="42">
        <v>1800</v>
      </c>
      <c r="B2" s="43">
        <v>247</v>
      </c>
      <c r="C2" s="44">
        <v>237</v>
      </c>
      <c r="D2" s="39">
        <f>IF(Table36[maxPSEcoInput]&gt;0,Table36[maxPSEcoInput],Table36[maxPS]*Table36[maxPsEcoRate])</f>
        <v>237</v>
      </c>
      <c r="E2" s="42">
        <v>2100</v>
      </c>
      <c r="F2" s="43">
        <v>240</v>
      </c>
      <c r="G2" s="44">
        <v>215</v>
      </c>
      <c r="H2" s="11">
        <f>IF(Table36[PSEcoInput]&gt;0,Table36[PSEcoInput],Table36[PS]*Table36[PSEcoRate])</f>
        <v>215</v>
      </c>
      <c r="I2" s="42">
        <v>1500</v>
      </c>
      <c r="J2" s="43">
        <v>1500</v>
      </c>
      <c r="K2" s="43">
        <v>1007</v>
      </c>
      <c r="L2" s="44"/>
      <c r="M2" s="39">
        <f>IF(Table36[maxTEcoInput]&gt;0,Table36[maxTEcoInput],Table36[maxT]*Table36[NmEcoRate])</f>
        <v>1007</v>
      </c>
      <c r="N2" s="42">
        <v>850</v>
      </c>
      <c r="O2" s="45">
        <v>0.9</v>
      </c>
      <c r="P2" s="44">
        <v>99</v>
      </c>
      <c r="Q2" s="46">
        <v>0</v>
      </c>
      <c r="R2" s="41">
        <f>IF(Table36[fadeOut]&lt;100,3,IF(Table36[fadeOut]&lt;150,2.2,IF(Table36[fadeOut]&lt;200,2,1.7)))</f>
        <v>3</v>
      </c>
      <c r="S2" s="41">
        <v>0.98</v>
      </c>
      <c r="T2" s="40">
        <v>1</v>
      </c>
      <c r="U2" s="46">
        <v>203</v>
      </c>
      <c r="V2" s="9">
        <f>Table36[fuelMinRate]/0.9</f>
        <v>225.55555555555554</v>
      </c>
      <c r="W2" s="10">
        <f>ROUND(MIN(0.6*Table36[idleRpm]+0.4*Table36[ratedRpm],0.5*Table36[maxTRpm1]+0.5*Table36[maxTRpm]),-1)</f>
        <v>1350</v>
      </c>
      <c r="X2" s="11">
        <f>0.94*Table36[fuelRatedRate]</f>
        <v>212.02222222222221</v>
      </c>
      <c r="Y2" s="9">
        <f>ROUND(Table36[ratedRpm]+0.49*Table36[fadeOut],-2)</f>
        <v>2100</v>
      </c>
      <c r="Z2" s="47">
        <v>1</v>
      </c>
      <c r="AA2" s="48">
        <v>1</v>
      </c>
      <c r="AB2" s="37">
        <f>Table36[PSEcoRate]* (Table36[maxPRpm]-Table36[maxTRpm])/(Table36[ratedRpm]-Table36[maxTRpm]) + Table36[NmEcoRate]* (1- (Table36[maxPRpm]-Table36[maxTRpm])/(Table36[ratedRpm]-Table36[maxTRpm]))</f>
        <v>1</v>
      </c>
      <c r="AC2" s="38">
        <v>0.02</v>
      </c>
    </row>
    <row r="3" spans="1:29" x14ac:dyDescent="0.25">
      <c r="A3" s="8" t="s">
        <v>16</v>
      </c>
      <c r="B3" s="8" t="s">
        <v>17</v>
      </c>
      <c r="C3" s="8" t="s">
        <v>24</v>
      </c>
      <c r="D3" s="8" t="s">
        <v>26</v>
      </c>
      <c r="E3" s="8" t="s">
        <v>19</v>
      </c>
      <c r="F3" s="8" t="s">
        <v>20</v>
      </c>
      <c r="G3" s="15" t="s">
        <v>27</v>
      </c>
      <c r="H3" s="16" t="s">
        <v>66</v>
      </c>
      <c r="I3" s="16" t="s">
        <v>61</v>
      </c>
      <c r="J3" s="16" t="s">
        <v>62</v>
      </c>
      <c r="K3" s="15" t="s">
        <v>69</v>
      </c>
      <c r="L3" s="16" t="s">
        <v>70</v>
      </c>
      <c r="M3" s="17" t="s">
        <v>71</v>
      </c>
      <c r="N3" s="8" t="s">
        <v>65</v>
      </c>
      <c r="O3" s="8" t="s">
        <v>37</v>
      </c>
      <c r="P3" s="8" t="s">
        <v>38</v>
      </c>
      <c r="Q3" s="8" t="s">
        <v>41</v>
      </c>
      <c r="R3" s="8" t="s">
        <v>39</v>
      </c>
      <c r="S3" s="8" t="s">
        <v>40</v>
      </c>
      <c r="T3" s="8" t="s">
        <v>42</v>
      </c>
      <c r="U3" s="8" t="s">
        <v>48</v>
      </c>
      <c r="V3" s="8" t="s">
        <v>28</v>
      </c>
      <c r="W3" s="25" t="s">
        <v>76</v>
      </c>
    </row>
    <row r="4" spans="1:29" ht="15.75" thickBot="1" x14ac:dyDescent="0.3">
      <c r="A4" s="8">
        <f>(1-Table36[idleRatio])/((Table36[maxTRpm1]-Table36[idleRpm])^2)</f>
        <v>2.3668639053254432E-7</v>
      </c>
      <c r="B4" s="8">
        <f>(Table36[maxT]-Table7[Nm])/Table36[maxT]/(Table36[maxPRpm]-Table36[maxTRpm])</f>
        <v>1.4371891314177675E-4</v>
      </c>
      <c r="C4" s="8">
        <f>(Table36[maxT]-Table7[Nm])/Table36[maxT]/(Table36[maxPRpm]-Table36[maxTRpm])^2</f>
        <v>4.790630438059225E-7</v>
      </c>
      <c r="D4" s="8">
        <f>(Table36[maxPS]-Table36[PS])/MAX(1,Table36[ratedRpm]-Table36[maxPRpm])^2</f>
        <v>7.7777777777777782E-5</v>
      </c>
      <c r="E4" s="8">
        <f>Table36[maxPS]/1.36*9550/Table36[maxPRpm]</f>
        <v>963.58251633986924</v>
      </c>
      <c r="F4" s="8">
        <f>Table36[PS]/1.36*9550/Table36[ratedRpm]</f>
        <v>802.52100840336129</v>
      </c>
      <c r="G4" s="14">
        <f>Table7[Nm1000]/Table7[Nm2]</f>
        <v>1.1805475386474178</v>
      </c>
      <c r="H4" s="24">
        <f>Table36[maxTEco]/Table7[Nm2Eco]-1</f>
        <v>0.40070230122975792</v>
      </c>
      <c r="I4" s="24">
        <f>Table36[maxT]/Table7[Nm2]-1</f>
        <v>0.25479581151832464</v>
      </c>
      <c r="J4" s="24">
        <f>1-Table36[maxTRpm]/Table36[ratedRpm]</f>
        <v>0.2857142857142857</v>
      </c>
      <c r="K4" s="20">
        <f>Table36[maxPS]/1.36</f>
        <v>181.61764705882351</v>
      </c>
      <c r="L4" s="21">
        <f>Table36[PS]/1.36</f>
        <v>176.47058823529412</v>
      </c>
      <c r="M4" s="22">
        <f>Table36[fuelRatedRate]*1.1</f>
        <v>248.11111111111111</v>
      </c>
      <c r="N4" s="8">
        <f>(1-Table7[f1]*(Table36[maxTRpm1]-1000)^2)*Table36[maxTEco]</f>
        <v>947.41420118343194</v>
      </c>
      <c r="O4" s="8">
        <f>Table36[maxPSEco]/1.36*9550/Table36[maxPRpm]</f>
        <v>924.57107843137237</v>
      </c>
      <c r="P4" s="8">
        <f>Table36[PSEco]/1.36*9550/Table36[ratedRpm]</f>
        <v>718.92507002801108</v>
      </c>
      <c r="Q4" s="8">
        <f>(Table36[maxTEco]-Table7[NmEco])/Table36[maxTEco]/(Table36[maxPRpm]-Table36[maxTRpm])</f>
        <v>2.7285310019406695E-4</v>
      </c>
      <c r="R4" s="8">
        <f>(Table36[maxTEco]-Table7[NmEco])/Table36[maxTEco]/(Table36[maxPRpm]-Table36[maxTRpm])^2</f>
        <v>9.095103339802232E-7</v>
      </c>
      <c r="S4" s="8">
        <f>(Table36[maxPSEco]-Table36[PSEco])/MAX(1,Table36[ratedRpm]-Table36[maxPRpm])^2</f>
        <v>2.4444444444444443E-4</v>
      </c>
      <c r="T4" s="8">
        <f>(1-Table7[f1]*(Table36[maxTRpm1]-Table36[idleRpm])^2)*Table36[maxT]</f>
        <v>906.30000000000007</v>
      </c>
      <c r="U4" s="8">
        <f>(1-Table7[f1]*(Table36[maxTRpm1]-Table36[idleRpm])^2)*Table36[maxTEco]</f>
        <v>906.30000000000007</v>
      </c>
      <c r="V4" s="8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&lt;!-- 1800: 247(237) | 2100: 240(215) | 1500..1500: 1007(1007) | 90 | 0 | 99 | 3 | 2100 | 1350: 203 --&gt;</v>
      </c>
      <c r="W4" s="25">
        <f>MAX(Table15[deltaEco])</f>
        <v>83.595938375350215</v>
      </c>
    </row>
    <row r="6" spans="1:29" s="4" customFormat="1" ht="62.2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  <c r="W6" s="4" t="s">
        <v>72</v>
      </c>
      <c r="X6" s="4" t="s">
        <v>73</v>
      </c>
      <c r="Y6" s="4" t="s">
        <v>75</v>
      </c>
    </row>
    <row r="7" spans="1:29" x14ac:dyDescent="0.25">
      <c r="A7" s="3">
        <v>0</v>
      </c>
      <c r="B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2"/>
      <c r="D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2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18">
        <f>1.36*Table15[[#This Row],[rpm]]*Table15[[#This Row],[motor]]/9550</f>
        <v>0</v>
      </c>
      <c r="I7" s="18">
        <f>1.36*Table15[[#This Row],[rpm]]*Table15[[#This Row],[motorEco]]/9550</f>
        <v>0</v>
      </c>
      <c r="J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268.77199999999993</v>
      </c>
      <c r="K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&lt;!-- 1800: 247(237) | 2100: 240(215) | 1500..1500: 1007(1007) | 90 | 0 | 99 | 3 | 2100 | 1350: 203 --&gt;</v>
      </c>
      <c r="L7" s="7" t="str">
        <f>IF(Table15[[#This Row],[rpm]]&lt;1,Table7[xmlComment],IF(A6&gt;Table36[normRpm],"",IF(Table15[[#This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&lt;!-- 1800: 247(237) | 2100: 240(215) | 1500..1500: 1007(1007) | 90 | 0 | 99 | 3 | 2100 | 1350: 203 --&gt;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470.72781065088776</v>
      </c>
      <c r="O7" s="3">
        <f>MAX(0,(Table36[linearDown]*(1-Table7[f2]*(Table15[[#This Row],[rpm]]-Table36[maxTRpm]))+(1-Table36[linearDown])*(1-Table7[f3]*(Table15[[#This Row],[rpm]]-Table36[maxTRpm])^2))*Table36[maxT])</f>
        <v>0</v>
      </c>
      <c r="P7" s="3">
        <f>MAX(0,(Table36[maxPS]-Table7[f4]*(Table15[[#This Row],[rpm]]-Table36[maxPRpm])^2)/1.36*9550/MAX(1,Table15[[#This Row],[rpm]]))</f>
        <v>0</v>
      </c>
      <c r="Q7" s="3">
        <f>MAX(0,Table7[Nm2]*MIN(Table36[ratedRpm]/MAX(1,Table15[[#This Row],[rpm]]),1-(MAX(0,Table15[[#This Row],[rpm]]-Table36[ratedRpm])/Table36[fadeOut])^Table36[fadeOutExp]))</f>
        <v>802.52100840336129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470.72781065088776</v>
      </c>
      <c r="T7" s="3">
        <f>MAX(0,(Table36[linearDown]*(1-Table7[f2Eco]*(Table15[[#This Row],[rpm]]-Table36[maxTRpm]))+(1-Table36[linearDown])*(1-Table7[f3Eco]*(Table15[[#This Row],[rpm]]-Table36[maxTRpm])^2))*Table36[maxTEco])</f>
        <v>0</v>
      </c>
      <c r="U7" s="3">
        <f>MAX(0,(Table36[maxPSEco]-Table7[f4Eco]*(Table15[[#This Row],[rpm]]-Table36[maxPRpm])^2)/1.36*9550/MAX(1,Table15[[#This Row],[rpm]]))</f>
        <v>0</v>
      </c>
      <c r="V7" s="3">
        <f>MAX(0,Table7[Nm2Eco]*MIN(Table36[ratedRpm]/MAX(1,Table15[[#This Row],[rpm]]),1-(MAX(0,Table15[[#This Row],[rpm]]-Table36[ratedRpm])/Table36[fadeOut])^Table36[fadeOutExp]))</f>
        <v>718.92507002801108</v>
      </c>
      <c r="W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0</v>
      </c>
      <c r="X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0</v>
      </c>
      <c r="Y7" s="3">
        <f>ABS(Table15[[#This Row],[motor]]-Table15[[#This Row],[motorEco]])</f>
        <v>0</v>
      </c>
    </row>
    <row r="8" spans="1:29" x14ac:dyDescent="0.25">
      <c r="A8" s="3">
        <v>350</v>
      </c>
      <c r="B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633.50304180311389</v>
      </c>
      <c r="C8" s="13"/>
      <c r="D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633.50304180311389</v>
      </c>
      <c r="E8" s="13"/>
      <c r="F8" s="3">
        <f>Table36[Factor]*IF(Table15[[#This Row],[manualData]]&gt;0,Table15[[#This Row],[manualData]],Table15[[#This Row],[rawData]])</f>
        <v>633.50304180311389</v>
      </c>
      <c r="G8" s="3">
        <f>Table36[Factor]*IF(Table15[[#This Row],[manDataEco]]&gt;0,Table15[[#This Row],[manDataEco]],Table15[[#This Row],[rawDataEco]])</f>
        <v>633.50304180311389</v>
      </c>
      <c r="H8" s="18">
        <f>1.36*Table15[[#This Row],[rpm]]*Table15[[#This Row],[motor]]/9550</f>
        <v>31.57564899458453</v>
      </c>
      <c r="I8" s="18">
        <f>1.36*Table15[[#This Row],[rpm]]*Table15[[#This Row],[motorEco]]/9550</f>
        <v>31.57564899458453</v>
      </c>
      <c r="J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239.08888888888885</v>
      </c>
      <c r="K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motorTorque="634" motorTorqueEco="634" fuelUsageRatio="239.1"/&gt;</v>
      </c>
      <c r="L8" s="7" t="str">
        <f>IF(Table15[[#This Row],[rpm]]&lt;1,Table7[xmlComment],IF(A7&gt;Table36[normRpm],"",IF(Table15[[#This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normRpm="0.167" torque="0.629"/&gt;</v>
      </c>
      <c r="M8" s="3">
        <f>(1-(1-Table15[[#This Row],[rpm]]/Table36[idleRpm])^2)*Table7[idleT]</f>
        <v>592.70138408304501</v>
      </c>
      <c r="N8" s="3">
        <f>MAX(0,(1-Table7[f1]*(Table36[maxTRpm1]-Table15[[#This Row],[rpm]])^2)*Table36[maxT])</f>
        <v>691.79112426035522</v>
      </c>
      <c r="O8" s="3">
        <f>MAX(0,(Table36[linearDown]*(1-Table7[f2]*(Table15[[#This Row],[rpm]]-Table36[maxTRpm]))+(1-Table36[linearDown])*(1-Table7[f3]*(Table15[[#This Row],[rpm]]-Table36[maxTRpm])^2))*Table36[maxT])</f>
        <v>369.00419843863415</v>
      </c>
      <c r="P8" s="3">
        <f>MAX(0,(Table36[maxPS]-Table7[f4]*(Table15[[#This Row],[rpm]]-Table36[maxPRpm])^2)/1.36*9550/MAX(1,Table15[[#This Row],[rpm]]))</f>
        <v>1674.7052987861814</v>
      </c>
      <c r="Q8" s="3">
        <f>MAX(0,Table7[Nm2]*MIN(Table36[ratedRpm]/MAX(1,Table15[[#This Row],[rpm]]),1-(MAX(0,Table15[[#This Row],[rpm]]-Table36[ratedRpm])/Table36[fadeOut])^Table36[fadeOutExp]))</f>
        <v>802.52100840336129</v>
      </c>
      <c r="R8" s="3">
        <f>(1-(1-Table15[[#This Row],[rpm]]/Table36[idleRpm])^2)*Table7[idleTEco]</f>
        <v>592.70138408304501</v>
      </c>
      <c r="S8" s="3">
        <f>MAX(0,(1-Table7[f1]*(Table36[maxTRpm1]-Table15[[#This Row],[rpm]])^2)*Table36[maxTEco])</f>
        <v>691.79112426035522</v>
      </c>
      <c r="T8" s="3">
        <f>MAX(0,(Table36[linearDown]*(1-Table7[f2Eco]*(Table15[[#This Row],[rpm]]-Table36[maxTRpm]))+(1-Table36[linearDown])*(1-Table7[f3Eco]*(Table15[[#This Row],[rpm]]-Table36[maxTRpm])^2))*Table36[maxTEco])</f>
        <v>0</v>
      </c>
      <c r="U8" s="3">
        <f>MAX(0,(Table36[maxPSEco]-Table7[f4Eco]*(Table15[[#This Row],[rpm]]-Table36[maxPRpm])^2)/1.36*9550/MAX(1,Table15[[#This Row],[rpm]]))</f>
        <v>0</v>
      </c>
      <c r="V8" s="3">
        <f>MAX(0,Table7[Nm2Eco]*MIN(Table36[ratedRpm]/MAX(1,Table15[[#This Row],[rpm]]),1-(MAX(0,Table15[[#This Row],[rpm]]-Table36[ratedRpm])/Table36[fadeOut])^Table36[fadeOutExp]))</f>
        <v>718.92507002801108</v>
      </c>
      <c r="W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4875.7275326797371</v>
      </c>
      <c r="X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4678.3296568627438</v>
      </c>
      <c r="Y8" s="3">
        <f>ABS(Table15[[#This Row],[motor]]-Table15[[#This Row],[motorEco]])</f>
        <v>0</v>
      </c>
    </row>
    <row r="9" spans="1:29" x14ac:dyDescent="0.25">
      <c r="A9" s="3">
        <v>700</v>
      </c>
      <c r="B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858.62784377156606</v>
      </c>
      <c r="C9" s="13"/>
      <c r="D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858.62784377156606</v>
      </c>
      <c r="E9" s="13"/>
      <c r="F9" s="3">
        <f>Table36[Factor]*IF(Table15[[#This Row],[manualData]]&gt;0,Table15[[#This Row],[manualData]],Table15[[#This Row],[rawData]])</f>
        <v>858.62784377156606</v>
      </c>
      <c r="G9" s="3">
        <f>Table36[Factor]*IF(Table15[[#This Row],[manDataEco]]&gt;0,Table15[[#This Row],[manDataEco]],Table15[[#This Row],[rawDataEco]])</f>
        <v>858.62784377156606</v>
      </c>
      <c r="H9" s="18">
        <f>1.36*Table15[[#This Row],[rpm]]*Table15[[#This Row],[motor]]/9550</f>
        <v>85.593058352935188</v>
      </c>
      <c r="I9" s="18">
        <f>1.36*Table15[[#This Row],[rpm]]*Table15[[#This Row],[motorEco]]/9550</f>
        <v>85.593058352935188</v>
      </c>
      <c r="J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218.24755555555555</v>
      </c>
      <c r="K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motorTorque="859" motorTorqueEco="859" fuelUsageRatio="218.2"/&gt;</v>
      </c>
      <c r="L9" s="7" t="str">
        <f>IF(Table15[[#This Row],[rpm]]&lt;1,Table7[xmlComment],IF(A8&gt;Table36[normRpm],"",IF(Table15[[#This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normRpm="0.333" torque="0.853"/&gt;</v>
      </c>
      <c r="M9" s="3">
        <f>(1-(1-Table15[[#This Row],[rpm]]/Table36[idleRpm])^2)*Table7[idleT]</f>
        <v>878.07612456747404</v>
      </c>
      <c r="N9" s="3">
        <f>MAX(0,(1-Table7[f1]*(Table36[maxTRpm1]-Table15[[#This Row],[rpm]])^2)*Table36[maxT])</f>
        <v>854.4603550295858</v>
      </c>
      <c r="O9" s="3">
        <f>MAX(0,(Table36[linearDown]*(1-Table7[f2]*(Table15[[#This Row],[rpm]]-Table36[maxTRpm]))+(1-Table36[linearDown])*(1-Table7[f3]*(Table15[[#This Row],[rpm]]-Table36[maxTRpm])^2))*Table36[maxT])</f>
        <v>698.25344952795911</v>
      </c>
      <c r="P9" s="3">
        <f>MAX(0,(Table36[maxPS]-Table7[f4]*(Table15[[#This Row],[rpm]]-Table36[maxPRpm])^2)/1.36*9550/MAX(1,Table15[[#This Row],[rpm]]))</f>
        <v>1533.7068160597571</v>
      </c>
      <c r="Q9" s="3">
        <f>MAX(0,Table7[Nm2]*MIN(Table36[ratedRpm]/MAX(1,Table15[[#This Row],[rpm]]),1-(MAX(0,Table15[[#This Row],[rpm]]-Table36[ratedRpm])/Table36[fadeOut])^Table36[fadeOutExp]))</f>
        <v>802.52100840336129</v>
      </c>
      <c r="R9" s="3">
        <f>(1-(1-Table15[[#This Row],[rpm]]/Table36[idleRpm])^2)*Table7[idleTEco]</f>
        <v>878.07612456747404</v>
      </c>
      <c r="S9" s="3">
        <f>MAX(0,(1-Table7[f1]*(Table36[maxTRpm1]-Table15[[#This Row],[rpm]])^2)*Table36[maxTEco])</f>
        <v>854.4603550295858</v>
      </c>
      <c r="T9" s="3">
        <f>MAX(0,(Table36[linearDown]*(1-Table7[f2Eco]*(Table15[[#This Row],[rpm]]-Table36[maxTRpm]))+(1-Table36[linearDown])*(1-Table7[f3Eco]*(Table15[[#This Row],[rpm]]-Table36[maxTRpm])^2))*Table36[maxTEco])</f>
        <v>420.83877995642575</v>
      </c>
      <c r="U9" s="3">
        <f>MAX(0,(Table36[maxPSEco]-Table7[f4Eco]*(Table15[[#This Row],[rpm]]-Table36[maxPRpm])^2)/1.36*9550/MAX(1,Table15[[#This Row],[rpm]]))</f>
        <v>0</v>
      </c>
      <c r="V9" s="3">
        <f>MAX(0,Table7[Nm2Eco]*MIN(Table36[ratedRpm]/MAX(1,Table15[[#This Row],[rpm]]),1-(MAX(0,Table15[[#This Row],[rpm]]-Table36[ratedRpm])/Table36[fadeOut])^Table36[fadeOutExp]))</f>
        <v>718.92507002801108</v>
      </c>
      <c r="W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2447.4995915032678</v>
      </c>
      <c r="X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2348.4105392156862</v>
      </c>
      <c r="Y9" s="3">
        <f>ABS(Table15[[#This Row],[motor]]-Table15[[#This Row],[motorEco]])</f>
        <v>0</v>
      </c>
    </row>
    <row r="10" spans="1:29" x14ac:dyDescent="0.25">
      <c r="A10" s="3">
        <v>900</v>
      </c>
      <c r="B1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921.19644970414197</v>
      </c>
      <c r="C10" s="13"/>
      <c r="D1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921.19644970414197</v>
      </c>
      <c r="E10" s="13"/>
      <c r="F10" s="3">
        <f>Table36[Factor]*IF(Table15[[#This Row],[manualData]]&gt;0,Table15[[#This Row],[manualData]],Table15[[#This Row],[rawData]])</f>
        <v>921.19644970414197</v>
      </c>
      <c r="G10" s="3">
        <f>Table36[Factor]*IF(Table15[[#This Row],[manDataEco]]&gt;0,Table15[[#This Row],[manDataEco]],Table15[[#This Row],[rawDataEco]])</f>
        <v>921.19644970414197</v>
      </c>
      <c r="H10" s="18">
        <f>1.36*Table15[[#This Row],[rpm]]*Table15[[#This Row],[motor]]/9550</f>
        <v>118.06748214009109</v>
      </c>
      <c r="I10" s="18">
        <f>1.36*Table15[[#This Row],[rpm]]*Table15[[#This Row],[motorEco]]/9550</f>
        <v>118.06748214009109</v>
      </c>
      <c r="J1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210.30799999999999</v>
      </c>
      <c r="K1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motorTorque="921" motorTorqueEco="921" fuelUsageRatio="210.3"/&gt;</v>
      </c>
      <c r="L10" s="7" t="str">
        <f>IF(Table15[[#This Row],[rpm]]&lt;1,Table7[xmlComment],IF(A9&gt;Table36[normRpm],"",IF(Table15[[#This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normRpm="0.429" torque="0.915"/&gt;</v>
      </c>
      <c r="M10" s="3">
        <f>(1-(1-Table15[[#This Row],[rpm]]/Table36[idleRpm])^2)*Table7[idleT]</f>
        <v>903.16401384083042</v>
      </c>
      <c r="N10" s="3">
        <f>MAX(0,(1-Table7[f1]*(Table36[maxTRpm1]-Table15[[#This Row],[rpm]])^2)*Table36[maxT])</f>
        <v>921.19644970414197</v>
      </c>
      <c r="O10" s="3">
        <f>MAX(0,(Table36[linearDown]*(1-Table7[f2]*(Table15[[#This Row],[rpm]]-Table36[maxTRpm]))+(1-Table36[linearDown])*(1-Table7[f3]*(Table15[[#This Row],[rpm]]-Table36[maxTRpm])^2))*Table36[maxT])</f>
        <v>833.33006535947698</v>
      </c>
      <c r="P10" s="3">
        <f>MAX(0,(Table36[maxPS]-Table7[f4]*(Table15[[#This Row],[rpm]]-Table36[maxPRpm])^2)/1.36*9550/MAX(1,Table15[[#This Row],[rpm]]))</f>
        <v>1435.6209150326795</v>
      </c>
      <c r="Q10" s="3">
        <f>MAX(0,Table7[Nm2]*MIN(Table36[ratedRpm]/MAX(1,Table15[[#This Row],[rpm]]),1-(MAX(0,Table15[[#This Row],[rpm]]-Table36[ratedRpm])/Table36[fadeOut])^Table36[fadeOutExp]))</f>
        <v>802.52100840336129</v>
      </c>
      <c r="R10" s="3">
        <f>(1-(1-Table15[[#This Row],[rpm]]/Table36[idleRpm])^2)*Table7[idleTEco]</f>
        <v>903.16401384083042</v>
      </c>
      <c r="S10" s="3">
        <f>MAX(0,(1-Table7[f1]*(Table36[maxTRpm1]-Table15[[#This Row],[rpm]])^2)*Table36[maxTEco])</f>
        <v>921.19644970414197</v>
      </c>
      <c r="T10" s="3">
        <f>MAX(0,(Table36[linearDown]*(1-Table7[f2Eco]*(Table15[[#This Row],[rpm]]-Table36[maxTRpm]))+(1-Table36[linearDown])*(1-Table7[f3Eco]*(Table15[[#This Row],[rpm]]-Table36[maxTRpm])^2))*Table36[maxTEco])</f>
        <v>677.28431372548948</v>
      </c>
      <c r="U10" s="3">
        <f>MAX(0,(Table36[maxPSEco]-Table7[f4Eco]*(Table15[[#This Row],[rpm]]-Table36[maxPRpm])^2)/1.36*9550/MAX(1,Table15[[#This Row],[rpm]]))</f>
        <v>304.28921568627447</v>
      </c>
      <c r="V10" s="3">
        <f>MAX(0,Table7[Nm2Eco]*MIN(Table36[ratedRpm]/MAX(1,Table15[[#This Row],[rpm]]),1-(MAX(0,Table15[[#This Row],[rpm]]-Table36[ratedRpm])/Table36[fadeOut])^Table36[fadeOutExp]))</f>
        <v>718.92507002801108</v>
      </c>
      <c r="W1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1907.893382352941</v>
      </c>
      <c r="X1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1830.6507352941173</v>
      </c>
      <c r="Y10" s="3">
        <f>ABS(Table15[[#This Row],[motor]]-Table15[[#This Row],[motorEco]])</f>
        <v>0</v>
      </c>
    </row>
    <row r="11" spans="1:29" x14ac:dyDescent="0.25">
      <c r="A11" s="3">
        <v>1000</v>
      </c>
      <c r="B1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947.41420118343194</v>
      </c>
      <c r="C11" s="13"/>
      <c r="D1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947.41420118343194</v>
      </c>
      <c r="E11" s="13"/>
      <c r="F11" s="3">
        <f>Table36[Factor]*IF(Table15[[#This Row],[manualData]]&gt;0,Table15[[#This Row],[manualData]],Table15[[#This Row],[rawData]])</f>
        <v>947.41420118343194</v>
      </c>
      <c r="G11" s="3">
        <f>Table36[Factor]*IF(Table15[[#This Row],[manDataEco]]&gt;0,Table15[[#This Row],[manDataEco]],Table15[[#This Row],[rawDataEco]])</f>
        <v>947.41420118343194</v>
      </c>
      <c r="H11" s="18">
        <f>1.36*Table15[[#This Row],[rpm]]*Table15[[#This Row],[motor]]/9550</f>
        <v>134.91971870256202</v>
      </c>
      <c r="I11" s="18">
        <f>1.36*Table15[[#This Row],[rpm]]*Table15[[#This Row],[motorEco]]/9550</f>
        <v>134.91971870256202</v>
      </c>
      <c r="J1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207.4208888888889</v>
      </c>
      <c r="K1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motorTorque="947" motorTorqueEco="947" fuelUsageRatio="207.4"/&gt;</v>
      </c>
      <c r="L11" s="7" t="str">
        <f>IF(Table15[[#This Row],[rpm]]&lt;1,Table7[xmlComment],IF(A10&gt;Table36[normRpm],"",IF(Table15[[#This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normRpm="0.476" torque="0.941"/&gt;</v>
      </c>
      <c r="M11" s="3">
        <f>(1-(1-Table15[[#This Row],[rpm]]/Table36[idleRpm])^2)*Table7[idleT]</f>
        <v>878.07612456747404</v>
      </c>
      <c r="N11" s="3">
        <f>MAX(0,(1-Table7[f1]*(Table36[maxTRpm1]-Table15[[#This Row],[rpm]])^2)*Table36[maxT])</f>
        <v>947.41420118343194</v>
      </c>
      <c r="O11" s="3">
        <f>MAX(0,(Table36[linearDown]*(1-Table7[f2]*(Table15[[#This Row],[rpm]]-Table36[maxTRpm]))+(1-Table36[linearDown])*(1-Table7[f3]*(Table15[[#This Row],[rpm]]-Table36[maxTRpm])^2))*Table36[maxT])</f>
        <v>886.39587872185905</v>
      </c>
      <c r="P11" s="3">
        <f>MAX(0,(Table36[maxPS]-Table7[f4]*(Table15[[#This Row],[rpm]]-Table36[maxPRpm])^2)/1.36*9550/MAX(1,Table15[[#This Row],[rpm]]))</f>
        <v>1384.9060457516339</v>
      </c>
      <c r="Q11" s="3">
        <f>MAX(0,Table7[Nm2]*MIN(Table36[ratedRpm]/MAX(1,Table15[[#This Row],[rpm]]),1-(MAX(0,Table15[[#This Row],[rpm]]-Table36[ratedRpm])/Table36[fadeOut])^Table36[fadeOutExp]))</f>
        <v>802.52100840336129</v>
      </c>
      <c r="R11" s="3">
        <f>(1-(1-Table15[[#This Row],[rpm]]/Table36[idleRpm])^2)*Table7[idleTEco]</f>
        <v>878.07612456747404</v>
      </c>
      <c r="S11" s="3">
        <f>MAX(0,(1-Table7[f1]*(Table36[maxTRpm1]-Table15[[#This Row],[rpm]])^2)*Table36[maxTEco])</f>
        <v>947.41420118343194</v>
      </c>
      <c r="T11" s="3">
        <f>MAX(0,(Table36[linearDown]*(1-Table7[f2Eco]*(Table15[[#This Row],[rpm]]-Table36[maxTRpm]))+(1-Table36[linearDown])*(1-Table7[f3Eco]*(Table15[[#This Row],[rpm]]-Table36[maxTRpm])^2))*Table36[maxTEco])</f>
        <v>778.03077342047879</v>
      </c>
      <c r="U11" s="3">
        <f>MAX(0,(Table36[maxPSEco]-Table7[f4Eco]*(Table15[[#This Row],[rpm]]-Table36[maxPRpm])^2)/1.36*9550/MAX(1,Table15[[#This Row],[rpm]]))</f>
        <v>565.66584967320262</v>
      </c>
      <c r="V11" s="3">
        <f>MAX(0,Table7[Nm2Eco]*MIN(Table36[ratedRpm]/MAX(1,Table15[[#This Row],[rpm]]),1-(MAX(0,Table15[[#This Row],[rpm]]-Table36[ratedRpm])/Table36[fadeOut])^Table36[fadeOutExp]))</f>
        <v>718.92507002801108</v>
      </c>
      <c r="W1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1719.0312091503267</v>
      </c>
      <c r="X1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1649.4348039215681</v>
      </c>
      <c r="Y11" s="3">
        <f>ABS(Table15[[#This Row],[motor]]-Table15[[#This Row],[motorEco]])</f>
        <v>0</v>
      </c>
    </row>
    <row r="12" spans="1:29" x14ac:dyDescent="0.25">
      <c r="A12" s="3">
        <v>1100</v>
      </c>
      <c r="B1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968.86508875739651</v>
      </c>
      <c r="C12" s="13"/>
      <c r="D1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968.86508875739651</v>
      </c>
      <c r="E12" s="13"/>
      <c r="F12" s="3">
        <f>Table36[Factor]*IF(Table15[[#This Row],[manualData]]&gt;0,Table15[[#This Row],[manualData]],Table15[[#This Row],[rawData]])</f>
        <v>968.86508875739651</v>
      </c>
      <c r="G12" s="3">
        <f>Table36[Factor]*IF(Table15[[#This Row],[manDataEco]]&gt;0,Table15[[#This Row],[manDataEco]],Table15[[#This Row],[rawDataEco]])</f>
        <v>968.86508875739651</v>
      </c>
      <c r="H12" s="18">
        <f>1.36*Table15[[#This Row],[rpm]]*Table15[[#This Row],[motor]]/9550</f>
        <v>151.771955265033</v>
      </c>
      <c r="I12" s="18">
        <f>1.36*Table15[[#This Row],[rpm]]*Table15[[#This Row],[motorEco]]/9550</f>
        <v>151.771955265033</v>
      </c>
      <c r="J1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205.25555555555556</v>
      </c>
      <c r="K1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motorTorque="969" motorTorqueEco="969" fuelUsageRatio="205.3"/&gt;</v>
      </c>
      <c r="L12" s="7" t="str">
        <f>IF(Table15[[#This Row],[rpm]]&lt;1,Table7[xmlComment],IF(A11&gt;Table36[normRpm],"",IF(Table15[[#This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normRpm="0.524" torque="0.962"/&gt;</v>
      </c>
      <c r="M12" s="3">
        <f>(1-(1-Table15[[#This Row],[rpm]]/Table36[idleRpm])^2)*Table7[idleT]</f>
        <v>827.90034602076128</v>
      </c>
      <c r="N12" s="3">
        <f>MAX(0,(1-Table7[f1]*(Table36[maxTRpm1]-Table15[[#This Row],[rpm]])^2)*Table36[maxT])</f>
        <v>968.86508875739651</v>
      </c>
      <c r="O12" s="3">
        <f>MAX(0,(Table36[linearDown]*(1-Table7[f2]*(Table15[[#This Row],[rpm]]-Table36[maxTRpm]))+(1-Table36[linearDown])*(1-Table7[f3]*(Table15[[#This Row],[rpm]]-Table36[maxTRpm])^2))*Table36[maxT])</f>
        <v>929.8133623819898</v>
      </c>
      <c r="P12" s="3">
        <f>MAX(0,(Table36[maxPS]-Table7[f4]*(Table15[[#This Row],[rpm]]-Table36[maxPRpm])^2)/1.36*9550/MAX(1,Table15[[#This Row],[rpm]]))</f>
        <v>1333.4818775995245</v>
      </c>
      <c r="Q12" s="3">
        <f>MAX(0,Table7[Nm2]*MIN(Table36[ratedRpm]/MAX(1,Table15[[#This Row],[rpm]]),1-(MAX(0,Table15[[#This Row],[rpm]]-Table36[ratedRpm])/Table36[fadeOut])^Table36[fadeOutExp]))</f>
        <v>802.52100840336129</v>
      </c>
      <c r="R12" s="3">
        <f>(1-(1-Table15[[#This Row],[rpm]]/Table36[idleRpm])^2)*Table7[idleTEco]</f>
        <v>827.90034602076128</v>
      </c>
      <c r="S12" s="3">
        <f>MAX(0,(1-Table7[f1]*(Table36[maxTRpm1]-Table15[[#This Row],[rpm]])^2)*Table36[maxTEco])</f>
        <v>968.86508875739651</v>
      </c>
      <c r="T12" s="3">
        <f>MAX(0,(Table36[linearDown]*(1-Table7[f2Eco]*(Table15[[#This Row],[rpm]]-Table36[maxTRpm]))+(1-Table36[linearDown])*(1-Table7[f3Eco]*(Table15[[#This Row],[rpm]]-Table36[maxTRpm])^2))*Table36[maxTEco])</f>
        <v>860.45969498910642</v>
      </c>
      <c r="U12" s="3">
        <f>MAX(0,(Table36[maxPSEco]-Table7[f4Eco]*(Table15[[#This Row],[rpm]]-Table36[maxPRpm])^2)/1.36*9550/MAX(1,Table15[[#This Row],[rpm]]))</f>
        <v>748.3103089720737</v>
      </c>
      <c r="V12" s="3">
        <f>MAX(0,Table7[Nm2Eco]*MIN(Table36[ratedRpm]/MAX(1,Table15[[#This Row],[rpm]]),1-(MAX(0,Table15[[#This Row],[rpm]]-Table36[ratedRpm])/Table36[fadeOut])^Table36[fadeOutExp]))</f>
        <v>718.92507002801108</v>
      </c>
      <c r="W1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1564.5076128936421</v>
      </c>
      <c r="X1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1501.1672237076646</v>
      </c>
      <c r="Y12" s="3">
        <f>ABS(Table15[[#This Row],[motor]]-Table15[[#This Row],[motorEco]])</f>
        <v>0</v>
      </c>
    </row>
    <row r="13" spans="1:29" x14ac:dyDescent="0.25">
      <c r="A13" s="3">
        <v>1200</v>
      </c>
      <c r="B1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985.54911242603555</v>
      </c>
      <c r="C13" s="13"/>
      <c r="D1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985.54911242603555</v>
      </c>
      <c r="E13" s="13"/>
      <c r="F13" s="3">
        <f>Table36[Factor]*IF(Table15[[#This Row],[manualData]]&gt;0,Table15[[#This Row],[manualData]],Table15[[#This Row],[rawData]])</f>
        <v>985.54911242603555</v>
      </c>
      <c r="G13" s="3">
        <f>Table36[Factor]*IF(Table15[[#This Row],[manDataEco]]&gt;0,Table15[[#This Row],[manDataEco]],Table15[[#This Row],[rawDataEco]])</f>
        <v>985.54911242603555</v>
      </c>
      <c r="H13" s="18">
        <f>1.36*Table15[[#This Row],[rpm]]*Table15[[#This Row],[motor]]/9550</f>
        <v>168.42053942191521</v>
      </c>
      <c r="I13" s="18">
        <f>1.36*Table15[[#This Row],[rpm]]*Table15[[#This Row],[motorEco]]/9550</f>
        <v>168.42053942191521</v>
      </c>
      <c r="J1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203.81200000000001</v>
      </c>
      <c r="K13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motorTorque="986" motorTorqueEco="986" fuelUsageRatio="203.8"/&gt;</v>
      </c>
      <c r="L13" s="7" t="str">
        <f>IF(Table15[[#This Row],[rpm]]&lt;1,Table7[xmlComment],IF(A12&gt;Table36[normRpm],"",IF(Table15[[#This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normRpm="0.571" torque="0.979"/&gt;</v>
      </c>
      <c r="M13" s="3">
        <f>(1-(1-Table15[[#This Row],[rpm]]/Table36[idleRpm])^2)*Table7[idleT]</f>
        <v>752.63667820069202</v>
      </c>
      <c r="N13" s="3">
        <f>MAX(0,(1-Table7[f1]*(Table36[maxTRpm1]-Table15[[#This Row],[rpm]])^2)*Table36[maxT])</f>
        <v>985.54911242603555</v>
      </c>
      <c r="O13" s="3">
        <f>MAX(0,(Table36[linearDown]*(1-Table7[f2]*(Table15[[#This Row],[rpm]]-Table36[maxTRpm]))+(1-Table36[linearDown])*(1-Table7[f3]*(Table15[[#This Row],[rpm]]-Table36[maxTRpm])^2))*Table36[maxT])</f>
        <v>963.58251633986924</v>
      </c>
      <c r="P13" s="3">
        <f>MAX(0,(Table36[maxPS]-Table7[f4]*(Table15[[#This Row],[rpm]]-Table36[maxPRpm])^2)/1.36*9550/MAX(1,Table15[[#This Row],[rpm]]))</f>
        <v>1281.5257352941176</v>
      </c>
      <c r="Q13" s="3">
        <f>MAX(0,Table7[Nm2]*MIN(Table36[ratedRpm]/MAX(1,Table15[[#This Row],[rpm]]),1-(MAX(0,Table15[[#This Row],[rpm]]-Table36[ratedRpm])/Table36[fadeOut])^Table36[fadeOutExp]))</f>
        <v>802.52100840336129</v>
      </c>
      <c r="R13" s="3">
        <f>(1-(1-Table15[[#This Row],[rpm]]/Table36[idleRpm])^2)*Table7[idleTEco]</f>
        <v>752.63667820069202</v>
      </c>
      <c r="S13" s="3">
        <f>MAX(0,(1-Table7[f1]*(Table36[maxTRpm1]-Table15[[#This Row],[rpm]])^2)*Table36[maxTEco])</f>
        <v>985.54911242603555</v>
      </c>
      <c r="T13" s="3">
        <f>MAX(0,(Table36[linearDown]*(1-Table7[f2Eco]*(Table15[[#This Row],[rpm]]-Table36[maxTRpm]))+(1-Table36[linearDown])*(1-Table7[f3Eco]*(Table15[[#This Row],[rpm]]-Table36[maxTRpm])^2))*Table36[maxTEco])</f>
        <v>924.57107843137237</v>
      </c>
      <c r="U13" s="3">
        <f>MAX(0,(Table36[maxPSEco]-Table7[f4Eco]*(Table15[[#This Row],[rpm]]-Table36[maxPRpm])^2)/1.36*9550/MAX(1,Table15[[#This Row],[rpm]]))</f>
        <v>871.90563725490188</v>
      </c>
      <c r="V13" s="3">
        <f>MAX(0,Table7[Nm2Eco]*MIN(Table36[ratedRpm]/MAX(1,Table15[[#This Row],[rpm]]),1-(MAX(0,Table15[[#This Row],[rpm]]-Table36[ratedRpm])/Table36[fadeOut])^Table36[fadeOutExp]))</f>
        <v>718.92507002801108</v>
      </c>
      <c r="W1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1435.7379493464052</v>
      </c>
      <c r="X1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1377.610906862745</v>
      </c>
      <c r="Y13" s="3">
        <f>ABS(Table15[[#This Row],[motor]]-Table15[[#This Row],[motorEco]])</f>
        <v>0</v>
      </c>
    </row>
    <row r="14" spans="1:29" x14ac:dyDescent="0.25">
      <c r="A14" s="3">
        <v>1300</v>
      </c>
      <c r="B1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997.46627218934907</v>
      </c>
      <c r="C14" s="13"/>
      <c r="D1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997.46627218934907</v>
      </c>
      <c r="E14" s="13"/>
      <c r="F14" s="3">
        <f>Table36[Factor]*IF(Table15[[#This Row],[manualData]]&gt;0,Table15[[#This Row],[manualData]],Table15[[#This Row],[rawData]])</f>
        <v>997.46627218934907</v>
      </c>
      <c r="G14" s="3">
        <f>Table36[Factor]*IF(Table15[[#This Row],[manDataEco]]&gt;0,Table15[[#This Row],[manDataEco]],Table15[[#This Row],[rawDataEco]])</f>
        <v>997.46627218934907</v>
      </c>
      <c r="H14" s="18">
        <f>1.36*Table15[[#This Row],[rpm]]*Table15[[#This Row],[motor]]/9550</f>
        <v>184.66181876761982</v>
      </c>
      <c r="I14" s="18">
        <f>1.36*Table15[[#This Row],[rpm]]*Table15[[#This Row],[motorEco]]/9550</f>
        <v>184.66181876761982</v>
      </c>
      <c r="J1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203.09022222222222</v>
      </c>
      <c r="K1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motorTorque="997" motorTorqueEco="997" fuelUsageRatio="203.1"/&gt;</v>
      </c>
      <c r="L14" s="7" t="str">
        <f>IF(Table15[[#This Row],[rpm]]&lt;1,Table7[xmlComment],IF(A13&gt;Table36[normRpm],"",IF(Table15[[#This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normRpm="0.619" torque="0.991"/&gt;</v>
      </c>
      <c r="M14" s="3">
        <f>(1-(1-Table15[[#This Row],[rpm]]/Table36[idleRpm])^2)*Table7[idleT]</f>
        <v>652.2851211072666</v>
      </c>
      <c r="N14" s="3">
        <f>MAX(0,(1-Table7[f1]*(Table36[maxTRpm1]-Table15[[#This Row],[rpm]])^2)*Table36[maxT])</f>
        <v>997.46627218934907</v>
      </c>
      <c r="O14" s="3">
        <f>MAX(0,(Table36[linearDown]*(1-Table7[f2]*(Table15[[#This Row],[rpm]]-Table36[maxTRpm]))+(1-Table36[linearDown])*(1-Table7[f3]*(Table15[[#This Row],[rpm]]-Table36[maxTRpm])^2))*Table36[maxT])</f>
        <v>987.70334059549748</v>
      </c>
      <c r="P14" s="3">
        <f>MAX(0,(Table36[maxPS]-Table7[f4]*(Table15[[#This Row],[rpm]]-Table36[maxPRpm])^2)/1.36*9550/MAX(1,Table15[[#This Row],[rpm]]))</f>
        <v>1229.1603821015583</v>
      </c>
      <c r="Q14" s="3">
        <f>MAX(0,Table7[Nm2]*MIN(Table36[ratedRpm]/MAX(1,Table15[[#This Row],[rpm]]),1-(MAX(0,Table15[[#This Row],[rpm]]-Table36[ratedRpm])/Table36[fadeOut])^Table36[fadeOutExp]))</f>
        <v>802.52100840336129</v>
      </c>
      <c r="R14" s="3">
        <f>(1-(1-Table15[[#This Row],[rpm]]/Table36[idleRpm])^2)*Table7[idleTEco]</f>
        <v>652.2851211072666</v>
      </c>
      <c r="S14" s="3">
        <f>MAX(0,(1-Table7[f1]*(Table36[maxTRpm1]-Table15[[#This Row],[rpm]])^2)*Table36[maxTEco])</f>
        <v>997.46627218934907</v>
      </c>
      <c r="T14" s="3">
        <f>MAX(0,(Table36[linearDown]*(1-Table7[f2Eco]*(Table15[[#This Row],[rpm]]-Table36[maxTRpm]))+(1-Table36[linearDown])*(1-Table7[f3Eco]*(Table15[[#This Row],[rpm]]-Table36[maxTRpm])^2))*Table36[maxTEco])</f>
        <v>970.36492374727663</v>
      </c>
      <c r="U14" s="3">
        <f>MAX(0,(Table36[maxPSEco]-Table7[f4Eco]*(Table15[[#This Row],[rpm]]-Table36[maxPRpm])^2)/1.36*9550/MAX(1,Table15[[#This Row],[rpm]]))</f>
        <v>950.07855706385124</v>
      </c>
      <c r="V14" s="3">
        <f>MAX(0,Table7[Nm2Eco]*MIN(Table36[ratedRpm]/MAX(1,Table15[[#This Row],[rpm]]),1-(MAX(0,Table15[[#This Row],[rpm]]-Table36[ratedRpm])/Table36[fadeOut])^Table36[fadeOutExp]))</f>
        <v>718.92507002801108</v>
      </c>
      <c r="W1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1326.7790032679736</v>
      </c>
      <c r="X1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1273.0632541478128</v>
      </c>
      <c r="Y14" s="3">
        <f>ABS(Table15[[#This Row],[motor]]-Table15[[#This Row],[motorEco]])</f>
        <v>0</v>
      </c>
    </row>
    <row r="15" spans="1:29" x14ac:dyDescent="0.25">
      <c r="A15" s="3">
        <v>1400</v>
      </c>
      <c r="B1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1004.6165680473373</v>
      </c>
      <c r="C15" s="13"/>
      <c r="D1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1004.6165680473373</v>
      </c>
      <c r="E15" s="13"/>
      <c r="F15" s="3">
        <f>Table36[Factor]*IF(Table15[[#This Row],[manualData]]&gt;0,Table15[[#This Row],[manualData]],Table15[[#This Row],[rawData]])</f>
        <v>1004.6165680473373</v>
      </c>
      <c r="G15" s="3">
        <f>Table36[Factor]*IF(Table15[[#This Row],[manDataEco]]&gt;0,Table15[[#This Row],[manDataEco]],Table15[[#This Row],[rawDataEco]])</f>
        <v>1004.6165680473373</v>
      </c>
      <c r="H15" s="18">
        <f>1.36*Table15[[#This Row],[rpm]]*Table15[[#This Row],[motor]]/9550</f>
        <v>200.29214089655818</v>
      </c>
      <c r="I15" s="18">
        <f>1.36*Table15[[#This Row],[rpm]]*Table15[[#This Row],[motorEco]]/9550</f>
        <v>200.29214089655818</v>
      </c>
      <c r="J1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203.10024691358024</v>
      </c>
      <c r="K1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motorTorque="1005" motorTorqueEco="1005" fuelUsageRatio="203.1"/&gt;</v>
      </c>
      <c r="L15" s="7" t="str">
        <f>IF(Table15[[#This Row],[rpm]]&lt;1,Table7[xmlComment],IF(A14&gt;Table36[normRpm],"",IF(Table15[[#This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normRpm="0.667" torque="0.998"/&gt;</v>
      </c>
      <c r="M15" s="3">
        <f>(1-(1-Table15[[#This Row],[rpm]]/Table36[idleRpm])^2)*Table7[idleT]</f>
        <v>526.84567474048447</v>
      </c>
      <c r="N15" s="3">
        <f>MAX(0,(1-Table7[f1]*(Table36[maxTRpm1]-Table15[[#This Row],[rpm]])^2)*Table36[maxT])</f>
        <v>1004.6165680473373</v>
      </c>
      <c r="O15" s="3">
        <f>MAX(0,(Table36[linearDown]*(1-Table7[f2]*(Table15[[#This Row],[rpm]]-Table36[maxTRpm]))+(1-Table36[linearDown])*(1-Table7[f3]*(Table15[[#This Row],[rpm]]-Table36[maxTRpm])^2))*Table36[maxT])</f>
        <v>1002.1758351488743</v>
      </c>
      <c r="P15" s="3">
        <f>MAX(0,(Table36[maxPS]-Table7[f4]*(Table15[[#This Row],[rpm]]-Table36[maxPRpm])^2)/1.36*9550/MAX(1,Table15[[#This Row],[rpm]]))</f>
        <v>1176.4735060690941</v>
      </c>
      <c r="Q15" s="3">
        <f>MAX(0,Table7[Nm2]*MIN(Table36[ratedRpm]/MAX(1,Table15[[#This Row],[rpm]]),1-(MAX(0,Table15[[#This Row],[rpm]]-Table36[ratedRpm])/Table36[fadeOut])^Table36[fadeOutExp]))</f>
        <v>802.52100840336129</v>
      </c>
      <c r="R15" s="3">
        <f>(1-(1-Table15[[#This Row],[rpm]]/Table36[idleRpm])^2)*Table7[idleTEco]</f>
        <v>526.84567474048447</v>
      </c>
      <c r="S15" s="3">
        <f>MAX(0,(1-Table7[f1]*(Table36[maxTRpm1]-Table15[[#This Row],[rpm]])^2)*Table36[maxTEco])</f>
        <v>1004.6165680473373</v>
      </c>
      <c r="T15" s="3">
        <f>MAX(0,(Table36[linearDown]*(1-Table7[f2Eco]*(Table15[[#This Row],[rpm]]-Table36[maxTRpm]))+(1-Table36[linearDown])*(1-Table7[f3Eco]*(Table15[[#This Row],[rpm]]-Table36[maxTRpm])^2))*Table36[maxTEco])</f>
        <v>997.8412309368191</v>
      </c>
      <c r="U15" s="3">
        <f>MAX(0,(Table36[maxPSEco]-Table7[f4Eco]*(Table15[[#This Row],[rpm]]-Table36[maxPRpm])^2)/1.36*9550/MAX(1,Table15[[#This Row],[rpm]]))</f>
        <v>992.56244164332384</v>
      </c>
      <c r="V15" s="3">
        <f>MAX(0,Table7[Nm2Eco]*MIN(Table36[ratedRpm]/MAX(1,Table15[[#This Row],[rpm]]),1-(MAX(0,Table15[[#This Row],[rpm]]-Table36[ratedRpm])/Table36[fadeOut])^Table36[fadeOutExp]))</f>
        <v>718.92507002801108</v>
      </c>
      <c r="W1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1233.3856209150324</v>
      </c>
      <c r="X1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1183.4509803921567</v>
      </c>
      <c r="Y15" s="3">
        <f>ABS(Table15[[#This Row],[motor]]-Table15[[#This Row],[motorEco]])</f>
        <v>0</v>
      </c>
    </row>
    <row r="16" spans="1:29" x14ac:dyDescent="0.25">
      <c r="A16" s="3">
        <v>1500</v>
      </c>
      <c r="B1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1007</v>
      </c>
      <c r="C16" s="13"/>
      <c r="D1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1007</v>
      </c>
      <c r="E16" s="13"/>
      <c r="F16" s="3">
        <f>Table36[Factor]*IF(Table15[[#This Row],[manualData]]&gt;0,Table15[[#This Row],[manualData]],Table15[[#This Row],[rawData]])</f>
        <v>1007</v>
      </c>
      <c r="G16" s="3">
        <f>Table36[Factor]*IF(Table15[[#This Row],[manDataEco]]&gt;0,Table15[[#This Row],[manDataEco]],Table15[[#This Row],[rawDataEco]])</f>
        <v>1007</v>
      </c>
      <c r="H16" s="18">
        <f>1.36*Table15[[#This Row],[rpm]]*Table15[[#This Row],[motor]]/9550</f>
        <v>215.10785340314138</v>
      </c>
      <c r="I16" s="18">
        <f>1.36*Table15[[#This Row],[rpm]]*Table15[[#This Row],[motorEco]]/9550</f>
        <v>215.10785340314138</v>
      </c>
      <c r="J1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203.90222222222224</v>
      </c>
      <c r="K1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motorTorque="1007" motorTorqueEco="1007" fuelUsageRatio="203.9"/&gt;</v>
      </c>
      <c r="L16" s="7" t="str">
        <f>IF(Table15[[#This Row],[rpm]]&lt;1,Table7[xmlComment],IF(A15&gt;Table36[normRpm],"",IF(Table15[[#This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normRpm="0.714" torque="1"/&gt;</v>
      </c>
      <c r="M16" s="3">
        <f>(1-(1-Table15[[#This Row],[rpm]]/Table36[idleRpm])^2)*Table7[idleT]</f>
        <v>376.31833910034607</v>
      </c>
      <c r="N16" s="3">
        <f>MAX(0,(1-Table7[f1]*(Table36[maxTRpm1]-Table15[[#This Row],[rpm]])^2)*Table36[maxT])</f>
        <v>1007</v>
      </c>
      <c r="O16" s="3">
        <f>MAX(0,(Table36[linearDown]*(1-Table7[f2]*(Table15[[#This Row],[rpm]]-Table36[maxTRpm]))+(1-Table36[linearDown])*(1-Table7[f3]*(Table15[[#This Row],[rpm]]-Table36[maxTRpm])^2))*Table36[maxT])</f>
        <v>1007</v>
      </c>
      <c r="P16" s="3">
        <f>MAX(0,(Table36[maxPS]-Table7[f4]*(Table15[[#This Row],[rpm]]-Table36[maxPRpm])^2)/1.36*9550/MAX(1,Table15[[#This Row],[rpm]]))</f>
        <v>1123.5294117647059</v>
      </c>
      <c r="Q16" s="3">
        <f>MAX(0,Table7[Nm2]*MIN(Table36[ratedRpm]/MAX(1,Table15[[#This Row],[rpm]]),1-(MAX(0,Table15[[#This Row],[rpm]]-Table36[ratedRpm])/Table36[fadeOut])^Table36[fadeOutExp]))</f>
        <v>802.52100840336129</v>
      </c>
      <c r="R16" s="3">
        <f>(1-(1-Table15[[#This Row],[rpm]]/Table36[idleRpm])^2)*Table7[idleTEco]</f>
        <v>376.31833910034607</v>
      </c>
      <c r="S16" s="3">
        <f>MAX(0,(1-Table7[f1]*(Table36[maxTRpm1]-Table15[[#This Row],[rpm]])^2)*Table36[maxTEco])</f>
        <v>1007</v>
      </c>
      <c r="T16" s="3">
        <f>MAX(0,(Table36[linearDown]*(1-Table7[f2Eco]*(Table15[[#This Row],[rpm]]-Table36[maxTRpm]))+(1-Table36[linearDown])*(1-Table7[f3Eco]*(Table15[[#This Row],[rpm]]-Table36[maxTRpm])^2))*Table36[maxTEco])</f>
        <v>1007</v>
      </c>
      <c r="U16" s="3">
        <f>MAX(0,(Table36[maxPSEco]-Table7[f4Eco]*(Table15[[#This Row],[rpm]]-Table36[maxPRpm])^2)/1.36*9550/MAX(1,Table15[[#This Row],[rpm]]))</f>
        <v>1006.4950980392156</v>
      </c>
      <c r="V16" s="3">
        <f>MAX(0,Table7[Nm2Eco]*MIN(Table36[ratedRpm]/MAX(1,Table15[[#This Row],[rpm]]),1-(MAX(0,Table15[[#This Row],[rpm]]-Table36[ratedRpm])/Table36[fadeOut])^Table36[fadeOutExp]))</f>
        <v>718.92507002801108</v>
      </c>
      <c r="W1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1152.4446895424835</v>
      </c>
      <c r="X1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1105.7870098039214</v>
      </c>
      <c r="Y16" s="3">
        <f>ABS(Table15[[#This Row],[motor]]-Table15[[#This Row],[motorEco]])</f>
        <v>0</v>
      </c>
    </row>
    <row r="17" spans="1:25" x14ac:dyDescent="0.25">
      <c r="A17" s="3">
        <v>1600</v>
      </c>
      <c r="B1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1002.1758351488743</v>
      </c>
      <c r="C17" s="13"/>
      <c r="D1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997.8412309368191</v>
      </c>
      <c r="E17" s="13"/>
      <c r="F17" s="3">
        <f>Table36[Factor]*IF(Table15[[#This Row],[manualData]]&gt;0,Table15[[#This Row],[manualData]],Table15[[#This Row],[rawData]])</f>
        <v>1002.1758351488743</v>
      </c>
      <c r="G17" s="3">
        <f>Table36[Factor]*IF(Table15[[#This Row],[manDataEco]]&gt;0,Table15[[#This Row],[manDataEco]],Table15[[#This Row],[rawDataEco]])</f>
        <v>997.8412309368191</v>
      </c>
      <c r="H17" s="18">
        <f>1.36*Table15[[#This Row],[rpm]]*Table15[[#This Row],[motor]]/9550</f>
        <v>228.34917458470687</v>
      </c>
      <c r="I17" s="18">
        <f>1.36*Table15[[#This Row],[rpm]]*Table15[[#This Row],[motorEco]]/9550</f>
        <v>227.36152026371917</v>
      </c>
      <c r="J1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205.50617283950618</v>
      </c>
      <c r="K1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motorTorque="1002" motorTorqueEco="998" fuelUsageRatio="205.5"/&gt;</v>
      </c>
      <c r="L17" s="7" t="str">
        <f>IF(Table15[[#This Row],[rpm]]&lt;1,Table7[xmlComment],IF(A16&gt;Table36[normRpm],"",IF(Table15[[#This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normRpm="0.762" torque="0.995"/&gt;</v>
      </c>
      <c r="M17" s="3">
        <f>(1-(1-Table15[[#This Row],[rpm]]/Table36[idleRpm])^2)*Table7[idleT]</f>
        <v>200.70311418685128</v>
      </c>
      <c r="N17" s="3">
        <f>MAX(0,(1-Table7[f1]*(Table36[maxTRpm1]-Table15[[#This Row],[rpm]])^2)*Table36[maxT])</f>
        <v>1004.6165680473373</v>
      </c>
      <c r="O17" s="3">
        <f>MAX(0,(Table36[linearDown]*(1-Table7[f2]*(Table15[[#This Row],[rpm]]-Table36[maxTRpm]))+(1-Table36[linearDown])*(1-Table7[f3]*(Table15[[#This Row],[rpm]]-Table36[maxTRpm])^2))*Table36[maxT])</f>
        <v>1002.1758351488743</v>
      </c>
      <c r="P17" s="3">
        <f>MAX(0,(Table36[maxPS]-Table7[f4]*(Table15[[#This Row],[rpm]]-Table36[maxPRpm])^2)/1.36*9550/MAX(1,Table15[[#This Row],[rpm]]))</f>
        <v>1070.3763276143791</v>
      </c>
      <c r="Q17" s="3">
        <f>MAX(0,Table7[Nm2]*MIN(Table36[ratedRpm]/MAX(1,Table15[[#This Row],[rpm]]),1-(MAX(0,Table15[[#This Row],[rpm]]-Table36[ratedRpm])/Table36[fadeOut])^Table36[fadeOutExp]))</f>
        <v>802.52100840336129</v>
      </c>
      <c r="R17" s="3">
        <f>(1-(1-Table15[[#This Row],[rpm]]/Table36[idleRpm])^2)*Table7[idleTEco]</f>
        <v>200.70311418685128</v>
      </c>
      <c r="S17" s="3">
        <f>MAX(0,(1-Table7[f1]*(Table36[maxTRpm1]-Table15[[#This Row],[rpm]])^2)*Table36[maxTEco])</f>
        <v>1004.6165680473373</v>
      </c>
      <c r="T17" s="3">
        <f>MAX(0,(Table36[linearDown]*(1-Table7[f2Eco]*(Table15[[#This Row],[rpm]]-Table36[maxTRpm]))+(1-Table36[linearDown])*(1-Table7[f3Eco]*(Table15[[#This Row],[rpm]]-Table36[maxTRpm])^2))*Table36[maxTEco])</f>
        <v>997.8412309368191</v>
      </c>
      <c r="U17" s="3">
        <f>MAX(0,(Table36[maxPSEco]-Table7[f4Eco]*(Table15[[#This Row],[rpm]]-Table36[maxPRpm])^2)/1.36*9550/MAX(1,Table15[[#This Row],[rpm]]))</f>
        <v>997.2298815359477</v>
      </c>
      <c r="V17" s="3">
        <f>MAX(0,Table7[Nm2Eco]*MIN(Table36[ratedRpm]/MAX(1,Table15[[#This Row],[rpm]]),1-(MAX(0,Table15[[#This Row],[rpm]]-Table36[ratedRpm])/Table36[fadeOut])^Table36[fadeOutExp]))</f>
        <v>718.92507002801108</v>
      </c>
      <c r="W1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1081.6213745915031</v>
      </c>
      <c r="X1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1037.8310355392155</v>
      </c>
      <c r="Y17" s="3">
        <f>ABS(Table15[[#This Row],[motor]]-Table15[[#This Row],[motorEco]])</f>
        <v>4.3346042120551829</v>
      </c>
    </row>
    <row r="18" spans="1:25" x14ac:dyDescent="0.25">
      <c r="A18" s="3">
        <v>1700</v>
      </c>
      <c r="B1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987.70334059549748</v>
      </c>
      <c r="C18" s="13"/>
      <c r="D1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970.36492374727663</v>
      </c>
      <c r="E18" s="13"/>
      <c r="F18" s="3">
        <f>Table36[Factor]*IF(Table15[[#This Row],[manualData]]&gt;0,Table15[[#This Row],[manualData]],Table15[[#This Row],[rawData]])</f>
        <v>987.70334059549748</v>
      </c>
      <c r="G18" s="3">
        <f>Table36[Factor]*IF(Table15[[#This Row],[manDataEco]]&gt;0,Table15[[#This Row],[manDataEco]],Table15[[#This Row],[rawDataEco]])</f>
        <v>970.36492374727663</v>
      </c>
      <c r="H18" s="18">
        <f>1.36*Table15[[#This Row],[rpm]]*Table15[[#This Row],[motor]]/9550</f>
        <v>239.11729041432358</v>
      </c>
      <c r="I18" s="18">
        <f>1.36*Table15[[#This Row],[rpm]]*Table15[[#This Row],[motorEco]]/9550</f>
        <v>234.919759550126</v>
      </c>
      <c r="J1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207.91209876543209</v>
      </c>
      <c r="K1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motorTorque="988" motorTorqueEco="970" fuelUsageRatio="207.9"/&gt;</v>
      </c>
      <c r="L18" s="7" t="str">
        <f>IF(Table15[[#This Row],[rpm]]&lt;1,Table7[xmlComment],IF(A17&gt;Table36[normRpm],"",IF(Table15[[#This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normRpm="0.81" torque="0.981"/&gt;</v>
      </c>
      <c r="M18" s="3">
        <f>(1-(1-Table15[[#This Row],[rpm]]/Table36[idleRpm])^2)*Table7[idleT]</f>
        <v>0</v>
      </c>
      <c r="N18" s="3">
        <f>MAX(0,(1-Table7[f1]*(Table36[maxTRpm1]-Table15[[#This Row],[rpm]])^2)*Table36[maxT])</f>
        <v>997.46627218934907</v>
      </c>
      <c r="O18" s="3">
        <f>MAX(0,(Table36[linearDown]*(1-Table7[f2]*(Table15[[#This Row],[rpm]]-Table36[maxTRpm]))+(1-Table36[linearDown])*(1-Table7[f3]*(Table15[[#This Row],[rpm]]-Table36[maxTRpm])^2))*Table36[maxT])</f>
        <v>987.70334059549748</v>
      </c>
      <c r="P18" s="3">
        <f>MAX(0,(Table36[maxPS]-Table7[f4]*(Table15[[#This Row],[rpm]]-Table36[maxPRpm])^2)/1.36*9550/MAX(1,Table15[[#This Row],[rpm]]))</f>
        <v>1017.0511341791617</v>
      </c>
      <c r="Q18" s="3">
        <f>MAX(0,Table7[Nm2]*MIN(Table36[ratedRpm]/MAX(1,Table15[[#This Row],[rpm]]),1-(MAX(0,Table15[[#This Row],[rpm]]-Table36[ratedRpm])/Table36[fadeOut])^Table36[fadeOutExp]))</f>
        <v>802.52100840336129</v>
      </c>
      <c r="R18" s="3">
        <f>(1-(1-Table15[[#This Row],[rpm]]/Table36[idleRpm])^2)*Table7[idleTEco]</f>
        <v>0</v>
      </c>
      <c r="S18" s="3">
        <f>MAX(0,(1-Table7[f1]*(Table36[maxTRpm1]-Table15[[#This Row],[rpm]])^2)*Table36[maxTEco])</f>
        <v>997.46627218934907</v>
      </c>
      <c r="T18" s="3">
        <f>MAX(0,(Table36[linearDown]*(1-Table7[f2Eco]*(Table15[[#This Row],[rpm]]-Table36[maxTRpm]))+(1-Table36[linearDown])*(1-Table7[f3Eco]*(Table15[[#This Row],[rpm]]-Table36[maxTRpm])^2))*Table36[maxTEco])</f>
        <v>970.36492374727663</v>
      </c>
      <c r="U18" s="3">
        <f>MAX(0,(Table36[maxPSEco]-Table7[f4Eco]*(Table15[[#This Row],[rpm]]-Table36[maxPRpm])^2)/1.36*9550/MAX(1,Table15[[#This Row],[rpm]]))</f>
        <v>968.86053440984233</v>
      </c>
      <c r="V18" s="3">
        <f>MAX(0,Table7[Nm2Eco]*MIN(Table36[ratedRpm]/MAX(1,Table15[[#This Row],[rpm]]),1-(MAX(0,Table15[[#This Row],[rpm]]-Table36[ratedRpm])/Table36[fadeOut])^Table36[fadeOutExp]))</f>
        <v>718.92507002801108</v>
      </c>
      <c r="W1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1019.1302143406382</v>
      </c>
      <c r="X1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977.86988177623982</v>
      </c>
      <c r="Y18" s="3">
        <f>ABS(Table15[[#This Row],[motor]]-Table15[[#This Row],[motorEco]])</f>
        <v>17.338416848220845</v>
      </c>
    </row>
    <row r="19" spans="1:25" x14ac:dyDescent="0.25">
      <c r="A19" s="3">
        <v>1800</v>
      </c>
      <c r="B1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963.58251633986924</v>
      </c>
      <c r="C19" s="13"/>
      <c r="D1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924.57107843137237</v>
      </c>
      <c r="E19" s="13"/>
      <c r="F19" s="3">
        <f>Table36[Factor]*IF(Table15[[#This Row],[manualData]]&gt;0,Table15[[#This Row],[manualData]],Table15[[#This Row],[rawData]])</f>
        <v>963.58251633986924</v>
      </c>
      <c r="G19" s="3">
        <f>Table36[Factor]*IF(Table15[[#This Row],[manDataEco]]&gt;0,Table15[[#This Row],[manDataEco]],Table15[[#This Row],[rawDataEco]])</f>
        <v>924.57107843137237</v>
      </c>
      <c r="H19" s="18">
        <f>1.36*Table15[[#This Row],[rpm]]*Table15[[#This Row],[motor]]/9550</f>
        <v>247</v>
      </c>
      <c r="I19" s="18">
        <f>1.36*Table15[[#This Row],[rpm]]*Table15[[#This Row],[motorEco]]/9550</f>
        <v>236.99999999999994</v>
      </c>
      <c r="J1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211.12</v>
      </c>
      <c r="K1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motorTorque="964" motorTorqueEco="925" fuelUsageRatio="211.1"/&gt;</v>
      </c>
      <c r="L19" s="7" t="str">
        <f>IF(Table15[[#This Row],[rpm]]&lt;1,Table7[xmlComment],IF(A18&gt;Table36[normRpm],"",IF(Table15[[#This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normRpm="0.857" torque="0.957"/&gt;</v>
      </c>
      <c r="M19" s="3">
        <f>(1-(1-Table15[[#This Row],[rpm]]/Table36[idleRpm])^2)*Table7[idleT]</f>
        <v>-225.79100346020766</v>
      </c>
      <c r="N19" s="3">
        <f>MAX(0,(1-Table7[f1]*(Table36[maxTRpm1]-Table15[[#This Row],[rpm]])^2)*Table36[maxT])</f>
        <v>985.54911242603555</v>
      </c>
      <c r="O19" s="3">
        <f>MAX(0,(Table36[linearDown]*(1-Table7[f2]*(Table15[[#This Row],[rpm]]-Table36[maxTRpm]))+(1-Table36[linearDown])*(1-Table7[f3]*(Table15[[#This Row],[rpm]]-Table36[maxTRpm])^2))*Table36[maxT])</f>
        <v>963.58251633986924</v>
      </c>
      <c r="P19" s="3">
        <f>MAX(0,(Table36[maxPS]-Table7[f4]*(Table15[[#This Row],[rpm]]-Table36[maxPRpm])^2)/1.36*9550/MAX(1,Table15[[#This Row],[rpm]]))</f>
        <v>963.58251633986924</v>
      </c>
      <c r="Q19" s="3">
        <f>MAX(0,Table7[Nm2]*MIN(Table36[ratedRpm]/MAX(1,Table15[[#This Row],[rpm]]),1-(MAX(0,Table15[[#This Row],[rpm]]-Table36[ratedRpm])/Table36[fadeOut])^Table36[fadeOutExp]))</f>
        <v>802.52100840336129</v>
      </c>
      <c r="R19" s="3">
        <f>(1-(1-Table15[[#This Row],[rpm]]/Table36[idleRpm])^2)*Table7[idleTEco]</f>
        <v>-225.79100346020766</v>
      </c>
      <c r="S19" s="3">
        <f>MAX(0,(1-Table7[f1]*(Table36[maxTRpm1]-Table15[[#This Row],[rpm]])^2)*Table36[maxTEco])</f>
        <v>985.54911242603555</v>
      </c>
      <c r="T19" s="3">
        <f>MAX(0,(Table36[linearDown]*(1-Table7[f2Eco]*(Table15[[#This Row],[rpm]]-Table36[maxTRpm]))+(1-Table36[linearDown])*(1-Table7[f3Eco]*(Table15[[#This Row],[rpm]]-Table36[maxTRpm])^2))*Table36[maxTEco])</f>
        <v>924.57107843137237</v>
      </c>
      <c r="U19" s="3">
        <f>MAX(0,(Table36[maxPSEco]-Table7[f4Eco]*(Table15[[#This Row],[rpm]]-Table36[maxPRpm])^2)/1.36*9550/MAX(1,Table15[[#This Row],[rpm]]))</f>
        <v>924.57107843137237</v>
      </c>
      <c r="V19" s="3">
        <f>MAX(0,Table7[Nm2Eco]*MIN(Table36[ratedRpm]/MAX(1,Table15[[#This Row],[rpm]]),1-(MAX(0,Table15[[#This Row],[rpm]]-Table36[ratedRpm])/Table36[fadeOut])^Table36[fadeOutExp]))</f>
        <v>718.92507002801108</v>
      </c>
      <c r="W1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963.58251633986924</v>
      </c>
      <c r="X1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924.57107843137237</v>
      </c>
      <c r="Y19" s="3">
        <f>ABS(Table15[[#This Row],[motor]]-Table15[[#This Row],[motorEco]])</f>
        <v>39.011437908496873</v>
      </c>
    </row>
    <row r="20" spans="1:25" x14ac:dyDescent="0.25">
      <c r="A20" s="3">
        <v>1850</v>
      </c>
      <c r="B2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936.80169139727946</v>
      </c>
      <c r="C20" s="13"/>
      <c r="D2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897.26307189542467</v>
      </c>
      <c r="E20" s="13"/>
      <c r="F20" s="3">
        <f>Table36[Factor]*IF(Table15[[#This Row],[manualData]]&gt;0,Table15[[#This Row],[manualData]],Table15[[#This Row],[rawData]])</f>
        <v>936.80169139727946</v>
      </c>
      <c r="G20" s="3">
        <f>Table36[Factor]*IF(Table15[[#This Row],[manDataEco]]&gt;0,Table15[[#This Row],[manDataEco]],Table15[[#This Row],[rawDataEco]])</f>
        <v>897.26307189542467</v>
      </c>
      <c r="H20" s="18">
        <f>1.36*Table15[[#This Row],[rpm]]*Table15[[#This Row],[motor]]/9550</f>
        <v>246.80555555555551</v>
      </c>
      <c r="I20" s="18">
        <f>1.36*Table15[[#This Row],[rpm]]*Table15[[#This Row],[motorEco]]/9550</f>
        <v>236.38888888888886</v>
      </c>
      <c r="J2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213.02469135802468</v>
      </c>
      <c r="K2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motorTorque="937" motorTorqueEco="897" fuelUsageRatio="213"/&gt;</v>
      </c>
      <c r="L20" s="7" t="str">
        <f>IF(Table15[[#This Row],[rpm]]&lt;1,Table7[xmlComment],IF(A19&gt;Table36[normRpm],"",IF(Table15[[#This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normRpm="0.881" torque="0.93"/&gt;</v>
      </c>
      <c r="M20" s="3">
        <f>(1-(1-Table15[[#This Row],[rpm]]/Table36[idleRpm])^2)*Table7[idleT]</f>
        <v>-348.09446366781981</v>
      </c>
      <c r="N20" s="3">
        <f>MAX(0,(1-Table7[f1]*(Table36[maxTRpm1]-Table15[[#This Row],[rpm]])^2)*Table36[maxT])</f>
        <v>977.80295857988176</v>
      </c>
      <c r="O20" s="3">
        <f>MAX(0,(Table36[linearDown]*(1-Table7[f2]*(Table15[[#This Row],[rpm]]-Table36[maxTRpm]))+(1-Table36[linearDown])*(1-Table7[f3]*(Table15[[#This Row],[rpm]]-Table36[maxTRpm])^2))*Table36[maxT])</f>
        <v>947.90398057371101</v>
      </c>
      <c r="P20" s="3">
        <f>MAX(0,(Table36[maxPS]-Table7[f4]*(Table15[[#This Row],[rpm]]-Table36[maxPRpm])^2)/1.36*9550/MAX(1,Table15[[#This Row],[rpm]]))</f>
        <v>936.80169139727946</v>
      </c>
      <c r="Q20" s="3">
        <f>MAX(0,Table7[Nm2]*MIN(Table36[ratedRpm]/MAX(1,Table15[[#This Row],[rpm]]),1-(MAX(0,Table15[[#This Row],[rpm]]-Table36[ratedRpm])/Table36[fadeOut])^Table36[fadeOutExp]))</f>
        <v>802.52100840336129</v>
      </c>
      <c r="R20" s="3">
        <f>(1-(1-Table15[[#This Row],[rpm]]/Table36[idleRpm])^2)*Table7[idleTEco]</f>
        <v>-348.09446366781981</v>
      </c>
      <c r="S20" s="3">
        <f>MAX(0,(1-Table7[f1]*(Table36[maxTRpm1]-Table15[[#This Row],[rpm]])^2)*Table36[maxTEco])</f>
        <v>977.80295857988176</v>
      </c>
      <c r="T20" s="3">
        <f>MAX(0,(Table36[linearDown]*(1-Table7[f2Eco]*(Table15[[#This Row],[rpm]]-Table36[maxTRpm]))+(1-Table36[linearDown])*(1-Table7[f3Eco]*(Table15[[#This Row],[rpm]]-Table36[maxTRpm])^2))*Table36[maxTEco])</f>
        <v>894.80507897603468</v>
      </c>
      <c r="U20" s="3">
        <f>MAX(0,(Table36[maxPSEco]-Table7[f4Eco]*(Table15[[#This Row],[rpm]]-Table36[maxPRpm])^2)/1.36*9550/MAX(1,Table15[[#This Row],[rpm]]))</f>
        <v>897.26307189542467</v>
      </c>
      <c r="V20" s="3">
        <f>MAX(0,Table7[Nm2Eco]*MIN(Table36[ratedRpm]/MAX(1,Table15[[#This Row],[rpm]]),1-(MAX(0,Table15[[#This Row],[rpm]]-Table36[ratedRpm])/Table36[fadeOut])^Table36[fadeOutExp]))</f>
        <v>718.92507002801108</v>
      </c>
      <c r="W2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937.53974562798089</v>
      </c>
      <c r="X2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899.58267090620018</v>
      </c>
      <c r="Y20" s="3">
        <f>ABS(Table15[[#This Row],[motor]]-Table15[[#This Row],[motorEco]])</f>
        <v>39.538619501854782</v>
      </c>
    </row>
    <row r="21" spans="1:25" x14ac:dyDescent="0.25">
      <c r="A21" s="3">
        <v>1900</v>
      </c>
      <c r="B2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909.99312005503953</v>
      </c>
      <c r="C21" s="13"/>
      <c r="D2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866.87521499827994</v>
      </c>
      <c r="E21" s="13"/>
      <c r="F21" s="3">
        <f>Table36[Factor]*IF(Table15[[#This Row],[manualData]]&gt;0,Table15[[#This Row],[manualData]],Table15[[#This Row],[rawData]])</f>
        <v>909.99312005503953</v>
      </c>
      <c r="G21" s="3">
        <f>Table36[Factor]*IF(Table15[[#This Row],[manDataEco]]&gt;0,Table15[[#This Row],[manDataEco]],Table15[[#This Row],[rawDataEco]])</f>
        <v>866.87521499827994</v>
      </c>
      <c r="H21" s="18">
        <f>1.36*Table15[[#This Row],[rpm]]*Table15[[#This Row],[motor]]/9550</f>
        <v>246.2222222222222</v>
      </c>
      <c r="I21" s="18">
        <f>1.36*Table15[[#This Row],[rpm]]*Table15[[#This Row],[motorEco]]/9550</f>
        <v>234.55555555555554</v>
      </c>
      <c r="J2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215.12987654320986</v>
      </c>
      <c r="K2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motorTorque="910" motorTorqueEco="867" fuelUsageRatio="215.1"/&gt;</v>
      </c>
      <c r="L21" s="7" t="str">
        <f>IF(Table15[[#This Row],[rpm]]&lt;1,Table7[xmlComment],IF(A20&gt;Table36[normRpm],"",IF(Table15[[#This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normRpm="0.905" torque="0.904"/&gt;</v>
      </c>
      <c r="M21" s="3">
        <f>(1-(1-Table15[[#This Row],[rpm]]/Table36[idleRpm])^2)*Table7[idleT]</f>
        <v>-476.66989619377171</v>
      </c>
      <c r="N21" s="3">
        <f>MAX(0,(1-Table7[f1]*(Table36[maxTRpm1]-Table15[[#This Row],[rpm]])^2)*Table36[maxT])</f>
        <v>968.86508875739651</v>
      </c>
      <c r="O21" s="3">
        <f>MAX(0,(Table36[linearDown]*(1-Table7[f2]*(Table15[[#This Row],[rpm]]-Table36[maxTRpm]))+(1-Table36[linearDown])*(1-Table7[f3]*(Table15[[#This Row],[rpm]]-Table36[maxTRpm])^2))*Table36[maxT])</f>
        <v>929.8133623819898</v>
      </c>
      <c r="P21" s="3">
        <f>MAX(0,(Table36[maxPS]-Table7[f4]*(Table15[[#This Row],[rpm]]-Table36[maxPRpm])^2)/1.36*9550/MAX(1,Table15[[#This Row],[rpm]]))</f>
        <v>909.99312005503953</v>
      </c>
      <c r="Q21" s="3">
        <f>MAX(0,Table7[Nm2]*MIN(Table36[ratedRpm]/MAX(1,Table15[[#This Row],[rpm]]),1-(MAX(0,Table15[[#This Row],[rpm]]-Table36[ratedRpm])/Table36[fadeOut])^Table36[fadeOutExp]))</f>
        <v>802.52100840336129</v>
      </c>
      <c r="R21" s="3">
        <f>(1-(1-Table15[[#This Row],[rpm]]/Table36[idleRpm])^2)*Table7[idleTEco]</f>
        <v>-476.66989619377171</v>
      </c>
      <c r="S21" s="3">
        <f>MAX(0,(1-Table7[f1]*(Table36[maxTRpm1]-Table15[[#This Row],[rpm]])^2)*Table36[maxTEco])</f>
        <v>968.86508875739651</v>
      </c>
      <c r="T21" s="3">
        <f>MAX(0,(Table36[linearDown]*(1-Table7[f2Eco]*(Table15[[#This Row],[rpm]]-Table36[maxTRpm]))+(1-Table36[linearDown])*(1-Table7[f3Eco]*(Table15[[#This Row],[rpm]]-Table36[maxTRpm])^2))*Table36[maxTEco])</f>
        <v>860.45969498910642</v>
      </c>
      <c r="U21" s="3">
        <f>MAX(0,(Table36[maxPSEco]-Table7[f4Eco]*(Table15[[#This Row],[rpm]]-Table36[maxPRpm])^2)/1.36*9550/MAX(1,Table15[[#This Row],[rpm]]))</f>
        <v>866.87521499827994</v>
      </c>
      <c r="V21" s="3">
        <f>MAX(0,Table7[Nm2Eco]*MIN(Table36[ratedRpm]/MAX(1,Table15[[#This Row],[rpm]]),1-(MAX(0,Table15[[#This Row],[rpm]]-Table36[ratedRpm])/Table36[fadeOut])^Table36[fadeOutExp]))</f>
        <v>718.92507002801108</v>
      </c>
      <c r="W2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912.86764705882342</v>
      </c>
      <c r="X2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875.90944272445813</v>
      </c>
      <c r="Y21" s="3">
        <f>ABS(Table15[[#This Row],[motor]]-Table15[[#This Row],[motorEco]])</f>
        <v>43.117905056759582</v>
      </c>
    </row>
    <row r="22" spans="1:25" x14ac:dyDescent="0.25">
      <c r="A22" s="3">
        <v>1950</v>
      </c>
      <c r="B2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883.15893665158353</v>
      </c>
      <c r="C22" s="13"/>
      <c r="D2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833.64441930618398</v>
      </c>
      <c r="E22" s="13"/>
      <c r="F22" s="3">
        <f>Table36[Factor]*IF(Table15[[#This Row],[manualData]]&gt;0,Table15[[#This Row],[manualData]],Table15[[#This Row],[rawData]])</f>
        <v>883.15893665158353</v>
      </c>
      <c r="G22" s="3">
        <f>Table36[Factor]*IF(Table15[[#This Row],[manDataEco]]&gt;0,Table15[[#This Row],[manDataEco]],Table15[[#This Row],[rawDataEco]])</f>
        <v>833.64441930618398</v>
      </c>
      <c r="H22" s="18">
        <f>1.36*Table15[[#This Row],[rpm]]*Table15[[#This Row],[motor]]/9550</f>
        <v>245.24999999999994</v>
      </c>
      <c r="I22" s="18">
        <f>1.36*Table15[[#This Row],[rpm]]*Table15[[#This Row],[motorEco]]/9550</f>
        <v>231.5</v>
      </c>
      <c r="J2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217.43555555555554</v>
      </c>
      <c r="K2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motorTorque="883" motorTorqueEco="834" fuelUsageRatio="217.4"/&gt;</v>
      </c>
      <c r="L22" s="7" t="str">
        <f>IF(Table15[[#This Row],[rpm]]&lt;1,Table7[xmlComment],IF(A21&gt;Table36[normRpm],"",IF(Table15[[#This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normRpm="0.929" torque="0.877"/&gt;</v>
      </c>
      <c r="M22" s="3">
        <f>(1-(1-Table15[[#This Row],[rpm]]/Table36[idleRpm])^2)*Table7[idleT]</f>
        <v>-611.51730103806199</v>
      </c>
      <c r="N22" s="3">
        <f>MAX(0,(1-Table7[f1]*(Table36[maxTRpm1]-Table15[[#This Row],[rpm]])^2)*Table36[maxT])</f>
        <v>958.7355029585799</v>
      </c>
      <c r="O22" s="3">
        <f>MAX(0,(Table36[linearDown]*(1-Table7[f2]*(Table15[[#This Row],[rpm]]-Table36[maxTRpm]))+(1-Table36[linearDown])*(1-Table7[f3]*(Table15[[#This Row],[rpm]]-Table36[maxTRpm])^2))*Table36[maxT])</f>
        <v>909.31066176470574</v>
      </c>
      <c r="P22" s="3">
        <f>MAX(0,(Table36[maxPS]-Table7[f4]*(Table15[[#This Row],[rpm]]-Table36[maxPRpm])^2)/1.36*9550/MAX(1,Table15[[#This Row],[rpm]]))</f>
        <v>883.15893665158353</v>
      </c>
      <c r="Q22" s="3">
        <f>MAX(0,Table7[Nm2]*MIN(Table36[ratedRpm]/MAX(1,Table15[[#This Row],[rpm]]),1-(MAX(0,Table15[[#This Row],[rpm]]-Table36[ratedRpm])/Table36[fadeOut])^Table36[fadeOutExp]))</f>
        <v>802.52100840336129</v>
      </c>
      <c r="R22" s="3">
        <f>(1-(1-Table15[[#This Row],[rpm]]/Table36[idleRpm])^2)*Table7[idleTEco]</f>
        <v>-611.51730103806199</v>
      </c>
      <c r="S22" s="3">
        <f>MAX(0,(1-Table7[f1]*(Table36[maxTRpm1]-Table15[[#This Row],[rpm]])^2)*Table36[maxTEco])</f>
        <v>958.7355029585799</v>
      </c>
      <c r="T22" s="3">
        <f>MAX(0,(Table36[linearDown]*(1-Table7[f2Eco]*(Table15[[#This Row],[rpm]]-Table36[maxTRpm]))+(1-Table36[linearDown])*(1-Table7[f3Eco]*(Table15[[#This Row],[rpm]]-Table36[maxTRpm])^2))*Table36[maxTEco])</f>
        <v>821.53492647058783</v>
      </c>
      <c r="U22" s="3">
        <f>MAX(0,(Table36[maxPSEco]-Table7[f4Eco]*(Table15[[#This Row],[rpm]]-Table36[maxPRpm])^2)/1.36*9550/MAX(1,Table15[[#This Row],[rpm]]))</f>
        <v>833.64441930618398</v>
      </c>
      <c r="V22" s="3">
        <f>MAX(0,Table7[Nm2Eco]*MIN(Table36[ratedRpm]/MAX(1,Table15[[#This Row],[rpm]]),1-(MAX(0,Table15[[#This Row],[rpm]]-Table36[ratedRpm])/Table36[fadeOut])^Table36[fadeOutExp]))</f>
        <v>718.92507002801108</v>
      </c>
      <c r="W2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889.46078431372541</v>
      </c>
      <c r="X2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853.45022624434375</v>
      </c>
      <c r="Y22" s="3">
        <f>ABS(Table15[[#This Row],[motor]]-Table15[[#This Row],[motorEco]])</f>
        <v>49.514517345399554</v>
      </c>
    </row>
    <row r="23" spans="1:25" x14ac:dyDescent="0.25">
      <c r="A23" s="3">
        <v>2000</v>
      </c>
      <c r="B2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856.30106209150324</v>
      </c>
      <c r="C23" s="13"/>
      <c r="D2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797.78390522875816</v>
      </c>
      <c r="E23" s="13"/>
      <c r="F23" s="3">
        <f>Table36[Factor]*IF(Table15[[#This Row],[manualData]]&gt;0,Table15[[#This Row],[manualData]],Table15[[#This Row],[rawData]])</f>
        <v>856.30106209150324</v>
      </c>
      <c r="G23" s="3">
        <f>Table36[Factor]*IF(Table15[[#This Row],[manDataEco]]&gt;0,Table15[[#This Row],[manDataEco]],Table15[[#This Row],[rawDataEco]])</f>
        <v>797.78390522875816</v>
      </c>
      <c r="H23" s="18">
        <f>1.36*Table15[[#This Row],[rpm]]*Table15[[#This Row],[motor]]/9550</f>
        <v>243.88888888888889</v>
      </c>
      <c r="I23" s="18">
        <f>1.36*Table15[[#This Row],[rpm]]*Table15[[#This Row],[motorEco]]/9550</f>
        <v>227.2222222222222</v>
      </c>
      <c r="J2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219.94172839506172</v>
      </c>
      <c r="K23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motorTorque="856" motorTorqueEco="798" fuelUsageRatio="219.9"/&gt;</v>
      </c>
      <c r="L23" s="7" t="str">
        <f>IF(Table15[[#This Row],[rpm]]&lt;1,Table7[xmlComment],IF(A22&gt;Table36[normRpm],"",IF(Table15[[#This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normRpm="0.952" torque="0.85"/&gt;</v>
      </c>
      <c r="M23" s="3">
        <f>(1-(1-Table15[[#This Row],[rpm]]/Table36[idleRpm])^2)*Table7[idleT]</f>
        <v>-752.63667820069236</v>
      </c>
      <c r="N23" s="3">
        <f>MAX(0,(1-Table7[f1]*(Table36[maxTRpm1]-Table15[[#This Row],[rpm]])^2)*Table36[maxT])</f>
        <v>947.41420118343194</v>
      </c>
      <c r="O23" s="3">
        <f>MAX(0,(Table36[linearDown]*(1-Table7[f2]*(Table15[[#This Row],[rpm]]-Table36[maxTRpm]))+(1-Table36[linearDown])*(1-Table7[f3]*(Table15[[#This Row],[rpm]]-Table36[maxTRpm])^2))*Table36[maxT])</f>
        <v>886.39587872185905</v>
      </c>
      <c r="P23" s="3">
        <f>MAX(0,(Table36[maxPS]-Table7[f4]*(Table15[[#This Row],[rpm]]-Table36[maxPRpm])^2)/1.36*9550/MAX(1,Table15[[#This Row],[rpm]]))</f>
        <v>856.30106209150324</v>
      </c>
      <c r="Q23" s="3">
        <f>MAX(0,Table7[Nm2]*MIN(Table36[ratedRpm]/MAX(1,Table15[[#This Row],[rpm]]),1-(MAX(0,Table15[[#This Row],[rpm]]-Table36[ratedRpm])/Table36[fadeOut])^Table36[fadeOutExp]))</f>
        <v>802.52100840336129</v>
      </c>
      <c r="R23" s="3">
        <f>(1-(1-Table15[[#This Row],[rpm]]/Table36[idleRpm])^2)*Table7[idleTEco]</f>
        <v>-752.63667820069236</v>
      </c>
      <c r="S23" s="3">
        <f>MAX(0,(1-Table7[f1]*(Table36[maxTRpm1]-Table15[[#This Row],[rpm]])^2)*Table36[maxTEco])</f>
        <v>947.41420118343194</v>
      </c>
      <c r="T23" s="3">
        <f>MAX(0,(Table36[linearDown]*(1-Table7[f2Eco]*(Table15[[#This Row],[rpm]]-Table36[maxTRpm]))+(1-Table36[linearDown])*(1-Table7[f3Eco]*(Table15[[#This Row],[rpm]]-Table36[maxTRpm])^2))*Table36[maxTEco])</f>
        <v>778.03077342047879</v>
      </c>
      <c r="U23" s="3">
        <f>MAX(0,(Table36[maxPSEco]-Table7[f4Eco]*(Table15[[#This Row],[rpm]]-Table36[maxPRpm])^2)/1.36*9550/MAX(1,Table15[[#This Row],[rpm]]))</f>
        <v>797.78390522875816</v>
      </c>
      <c r="V23" s="3">
        <f>MAX(0,Table7[Nm2Eco]*MIN(Table36[ratedRpm]/MAX(1,Table15[[#This Row],[rpm]]),1-(MAX(0,Table15[[#This Row],[rpm]]-Table36[ratedRpm])/Table36[fadeOut])^Table36[fadeOutExp]))</f>
        <v>718.92507002801108</v>
      </c>
      <c r="W2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867.22426470588232</v>
      </c>
      <c r="X2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832.11397058823513</v>
      </c>
      <c r="Y23" s="3">
        <f>ABS(Table15[[#This Row],[motor]]-Table15[[#This Row],[motorEco]])</f>
        <v>58.517156862745082</v>
      </c>
    </row>
    <row r="24" spans="1:25" x14ac:dyDescent="0.25">
      <c r="A24" s="3">
        <v>2050</v>
      </c>
      <c r="B2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829.42122987406344</v>
      </c>
      <c r="C24" s="13"/>
      <c r="D2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759.48609118444119</v>
      </c>
      <c r="E24" s="13"/>
      <c r="F24" s="3">
        <f>Table36[Factor]*IF(Table15[[#This Row],[manualData]]&gt;0,Table15[[#This Row],[manualData]],Table15[[#This Row],[rawData]])</f>
        <v>829.42122987406344</v>
      </c>
      <c r="G24" s="3">
        <f>Table36[Factor]*IF(Table15[[#This Row],[manDataEco]]&gt;0,Table15[[#This Row],[manDataEco]],Table15[[#This Row],[rawDataEco]])</f>
        <v>759.48609118444119</v>
      </c>
      <c r="H24" s="18">
        <f>1.36*Table15[[#This Row],[rpm]]*Table15[[#This Row],[motor]]/9550</f>
        <v>242.13888888888889</v>
      </c>
      <c r="I24" s="18">
        <f>1.36*Table15[[#This Row],[rpm]]*Table15[[#This Row],[motorEco]]/9550</f>
        <v>221.7222222222222</v>
      </c>
      <c r="J2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222.64839506172839</v>
      </c>
      <c r="K2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motorTorque="829" motorTorqueEco="759" fuelUsageRatio="222.6"/&gt;</v>
      </c>
      <c r="L24" s="7" t="str">
        <f>IF(Table15[[#This Row],[rpm]]&lt;1,Table7[xmlComment],IF(A23&gt;Table36[normRpm],"",IF(Table15[[#This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normRpm="0.976" torque="0.824"/&gt;</v>
      </c>
      <c r="M24" s="3">
        <f>(1-(1-Table15[[#This Row],[rpm]]/Table36[idleRpm])^2)*Table7[idleT]</f>
        <v>-900.02802768166066</v>
      </c>
      <c r="N24" s="3">
        <f>MAX(0,(1-Table7[f1]*(Table36[maxTRpm1]-Table15[[#This Row],[rpm]])^2)*Table36[maxT])</f>
        <v>934.90118343195263</v>
      </c>
      <c r="O24" s="3">
        <f>MAX(0,(Table36[linearDown]*(1-Table7[f2]*(Table15[[#This Row],[rpm]]-Table36[maxTRpm]))+(1-Table36[linearDown])*(1-Table7[f3]*(Table15[[#This Row],[rpm]]-Table36[maxTRpm])^2))*Table36[maxT])</f>
        <v>861.06901325344938</v>
      </c>
      <c r="P24" s="3">
        <f>MAX(0,(Table36[maxPS]-Table7[f4]*(Table15[[#This Row],[rpm]]-Table36[maxPRpm])^2)/1.36*9550/MAX(1,Table15[[#This Row],[rpm]]))</f>
        <v>829.42122987406344</v>
      </c>
      <c r="Q24" s="3">
        <f>MAX(0,Table7[Nm2]*MIN(Table36[ratedRpm]/MAX(1,Table15[[#This Row],[rpm]]),1-(MAX(0,Table15[[#This Row],[rpm]]-Table36[ratedRpm])/Table36[fadeOut])^Table36[fadeOutExp]))</f>
        <v>802.52100840336129</v>
      </c>
      <c r="R24" s="3">
        <f>(1-(1-Table15[[#This Row],[rpm]]/Table36[idleRpm])^2)*Table7[idleTEco]</f>
        <v>-900.02802768166066</v>
      </c>
      <c r="S24" s="3">
        <f>MAX(0,(1-Table7[f1]*(Table36[maxTRpm1]-Table15[[#This Row],[rpm]])^2)*Table36[maxTEco])</f>
        <v>934.90118343195263</v>
      </c>
      <c r="T24" s="3">
        <f>MAX(0,(Table36[linearDown]*(1-Table7[f2Eco]*(Table15[[#This Row],[rpm]]-Table36[maxTRpm]))+(1-Table36[linearDown])*(1-Table7[f3Eco]*(Table15[[#This Row],[rpm]]-Table36[maxTRpm])^2))*Table36[maxTEco])</f>
        <v>729.94723583877931</v>
      </c>
      <c r="U24" s="3">
        <f>MAX(0,(Table36[maxPSEco]-Table7[f4Eco]*(Table15[[#This Row],[rpm]]-Table36[maxPRpm])^2)/1.36*9550/MAX(1,Table15[[#This Row],[rpm]]))</f>
        <v>759.48609118444119</v>
      </c>
      <c r="V24" s="3">
        <f>MAX(0,Table7[Nm2Eco]*MIN(Table36[ratedRpm]/MAX(1,Table15[[#This Row],[rpm]]),1-(MAX(0,Table15[[#This Row],[rpm]]-Table36[ratedRpm])/Table36[fadeOut])^Table36[fadeOutExp]))</f>
        <v>718.92507002801108</v>
      </c>
      <c r="W2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846.07245337159247</v>
      </c>
      <c r="X2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811.8185078909612</v>
      </c>
      <c r="Y24" s="3">
        <f>ABS(Table15[[#This Row],[motor]]-Table15[[#This Row],[motorEco]])</f>
        <v>69.935138689622249</v>
      </c>
    </row>
    <row r="25" spans="1:25" x14ac:dyDescent="0.25">
      <c r="A25" s="3">
        <v>2100</v>
      </c>
      <c r="B2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802.52100840336129</v>
      </c>
      <c r="C25" s="13"/>
      <c r="D2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718.92507002801108</v>
      </c>
      <c r="E25" s="13"/>
      <c r="F25" s="3">
        <f>Table36[Factor]*IF(Table15[[#This Row],[manualData]]&gt;0,Table15[[#This Row],[manualData]],Table15[[#This Row],[rawData]])</f>
        <v>802.52100840336129</v>
      </c>
      <c r="G25" s="3">
        <f>Table36[Factor]*IF(Table15[[#This Row],[manDataEco]]&gt;0,Table15[[#This Row],[manDataEco]],Table15[[#This Row],[rawDataEco]])</f>
        <v>718.92507002801108</v>
      </c>
      <c r="H25" s="18">
        <f>1.36*Table15[[#This Row],[rpm]]*Table15[[#This Row],[motor]]/9550</f>
        <v>240</v>
      </c>
      <c r="I25" s="18">
        <f>1.36*Table15[[#This Row],[rpm]]*Table15[[#This Row],[motorEco]]/9550</f>
        <v>214.99999999999994</v>
      </c>
      <c r="J2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225.55555555555554</v>
      </c>
      <c r="K2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motorTorque="803" motorTorqueEco="719" fuelUsageRatio="225.6"/&gt;</v>
      </c>
      <c r="L25" s="7" t="str">
        <f>IF(Table15[[#This Row],[rpm]]&lt;1,Table7[xmlComment],IF(A24&gt;Table36[normRpm],"",IF(Table15[[#This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normRpm="0.999" torque="0.797"/&gt;</v>
      </c>
      <c r="M25" s="3">
        <f>(1-(1-Table15[[#This Row],[rpm]]/Table36[idleRpm])^2)*Table7[idleT]</f>
        <v>-1053.6913494809694</v>
      </c>
      <c r="N25" s="3">
        <f>MAX(0,(1-Table7[f1]*(Table36[maxTRpm1]-Table15[[#This Row],[rpm]])^2)*Table36[maxT])</f>
        <v>921.19644970414197</v>
      </c>
      <c r="O25" s="3">
        <f>MAX(0,(Table36[linearDown]*(1-Table7[f2]*(Table15[[#This Row],[rpm]]-Table36[maxTRpm]))+(1-Table36[linearDown])*(1-Table7[f3]*(Table15[[#This Row],[rpm]]-Table36[maxTRpm])^2))*Table36[maxT])</f>
        <v>833.33006535947698</v>
      </c>
      <c r="P25" s="3">
        <f>MAX(0,(Table36[maxPS]-Table7[f4]*(Table15[[#This Row],[rpm]]-Table36[maxPRpm])^2)/1.36*9550/MAX(1,Table15[[#This Row],[rpm]]))</f>
        <v>802.52100840336129</v>
      </c>
      <c r="Q25" s="3">
        <f>MAX(0,Table7[Nm2]*MIN(Table36[ratedRpm]/MAX(1,Table15[[#This Row],[rpm]]),1-(MAX(0,Table15[[#This Row],[rpm]]-Table36[ratedRpm])/Table36[fadeOut])^Table36[fadeOutExp]))</f>
        <v>802.52100840336129</v>
      </c>
      <c r="R25" s="3">
        <f>(1-(1-Table15[[#This Row],[rpm]]/Table36[idleRpm])^2)*Table7[idleTEco]</f>
        <v>-1053.6913494809694</v>
      </c>
      <c r="S25" s="3">
        <f>MAX(0,(1-Table7[f1]*(Table36[maxTRpm1]-Table15[[#This Row],[rpm]])^2)*Table36[maxTEco])</f>
        <v>921.19644970414197</v>
      </c>
      <c r="T25" s="3">
        <f>MAX(0,(Table36[linearDown]*(1-Table7[f2Eco]*(Table15[[#This Row],[rpm]]-Table36[maxTRpm]))+(1-Table36[linearDown])*(1-Table7[f3Eco]*(Table15[[#This Row],[rpm]]-Table36[maxTRpm])^2))*Table36[maxTEco])</f>
        <v>677.28431372548948</v>
      </c>
      <c r="U25" s="3">
        <f>MAX(0,(Table36[maxPSEco]-Table7[f4Eco]*(Table15[[#This Row],[rpm]]-Table36[maxPRpm])^2)/1.36*9550/MAX(1,Table15[[#This Row],[rpm]]))</f>
        <v>718.92507002801108</v>
      </c>
      <c r="V25" s="3">
        <f>MAX(0,Table7[Nm2Eco]*MIN(Table36[ratedRpm]/MAX(1,Table15[[#This Row],[rpm]]),1-(MAX(0,Table15[[#This Row],[rpm]]-Table36[ratedRpm])/Table36[fadeOut])^Table36[fadeOutExp]))</f>
        <v>718.92507002801108</v>
      </c>
      <c r="W2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825.9278711484593</v>
      </c>
      <c r="X2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792.48949579831924</v>
      </c>
      <c r="Y25" s="3">
        <f>ABS(Table15[[#This Row],[motor]]-Table15[[#This Row],[motorEco]])</f>
        <v>83.595938375350215</v>
      </c>
    </row>
    <row r="26" spans="1:25" x14ac:dyDescent="0.25">
      <c r="A26" s="3">
        <v>2150</v>
      </c>
      <c r="B2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699.13522108376173</v>
      </c>
      <c r="C26" s="13"/>
      <c r="D2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626.30863555420319</v>
      </c>
      <c r="E26" s="13"/>
      <c r="F26" s="3">
        <f>Table36[Factor]*IF(Table15[[#This Row],[manualData]]&gt;0,Table15[[#This Row],[manualData]],Table15[[#This Row],[rawData]])</f>
        <v>699.13522108376173</v>
      </c>
      <c r="G26" s="3">
        <f>Table36[Factor]*IF(Table15[[#This Row],[manDataEco]]&gt;0,Table15[[#This Row],[manDataEco]],Table15[[#This Row],[rawDataEco]])</f>
        <v>626.30863555420319</v>
      </c>
      <c r="H26" s="18">
        <f>1.36*Table15[[#This Row],[rpm]]*Table15[[#This Row],[motor]]/9550</f>
        <v>214.05983104177164</v>
      </c>
      <c r="I26" s="18">
        <f>1.36*Table15[[#This Row],[rpm]]*Table15[[#This Row],[motorEco]]/9550</f>
        <v>191.76193197492046</v>
      </c>
      <c r="J2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318.27345852621374</v>
      </c>
      <c r="K2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motorTorque="699" motorTorqueEco="626" fuelUsageRatio="318.3"/&gt;</v>
      </c>
      <c r="L26" s="7" t="str">
        <f>IF(Table15[[#This Row],[rpm]]&lt;1,Table7[xmlComment],IF(A25&gt;Table36[normRpm],"",IF(Table15[[#This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 xml:space="preserve">        &lt;torque normRpm="1" torque="0"/&gt;</v>
      </c>
      <c r="M26" s="3">
        <f>(1-(1-Table15[[#This Row],[rpm]]/Table36[idleRpm])^2)*Table7[idleT]</f>
        <v>-1213.6266435986158</v>
      </c>
      <c r="N26" s="3">
        <f>MAX(0,(1-Table7[f1]*(Table36[maxTRpm1]-Table15[[#This Row],[rpm]])^2)*Table36[maxT])</f>
        <v>906.30000000000007</v>
      </c>
      <c r="O26" s="3">
        <f>MAX(0,(Table36[linearDown]*(1-Table7[f2]*(Table15[[#This Row],[rpm]]-Table36[maxTRpm]))+(1-Table36[linearDown])*(1-Table7[f3]*(Table15[[#This Row],[rpm]]-Table36[maxTRpm])^2))*Table36[maxT])</f>
        <v>803.17903503994171</v>
      </c>
      <c r="P26" s="3">
        <f>MAX(0,(Table36[maxPS]-Table7[f4]*(Table15[[#This Row],[rpm]]-Table36[maxPRpm])^2)/1.36*9550/MAX(1,Table15[[#This Row],[rpm]]))</f>
        <v>775.60182018543856</v>
      </c>
      <c r="Q26" s="3">
        <f>MAX(0,Table7[Nm2]*MIN(Table36[ratedRpm]/MAX(1,Table15[[#This Row],[rpm]]),1-(MAX(0,Table15[[#This Row],[rpm]]-Table36[ratedRpm])/Table36[fadeOut])^Table36[fadeOutExp]))</f>
        <v>699.13522108376173</v>
      </c>
      <c r="R26" s="3">
        <f>(1-(1-Table15[[#This Row],[rpm]]/Table36[idleRpm])^2)*Table7[idleTEco]</f>
        <v>-1213.6266435986158</v>
      </c>
      <c r="S26" s="3">
        <f>MAX(0,(1-Table7[f1]*(Table36[maxTRpm1]-Table15[[#This Row],[rpm]])^2)*Table36[maxTEco])</f>
        <v>906.30000000000007</v>
      </c>
      <c r="T26" s="3">
        <f>MAX(0,(Table36[linearDown]*(1-Table7[f2Eco]*(Table15[[#This Row],[rpm]]-Table36[maxTRpm]))+(1-Table36[linearDown])*(1-Table7[f3Eco]*(Table15[[#This Row],[rpm]]-Table36[maxTRpm])^2))*Table36[maxTEco])</f>
        <v>620.0420070806091</v>
      </c>
      <c r="U26" s="3">
        <f>MAX(0,(Table36[maxPSEco]-Table7[f4Eco]*(Table15[[#This Row],[rpm]]-Table36[maxPRpm])^2)/1.36*9550/MAX(1,Table15[[#This Row],[rpm]]))</f>
        <v>676.25873993008054</v>
      </c>
      <c r="V26" s="3">
        <f>MAX(0,Table7[Nm2Eco]*MIN(Table36[ratedRpm]/MAX(1,Table15[[#This Row],[rpm]]),1-(MAX(0,Table15[[#This Row],[rpm]]-Table36[ratedRpm])/Table36[fadeOut])^Table36[fadeOutExp]))</f>
        <v>626.30863555420319</v>
      </c>
      <c r="W2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806.72024623803009</v>
      </c>
      <c r="X2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774.05950752393971</v>
      </c>
      <c r="Y26" s="3">
        <f>ABS(Table15[[#This Row],[motor]]-Table15[[#This Row],[motorEco]])</f>
        <v>72.826585529558542</v>
      </c>
    </row>
    <row r="27" spans="1:25" x14ac:dyDescent="0.25">
      <c r="A27" s="3">
        <v>2200</v>
      </c>
      <c r="B2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7" s="13"/>
      <c r="D2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7" s="13"/>
      <c r="F27" s="3">
        <f>Table36[Factor]*IF(Table15[[#This Row],[manualData]]&gt;0,Table15[[#This Row],[manualData]],Table15[[#This Row],[rawData]])</f>
        <v>0</v>
      </c>
      <c r="G27" s="3">
        <f>Table36[Factor]*IF(Table15[[#This Row],[manDataEco]]&gt;0,Table15[[#This Row],[manDataEco]],Table15[[#This Row],[rawDataEco]])</f>
        <v>0</v>
      </c>
      <c r="H27" s="3">
        <f>1.36*Table15[[#This Row],[rpm]]*Table15[[#This Row],[motor]]/9550</f>
        <v>0</v>
      </c>
      <c r="I27" s="3">
        <f>1.36*Table15[[#This Row],[rpm]]*Table15[[#This Row],[motorEco]]/9550</f>
        <v>0</v>
      </c>
      <c r="J2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2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motorTorque="0" motorTorqueEco="0" fuelUsageRatio="0"/&gt;</v>
      </c>
      <c r="L27" s="7" t="str">
        <f>IF(Table15[[#This Row],[rpm]]&lt;1,Table7[xmlComment],IF(A26&gt;Table36[normRpm],"",IF(Table15[[#This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27" s="3">
        <f>(1-(1-Table15[[#This Row],[rpm]]/Table36[idleRpm])^2)*Table7[idleT]</f>
        <v>-1379.8339100346025</v>
      </c>
      <c r="N27" s="3">
        <f>MAX(0,(1-Table7[f1]*(Table36[maxTRpm1]-Table15[[#This Row],[rpm]])^2)*Table36[maxT])</f>
        <v>890.21183431952659</v>
      </c>
      <c r="O27" s="3">
        <f>MAX(0,(Table36[linearDown]*(1-Table7[f2]*(Table15[[#This Row],[rpm]]-Table36[maxTRpm]))+(1-Table36[linearDown])*(1-Table7[f3]*(Table15[[#This Row],[rpm]]-Table36[maxTRpm])^2))*Table36[maxT])</f>
        <v>770.61592229484359</v>
      </c>
      <c r="P27" s="3">
        <f>MAX(0,(Table36[maxPS]-Table7[f4]*(Table15[[#This Row],[rpm]]-Table36[maxPRpm])^2)/1.36*9550/MAX(1,Table15[[#This Row],[rpm]]))</f>
        <v>748.66495840760535</v>
      </c>
      <c r="Q27" s="3">
        <f>MAX(0,Table7[Nm2]*MIN(Table36[ratedRpm]/MAX(1,Table15[[#This Row],[rpm]]),1-(MAX(0,Table15[[#This Row],[rpm]]-Table36[ratedRpm])/Table36[fadeOut])^Table36[fadeOutExp]))</f>
        <v>0</v>
      </c>
      <c r="R27" s="3">
        <f>(1-(1-Table15[[#This Row],[rpm]]/Table36[idleRpm])^2)*Table7[idleTEco]</f>
        <v>-1379.8339100346025</v>
      </c>
      <c r="S27" s="3">
        <f>MAX(0,(1-Table7[f1]*(Table36[maxTRpm1]-Table15[[#This Row],[rpm]])^2)*Table36[maxTEco])</f>
        <v>890.21183431952659</v>
      </c>
      <c r="T27" s="3">
        <f>MAX(0,(Table36[linearDown]*(1-Table7[f2Eco]*(Table15[[#This Row],[rpm]]-Table36[maxTRpm]))+(1-Table36[linearDown])*(1-Table7[f3Eco]*(Table15[[#This Row],[rpm]]-Table36[maxTRpm])^2))*Table36[maxTEco])</f>
        <v>558.22031590413837</v>
      </c>
      <c r="U27" s="3">
        <f>MAX(0,(Table36[maxPSEco]-Table7[f4Eco]*(Table15[[#This Row],[rpm]]-Table36[maxPRpm])^2)/1.36*9550/MAX(1,Table15[[#This Row],[rpm]]))</f>
        <v>631.63064468211519</v>
      </c>
      <c r="V27" s="3">
        <f>MAX(0,Table7[Nm2Eco]*MIN(Table36[ratedRpm]/MAX(1,Table15[[#This Row],[rpm]]),1-(MAX(0,Table15[[#This Row],[rpm]]-Table36[ratedRpm])/Table36[fadeOut])^Table36[fadeOutExp]))</f>
        <v>0</v>
      </c>
      <c r="W2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788.38569518716577</v>
      </c>
      <c r="X2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756.46724598930473</v>
      </c>
      <c r="Y27" s="3">
        <f>ABS(Table15[[#This Row],[motor]]-Table15[[#This Row],[motorEco]])</f>
        <v>0</v>
      </c>
    </row>
    <row r="28" spans="1:25" x14ac:dyDescent="0.25">
      <c r="A28" s="3">
        <v>2250</v>
      </c>
      <c r="B2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8" s="13"/>
      <c r="D2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8" s="13"/>
      <c r="F28" s="3">
        <f>Table36[Factor]*IF(Table15[[#This Row],[manualData]]&gt;0,Table15[[#This Row],[manualData]],Table15[[#This Row],[rawData]])</f>
        <v>0</v>
      </c>
      <c r="G28" s="3">
        <f>Table36[Factor]*IF(Table15[[#This Row],[manDataEco]]&gt;0,Table15[[#This Row],[manDataEco]],Table15[[#This Row],[rawDataEco]])</f>
        <v>0</v>
      </c>
      <c r="H28" s="3">
        <f>1.36*Table15[[#This Row],[rpm]]*Table15[[#This Row],[motor]]/9550</f>
        <v>0</v>
      </c>
      <c r="I28" s="3">
        <f>1.36*Table15[[#This Row],[rpm]]*Table15[[#This Row],[motorEco]]/9550</f>
        <v>0</v>
      </c>
      <c r="J2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2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rpm="2250" motorTorque="0" motorTorqueEco="0" fuelUsageRatio="0"/&gt;</v>
      </c>
      <c r="L28" s="7" t="str">
        <f>IF(Table15[[#This Row],[rpm]]&lt;1,Table7[xmlComment],IF(A27&gt;Table36[normRpm],"",IF(Table15[[#This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28" s="3">
        <f>(1-(1-Table15[[#This Row],[rpm]]/Table36[idleRpm])^2)*Table7[idleT]</f>
        <v>-1552.3131487889273</v>
      </c>
      <c r="N28" s="3">
        <f>MAX(0,(1-Table7[f1]*(Table36[maxTRpm1]-Table15[[#This Row],[rpm]])^2)*Table36[maxT])</f>
        <v>872.93195266272198</v>
      </c>
      <c r="O28" s="3">
        <f>MAX(0,(Table36[linearDown]*(1-Table7[f2]*(Table15[[#This Row],[rpm]]-Table36[maxTRpm]))+(1-Table36[linearDown])*(1-Table7[f3]*(Table15[[#This Row],[rpm]]-Table36[maxTRpm])^2))*Table36[maxT])</f>
        <v>735.64072712418283</v>
      </c>
      <c r="P28" s="3">
        <f>MAX(0,(Table36[maxPS]-Table7[f4]*(Table15[[#This Row],[rpm]]-Table36[maxPRpm])^2)/1.36*9550/MAX(1,Table15[[#This Row],[rpm]]))</f>
        <v>721.71160130718954</v>
      </c>
      <c r="Q28" s="3">
        <f>MAX(0,Table7[Nm2]*MIN(Table36[ratedRpm]/MAX(1,Table15[[#This Row],[rpm]]),1-(MAX(0,Table15[[#This Row],[rpm]]-Table36[ratedRpm])/Table36[fadeOut])^Table36[fadeOutExp]))</f>
        <v>0</v>
      </c>
      <c r="R28" s="3">
        <f>(1-(1-Table15[[#This Row],[rpm]]/Table36[idleRpm])^2)*Table7[idleTEco]</f>
        <v>-1552.3131487889273</v>
      </c>
      <c r="S28" s="3">
        <f>MAX(0,(1-Table7[f1]*(Table36[maxTRpm1]-Table15[[#This Row],[rpm]])^2)*Table36[maxTEco])</f>
        <v>872.93195266272198</v>
      </c>
      <c r="T28" s="3">
        <f>MAX(0,(Table36[linearDown]*(1-Table7[f2Eco]*(Table15[[#This Row],[rpm]]-Table36[maxTRpm]))+(1-Table36[linearDown])*(1-Table7[f3Eco]*(Table15[[#This Row],[rpm]]-Table36[maxTRpm])^2))*Table36[maxTEco])</f>
        <v>491.81924019607732</v>
      </c>
      <c r="U28" s="3">
        <f>MAX(0,(Table36[maxPSEco]-Table7[f4Eco]*(Table15[[#This Row],[rpm]]-Table36[maxPRpm])^2)/1.36*9550/MAX(1,Table15[[#This Row],[rpm]]))</f>
        <v>585.17156862745094</v>
      </c>
      <c r="V28" s="3">
        <f>MAX(0,Table7[Nm2Eco]*MIN(Table36[ratedRpm]/MAX(1,Table15[[#This Row],[rpm]]),1-(MAX(0,Table15[[#This Row],[rpm]]-Table36[ratedRpm])/Table36[fadeOut])^Table36[fadeOutExp]))</f>
        <v>0</v>
      </c>
      <c r="W2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770.8660130718954</v>
      </c>
      <c r="X2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739.6568627450979</v>
      </c>
      <c r="Y28" s="3">
        <f>ABS(Table15[[#This Row],[motor]]-Table15[[#This Row],[motorEco]])</f>
        <v>0</v>
      </c>
    </row>
    <row r="29" spans="1:25" x14ac:dyDescent="0.25">
      <c r="A29" s="3">
        <v>2300</v>
      </c>
      <c r="B2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29" s="13"/>
      <c r="D2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29" s="13"/>
      <c r="F29" s="3">
        <f>Table36[Factor]*IF(Table15[[#This Row],[manualData]]&gt;0,Table15[[#This Row],[manualData]],Table15[[#This Row],[rawData]])</f>
        <v>0</v>
      </c>
      <c r="G29" s="3">
        <f>Table36[Factor]*IF(Table15[[#This Row],[manDataEco]]&gt;0,Table15[[#This Row],[manDataEco]],Table15[[#This Row],[rawDataEco]])</f>
        <v>0</v>
      </c>
      <c r="H29" s="3">
        <f>1.36*Table15[[#This Row],[rpm]]*Table15[[#This Row],[motor]]/9550</f>
        <v>0</v>
      </c>
      <c r="I29" s="3">
        <f>1.36*Table15[[#This Row],[rpm]]*Table15[[#This Row],[motorEco]]/9550</f>
        <v>0</v>
      </c>
      <c r="J2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2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29" s="7" t="str">
        <f>IF(Table15[[#This Row],[rpm]]&lt;1,Table7[xmlComment],IF(A28&gt;Table36[normRpm],"",IF(Table15[[#This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29" s="3">
        <f>(1-(1-Table15[[#This Row],[rpm]]/Table36[idleRpm])^2)*Table7[idleT]</f>
        <v>-1731.0643598615923</v>
      </c>
      <c r="N29" s="3">
        <f>MAX(0,(1-Table7[f1]*(Table36[maxTRpm1]-Table15[[#This Row],[rpm]])^2)*Table36[maxT])</f>
        <v>854.4603550295858</v>
      </c>
      <c r="O29" s="3">
        <f>MAX(0,(Table36[linearDown]*(1-Table7[f2]*(Table15[[#This Row],[rpm]]-Table36[maxTRpm]))+(1-Table36[linearDown])*(1-Table7[f3]*(Table15[[#This Row],[rpm]]-Table36[maxTRpm])^2))*Table36[maxT])</f>
        <v>698.25344952795911</v>
      </c>
      <c r="P29" s="3">
        <f>MAX(0,(Table36[maxPS]-Table7[f4]*(Table15[[#This Row],[rpm]]-Table36[maxPRpm])^2)/1.36*9550/MAX(1,Table15[[#This Row],[rpm]]))</f>
        <v>694.74282466609816</v>
      </c>
      <c r="Q29" s="3">
        <f>MAX(0,Table7[Nm2]*MIN(Table36[ratedRpm]/MAX(1,Table15[[#This Row],[rpm]]),1-(MAX(0,Table15[[#This Row],[rpm]]-Table36[ratedRpm])/Table36[fadeOut])^Table36[fadeOutExp]))</f>
        <v>0</v>
      </c>
      <c r="R29" s="3">
        <f>(1-(1-Table15[[#This Row],[rpm]]/Table36[idleRpm])^2)*Table7[idleTEco]</f>
        <v>-1731.0643598615923</v>
      </c>
      <c r="S29" s="3">
        <f>MAX(0,(1-Table7[f1]*(Table36[maxTRpm1]-Table15[[#This Row],[rpm]])^2)*Table36[maxTEco])</f>
        <v>854.4603550295858</v>
      </c>
      <c r="T29" s="3">
        <f>MAX(0,(Table36[linearDown]*(1-Table7[f2Eco]*(Table15[[#This Row],[rpm]]-Table36[maxTRpm]))+(1-Table36[linearDown])*(1-Table7[f3Eco]*(Table15[[#This Row],[rpm]]-Table36[maxTRpm])^2))*Table36[maxTEco])</f>
        <v>420.83877995642575</v>
      </c>
      <c r="U29" s="3">
        <f>MAX(0,(Table36[maxPSEco]-Table7[f4Eco]*(Table15[[#This Row],[rpm]]-Table36[maxPRpm])^2)/1.36*9550/MAX(1,Table15[[#This Row],[rpm]]))</f>
        <v>537.00092355782897</v>
      </c>
      <c r="V29" s="3">
        <f>MAX(0,Table7[Nm2Eco]*MIN(Table36[ratedRpm]/MAX(1,Table15[[#This Row],[rpm]]),1-(MAX(0,Table15[[#This Row],[rpm]]-Table36[ratedRpm])/Table36[fadeOut])^Table36[fadeOutExp]))</f>
        <v>0</v>
      </c>
      <c r="W2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754.1080562659846</v>
      </c>
      <c r="X2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723.57736572890019</v>
      </c>
      <c r="Y29" s="3">
        <f>ABS(Table15[[#This Row],[motor]]-Table15[[#This Row],[motorEco]])</f>
        <v>0</v>
      </c>
    </row>
    <row r="30" spans="1:25" x14ac:dyDescent="0.25">
      <c r="A30" s="3">
        <v>2350</v>
      </c>
      <c r="B3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0" s="13"/>
      <c r="D3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0" s="13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0" s="7" t="str">
        <f>IF(Table15[[#This Row],[rpm]]&lt;1,Table7[xmlComment],IF(A29&gt;Table36[normRpm],"",IF(Table15[[#This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0" s="3">
        <f>(1-(1-Table15[[#This Row],[rpm]]/Table36[idleRpm])^2)*Table7[idleT]</f>
        <v>-1916.087543252595</v>
      </c>
      <c r="N30" s="3">
        <f>MAX(0,(1-Table7[f1]*(Table36[maxTRpm1]-Table15[[#This Row],[rpm]])^2)*Table36[maxT])</f>
        <v>834.79704142011838</v>
      </c>
      <c r="O30" s="3">
        <f>MAX(0,(Table36[linearDown]*(1-Table7[f2]*(Table15[[#This Row],[rpm]]-Table36[maxTRpm]))+(1-Table36[linearDown])*(1-Table7[f3]*(Table15[[#This Row],[rpm]]-Table36[maxTRpm])^2))*Table36[maxT])</f>
        <v>658.45408950617252</v>
      </c>
      <c r="P30" s="3">
        <f>MAX(0,(Table36[maxPS]-Table7[f4]*(Table15[[#This Row],[rpm]]-Table36[maxPRpm])^2)/1.36*9550/MAX(1,Table15[[#This Row],[rpm]]))</f>
        <v>667.75961271033236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-1916.087543252595</v>
      </c>
      <c r="S30" s="3">
        <f>MAX(0,(1-Table7[f1]*(Table36[maxTRpm1]-Table15[[#This Row],[rpm]])^2)*Table36[maxTEco])</f>
        <v>834.79704142011838</v>
      </c>
      <c r="T30" s="3">
        <f>MAX(0,(Table36[linearDown]*(1-Table7[f2Eco]*(Table15[[#This Row],[rpm]]-Table36[maxTRpm]))+(1-Table36[linearDown])*(1-Table7[f3Eco]*(Table15[[#This Row],[rpm]]-Table36[maxTRpm])^2))*Table36[maxTEco])</f>
        <v>345.27893518518374</v>
      </c>
      <c r="U30" s="3">
        <f>MAX(0,(Table36[maxPSEco]-Table7[f4Eco]*(Table15[[#This Row],[rpm]]-Table36[maxPRpm])^2)/1.36*9550/MAX(1,Table15[[#This Row],[rpm]]))</f>
        <v>487.22795855931014</v>
      </c>
      <c r="V30" s="3">
        <f>MAX(0,Table7[Nm2Eco]*MIN(Table36[ratedRpm]/MAX(1,Table15[[#This Row],[rpm]]),1-(MAX(0,Table15[[#This Row],[rpm]]-Table36[ratedRpm])/Table36[fadeOut])^Table36[fadeOutExp]))</f>
        <v>0</v>
      </c>
      <c r="W3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738.06320400500624</v>
      </c>
      <c r="X3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708.18210262828529</v>
      </c>
      <c r="Y30" s="3">
        <f>ABS(Table15[[#This Row],[motor]]-Table15[[#This Row],[motorEco]])</f>
        <v>0</v>
      </c>
    </row>
    <row r="31" spans="1:25" x14ac:dyDescent="0.25">
      <c r="A31" s="3">
        <v>2400</v>
      </c>
      <c r="B3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1" s="13"/>
      <c r="D3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1" s="13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1" s="7" t="str">
        <f>IF(Table15[[#This Row],[rpm]]&lt;1,Table7[xmlComment],IF(A30&gt;Table36[normRpm],"",IF(Table15[[#This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1" s="3">
        <f>(1-(1-Table15[[#This Row],[rpm]]/Table36[idleRpm])^2)*Table7[idleT]</f>
        <v>-2107.3826989619383</v>
      </c>
      <c r="N31" s="3">
        <f>MAX(0,(1-Table7[f1]*(Table36[maxTRpm1]-Table15[[#This Row],[rpm]])^2)*Table36[maxT])</f>
        <v>813.94201183431949</v>
      </c>
      <c r="O31" s="3">
        <f>MAX(0,(Table36[linearDown]*(1-Table7[f2]*(Table15[[#This Row],[rpm]]-Table36[maxTRpm]))+(1-Table36[linearDown])*(1-Table7[f3]*(Table15[[#This Row],[rpm]]-Table36[maxTRpm])^2))*Table36[maxT])</f>
        <v>616.2426470588232</v>
      </c>
      <c r="P31" s="3">
        <f>MAX(0,(Table36[maxPS]-Table7[f4]*(Table15[[#This Row],[rpm]]-Table36[maxPRpm])^2)/1.36*9550/MAX(1,Table15[[#This Row],[rpm]]))</f>
        <v>640.76286764705878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-2107.3826989619383</v>
      </c>
      <c r="S31" s="3">
        <f>MAX(0,(1-Table7[f1]*(Table36[maxTRpm1]-Table15[[#This Row],[rpm]])^2)*Table36[maxTEco])</f>
        <v>813.94201183431949</v>
      </c>
      <c r="T31" s="3">
        <f>MAX(0,(Table36[linearDown]*(1-Table7[f2Eco]*(Table15[[#This Row],[rpm]]-Table36[maxTRpm]))+(1-Table36[linearDown])*(1-Table7[f3Eco]*(Table15[[#This Row],[rpm]]-Table36[maxTRpm])^2))*Table36[maxTEco])</f>
        <v>265.13970588235128</v>
      </c>
      <c r="U31" s="3">
        <f>MAX(0,(Table36[maxPSEco]-Table7[f4Eco]*(Table15[[#This Row],[rpm]]-Table36[maxPRpm])^2)/1.36*9550/MAX(1,Table15[[#This Row],[rpm]]))</f>
        <v>435.95281862745094</v>
      </c>
      <c r="V31" s="3">
        <f>MAX(0,Table7[Nm2Eco]*MIN(Table36[ratedRpm]/MAX(1,Table15[[#This Row],[rpm]]),1-(MAX(0,Table15[[#This Row],[rpm]]-Table36[ratedRpm])/Table36[fadeOut])^Table36[fadeOutExp]))</f>
        <v>0</v>
      </c>
      <c r="W3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722.68688725490188</v>
      </c>
      <c r="X3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693.42830882352928</v>
      </c>
      <c r="Y31" s="3">
        <f>ABS(Table15[[#This Row],[motor]]-Table15[[#This Row],[motorEco]])</f>
        <v>0</v>
      </c>
    </row>
    <row r="32" spans="1:25" x14ac:dyDescent="0.25">
      <c r="A32" s="3">
        <v>2450</v>
      </c>
      <c r="B3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2" s="13"/>
      <c r="D3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2" s="13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2" s="7" t="str">
        <f>IF(Table15[[#This Row],[rpm]]&lt;1,Table7[xmlComment],IF(A31&gt;Table36[normRpm],"",IF(Table15[[#This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2" s="3">
        <f>(1-(1-Table15[[#This Row],[rpm]]/Table36[idleRpm])^2)*Table7[idleT]</f>
        <v>-2304.9498269896199</v>
      </c>
      <c r="N32" s="3">
        <f>MAX(0,(1-Table7[f1]*(Table36[maxTRpm1]-Table15[[#This Row],[rpm]])^2)*Table36[maxT])</f>
        <v>791.89526627218936</v>
      </c>
      <c r="O32" s="3">
        <f>MAX(0,(Table36[linearDown]*(1-Table7[f2]*(Table15[[#This Row],[rpm]]-Table36[maxTRpm]))+(1-Table36[linearDown])*(1-Table7[f3]*(Table15[[#This Row],[rpm]]-Table36[maxTRpm])^2))*Table36[maxT])</f>
        <v>571.61912218591101</v>
      </c>
      <c r="P32" s="3">
        <f>MAX(0,(Table36[maxPS]-Table7[f4]*(Table15[[#This Row],[rpm]]-Table36[maxPRpm])^2)/1.36*9550/MAX(1,Table15[[#This Row],[rpm]]))</f>
        <v>613.75341803388028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-2304.9498269896199</v>
      </c>
      <c r="S32" s="3">
        <f>MAX(0,(1-Table7[f1]*(Table36[maxTRpm1]-Table15[[#This Row],[rpm]])^2)*Table36[maxTEco])</f>
        <v>791.89526627218936</v>
      </c>
      <c r="T32" s="3">
        <f>MAX(0,(Table36[linearDown]*(1-Table7[f2Eco]*(Table15[[#This Row],[rpm]]-Table36[maxTRpm]))+(1-Table36[linearDown])*(1-Table7[f3Eco]*(Table15[[#This Row],[rpm]]-Table36[maxTRpm])^2))*Table36[maxTEco])</f>
        <v>180.42109204792851</v>
      </c>
      <c r="U32" s="3">
        <f>MAX(0,(Table36[maxPSEco]-Table7[f4Eco]*(Table15[[#This Row],[rpm]]-Table36[maxPRpm])^2)/1.36*9550/MAX(1,Table15[[#This Row],[rpm]]))</f>
        <v>383.26747365612914</v>
      </c>
      <c r="V32" s="3">
        <f>MAX(0,Table7[Nm2Eco]*MIN(Table36[ratedRpm]/MAX(1,Table15[[#This Row],[rpm]]),1-(MAX(0,Table15[[#This Row],[rpm]]-Table36[ratedRpm])/Table36[fadeOut])^Table36[fadeOutExp]))</f>
        <v>0</v>
      </c>
      <c r="W3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707.93817527010799</v>
      </c>
      <c r="X3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679.27671068427367</v>
      </c>
      <c r="Y32" s="3">
        <f>ABS(Table15[[#This Row],[motor]]-Table15[[#This Row],[motorEco]])</f>
        <v>0</v>
      </c>
    </row>
    <row r="33" spans="1:25" x14ac:dyDescent="0.25">
      <c r="A33" s="3">
        <v>2500</v>
      </c>
      <c r="B3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3" s="13"/>
      <c r="D3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3" s="13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3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7" t="str">
        <f>IF(Table15[[#This Row],[rpm]]&lt;1,Table7[xmlComment],IF(A32&gt;Table36[normRpm],"",IF(Table15[[#This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3" s="3">
        <f>(1-(1-Table15[[#This Row],[rpm]]/Table36[idleRpm])^2)*Table7[idleT]</f>
        <v>-2508.7889273356409</v>
      </c>
      <c r="N33" s="3">
        <f>MAX(0,(1-Table7[f1]*(Table36[maxTRpm1]-Table15[[#This Row],[rpm]])^2)*Table36[maxT])</f>
        <v>768.65680473372788</v>
      </c>
      <c r="O33" s="3">
        <f>MAX(0,(Table36[linearDown]*(1-Table7[f2]*(Table15[[#This Row],[rpm]]-Table36[maxTRpm]))+(1-Table36[linearDown])*(1-Table7[f3]*(Table15[[#This Row],[rpm]]-Table36[maxTRpm])^2))*Table36[maxT])</f>
        <v>524.58351488743608</v>
      </c>
      <c r="P33" s="3">
        <f>MAX(0,(Table36[maxPS]-Table7[f4]*(Table15[[#This Row],[rpm]]-Table36[maxPRpm])^2)/1.36*9550/MAX(1,Table15[[#This Row],[rpm]]))</f>
        <v>586.73202614379079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-2508.7889273356409</v>
      </c>
      <c r="S33" s="3">
        <f>MAX(0,(1-Table7[f1]*(Table36[maxTRpm1]-Table15[[#This Row],[rpm]])^2)*Table36[maxTEco])</f>
        <v>768.65680473372788</v>
      </c>
      <c r="T33" s="3">
        <f>MAX(0,(Table36[linearDown]*(1-Table7[f2Eco]*(Table15[[#This Row],[rpm]]-Table36[maxTRpm]))+(1-Table36[linearDown])*(1-Table7[f3Eco]*(Table15[[#This Row],[rpm]]-Table36[maxTRpm])^2))*Table36[maxTEco])</f>
        <v>91.12309368191525</v>
      </c>
      <c r="U33" s="3">
        <f>MAX(0,(Table36[maxPSEco]-Table7[f4Eco]*(Table15[[#This Row],[rpm]]-Table36[maxPRpm])^2)/1.36*9550/MAX(1,Table15[[#This Row],[rpm]]))</f>
        <v>329.25653594771239</v>
      </c>
      <c r="V33" s="3">
        <f>MAX(0,Table7[Nm2Eco]*MIN(Table36[ratedRpm]/MAX(1,Table15[[#This Row],[rpm]]),1-(MAX(0,Table15[[#This Row],[rpm]]-Table36[ratedRpm])/Table36[fadeOut])^Table36[fadeOutExp]))</f>
        <v>0</v>
      </c>
      <c r="W3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693.77941176470586</v>
      </c>
      <c r="X3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665.69117647058818</v>
      </c>
      <c r="Y33" s="3">
        <f>ABS(Table15[[#This Row],[motor]]-Table15[[#This Row],[motorEco]])</f>
        <v>0</v>
      </c>
    </row>
    <row r="34" spans="1:25" x14ac:dyDescent="0.25">
      <c r="A34" s="3">
        <v>2550</v>
      </c>
      <c r="B3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4" s="13"/>
      <c r="D3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4" s="13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4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7" t="str">
        <f>IF(Table15[[#This Row],[rpm]]&lt;1,Table7[xmlComment],IF(A33&gt;Table36[normRpm],"",IF(Table15[[#This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4" s="3">
        <f>(1-(1-Table15[[#This Row],[rpm]]/Table36[idleRpm])^2)*Table7[idleT]</f>
        <v>-2718.9</v>
      </c>
      <c r="N34" s="3">
        <f>MAX(0,(1-Table7[f1]*(Table36[maxTRpm1]-Table15[[#This Row],[rpm]])^2)*Table36[maxT])</f>
        <v>744.22662721893494</v>
      </c>
      <c r="O34" s="3">
        <f>MAX(0,(Table36[linearDown]*(1-Table7[f2]*(Table15[[#This Row],[rpm]]-Table36[maxTRpm]))+(1-Table36[linearDown])*(1-Table7[f3]*(Table15[[#This Row],[rpm]]-Table36[maxTRpm])^2))*Table36[maxT])</f>
        <v>475.13582516339818</v>
      </c>
      <c r="P34" s="3">
        <f>MAX(0,(Table36[maxPS]-Table7[f4]*(Table15[[#This Row],[rpm]]-Table36[maxPRpm])^2)/1.36*9550/MAX(1,Table15[[#This Row],[rpm]]))</f>
        <v>559.69939446366777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-2718.9</v>
      </c>
      <c r="S34" s="3">
        <f>MAX(0,(1-Table7[f1]*(Table36[maxTRpm1]-Table15[[#This Row],[rpm]])^2)*Table36[maxTEco])</f>
        <v>744.22662721893494</v>
      </c>
      <c r="T34" s="3">
        <f>MAX(0,(Table36[linearDown]*(1-Table7[f2Eco]*(Table15[[#This Row],[rpm]]-Table36[maxTRpm]))+(1-Table36[linearDown])*(1-Table7[f3Eco]*(Table15[[#This Row],[rpm]]-Table36[maxTRpm])^2))*Table36[maxTEco])</f>
        <v>0</v>
      </c>
      <c r="U34" s="3">
        <f>MAX(0,(Table36[maxPSEco]-Table7[f4Eco]*(Table15[[#This Row],[rpm]]-Table36[maxPRpm])^2)/1.36*9550/MAX(1,Table15[[#This Row],[rpm]]))</f>
        <v>273.99798154555936</v>
      </c>
      <c r="V34" s="3">
        <f>MAX(0,Table7[Nm2Eco]*MIN(Table36[ratedRpm]/MAX(1,Table15[[#This Row],[rpm]]),1-(MAX(0,Table15[[#This Row],[rpm]]-Table36[ratedRpm])/Table36[fadeOut])^Table36[fadeOutExp]))</f>
        <v>0</v>
      </c>
      <c r="W3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680.17589388696649</v>
      </c>
      <c r="X3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652.63840830449817</v>
      </c>
      <c r="Y34" s="3">
        <f>ABS(Table15[[#This Row],[motor]]-Table15[[#This Row],[motorEco]])</f>
        <v>0</v>
      </c>
    </row>
    <row r="35" spans="1:25" x14ac:dyDescent="0.25">
      <c r="A35" s="3">
        <v>2600</v>
      </c>
      <c r="B3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13"/>
      <c r="D3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13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5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7" t="str">
        <f>IF(Table15[[#This Row],[rpm]]&lt;1,Table7[xmlComment],IF(A34&gt;Table36[normRpm],"",IF(Table15[[#This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5" s="3">
        <f>(1-(1-Table15[[#This Row],[rpm]]/Table36[idleRpm])^2)*Table7[idleT]</f>
        <v>-2935.2830449826984</v>
      </c>
      <c r="N35" s="3">
        <f>MAX(0,(1-Table7[f1]*(Table36[maxTRpm1]-Table15[[#This Row],[rpm]])^2)*Table36[maxT])</f>
        <v>718.60473372781075</v>
      </c>
      <c r="O35" s="3">
        <f>MAX(0,(Table36[linearDown]*(1-Table7[f2]*(Table15[[#This Row],[rpm]]-Table36[maxTRpm]))+(1-Table36[linearDown])*(1-Table7[f3]*(Table15[[#This Row],[rpm]]-Table36[maxTRpm])^2))*Table36[maxT])</f>
        <v>423.27605301379765</v>
      </c>
      <c r="P35" s="3">
        <f>MAX(0,(Table36[maxPS]-Table7[f4]*(Table15[[#This Row],[rpm]]-Table36[maxPRpm])^2)/1.36*9550/MAX(1,Table15[[#This Row],[rpm]]))</f>
        <v>532.65617144293606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-2935.2830449826984</v>
      </c>
      <c r="S35" s="3">
        <f>MAX(0,(1-Table7[f1]*(Table36[maxTRpm1]-Table15[[#This Row],[rpm]])^2)*Table36[maxTEco])</f>
        <v>718.60473372781075</v>
      </c>
      <c r="T35" s="3">
        <f>MAX(0,(Table36[linearDown]*(1-Table7[f2Eco]*(Table15[[#This Row],[rpm]]-Table36[maxTRpm]))+(1-Table36[linearDown])*(1-Table7[f3Eco]*(Table15[[#This Row],[rpm]]-Table36[maxTRpm])^2))*Table36[maxTEco])</f>
        <v>0</v>
      </c>
      <c r="U35" s="3">
        <f>MAX(0,(Table36[maxPSEco]-Table7[f4Eco]*(Table15[[#This Row],[rpm]]-Table36[maxPRpm])^2)/1.36*9550/MAX(1,Table15[[#This Row],[rpm]]))</f>
        <v>217.56378833584716</v>
      </c>
      <c r="V35" s="3">
        <f>MAX(0,Table7[Nm2Eco]*MIN(Table36[ratedRpm]/MAX(1,Table15[[#This Row],[rpm]]),1-(MAX(0,Table15[[#This Row],[rpm]]-Table36[ratedRpm])/Table36[fadeOut])^Table36[fadeOutExp]))</f>
        <v>0</v>
      </c>
      <c r="W3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667.09558823529403</v>
      </c>
      <c r="X3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640.08766968325779</v>
      </c>
      <c r="Y35" s="3">
        <f>ABS(Table15[[#This Row],[motor]]-Table15[[#This Row],[motorEco]])</f>
        <v>0</v>
      </c>
    </row>
    <row r="36" spans="1:25" x14ac:dyDescent="0.25">
      <c r="A36" s="3">
        <v>2650</v>
      </c>
      <c r="B3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13"/>
      <c r="D3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13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6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7" t="str">
        <f>IF(Table15[[#This Row],[rpm]]&lt;1,Table7[xmlComment],IF(A35&gt;Table36[normRpm],"",IF(Table15[[#This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6" s="3">
        <f>(1-(1-Table15[[#This Row],[rpm]]/Table36[idleRpm])^2)*Table7[idleT]</f>
        <v>-3157.9380622837375</v>
      </c>
      <c r="N36" s="3">
        <f>MAX(0,(1-Table7[f1]*(Table36[maxTRpm1]-Table15[[#This Row],[rpm]])^2)*Table36[maxT])</f>
        <v>691.79112426035522</v>
      </c>
      <c r="O36" s="3">
        <f>MAX(0,(Table36[linearDown]*(1-Table7[f2]*(Table15[[#This Row],[rpm]]-Table36[maxTRpm]))+(1-Table36[linearDown])*(1-Table7[f3]*(Table15[[#This Row],[rpm]]-Table36[maxTRpm])^2))*Table36[maxT])</f>
        <v>369.00419843863415</v>
      </c>
      <c r="P36" s="3">
        <f>MAX(0,(Table36[maxPS]-Table7[f4]*(Table15[[#This Row],[rpm]]-Table36[maxPRpm])^2)/1.36*9550/MAX(1,Table15[[#This Row],[rpm]]))</f>
        <v>505.60295659144163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-3157.9380622837375</v>
      </c>
      <c r="S36" s="3">
        <f>MAX(0,(1-Table7[f1]*(Table36[maxTRpm1]-Table15[[#This Row],[rpm]])^2)*Table36[maxTEco])</f>
        <v>691.79112426035522</v>
      </c>
      <c r="T36" s="3">
        <f>MAX(0,(Table36[linearDown]*(1-Table7[f2Eco]*(Table15[[#This Row],[rpm]]-Table36[maxTRpm]))+(1-Table36[linearDown])*(1-Table7[f3Eco]*(Table15[[#This Row],[rpm]]-Table36[maxTRpm])^2))*Table36[maxTEco])</f>
        <v>0</v>
      </c>
      <c r="U36" s="3">
        <f>MAX(0,(Table36[maxPSEco]-Table7[f4Eco]*(Table15[[#This Row],[rpm]]-Table36[maxPRpm])^2)/1.36*9550/MAX(1,Table15[[#This Row],[rpm]]))</f>
        <v>160.02050191145645</v>
      </c>
      <c r="V36" s="3">
        <f>MAX(0,Table7[Nm2Eco]*MIN(Table36[ratedRpm]/MAX(1,Table15[[#This Row],[rpm]]),1-(MAX(0,Table15[[#This Row],[rpm]]-Table36[ratedRpm])/Table36[fadeOut])^Table36[fadeOutExp]))</f>
        <v>0</v>
      </c>
      <c r="W3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654.50887902330737</v>
      </c>
      <c r="X3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628.01054384017755</v>
      </c>
      <c r="Y36" s="3">
        <f>ABS(Table15[[#This Row],[motor]]-Table15[[#This Row],[motorEco]])</f>
        <v>0</v>
      </c>
    </row>
    <row r="37" spans="1:25" x14ac:dyDescent="0.25">
      <c r="A37" s="3">
        <v>2750</v>
      </c>
      <c r="B3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13"/>
      <c r="D3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13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7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7" t="str">
        <f>IF(Table15[[#This Row],[rpm]]&lt;1,Table7[xmlComment],IF(A36&gt;Table36[normRpm],"",IF(Table15[[#This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7" s="3">
        <f>(1-(1-Table15[[#This Row],[rpm]]/Table36[idleRpm])^2)*Table7[idleT]</f>
        <v>-3622.0640138408307</v>
      </c>
      <c r="N37" s="3">
        <f>MAX(0,(1-Table7[f1]*(Table36[maxTRpm1]-Table15[[#This Row],[rpm]])^2)*Table36[maxT])</f>
        <v>634.58875739644986</v>
      </c>
      <c r="O37" s="3">
        <f>MAX(0,(Table36[linearDown]*(1-Table7[f2]*(Table15[[#This Row],[rpm]]-Table36[maxTRpm]))+(1-Table36[linearDown])*(1-Table7[f3]*(Table15[[#This Row],[rpm]]-Table36[maxTRpm])^2))*Table36[maxT])</f>
        <v>253.22424201161877</v>
      </c>
      <c r="P37" s="3">
        <f>MAX(0,(Table36[maxPS]-Table7[f4]*(Table15[[#This Row],[rpm]]-Table36[maxPRpm])^2)/1.36*9550/MAX(1,Table15[[#This Row],[rpm]]))</f>
        <v>451.46873143196666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-3622.0640138408307</v>
      </c>
      <c r="S37" s="3">
        <f>MAX(0,(1-Table7[f1]*(Table36[maxTRpm1]-Table15[[#This Row],[rpm]])^2)*Table36[maxTEco])</f>
        <v>634.58875739644986</v>
      </c>
      <c r="T37" s="3">
        <f>MAX(0,(Table36[linearDown]*(1-Table7[f2Eco]*(Table15[[#This Row],[rpm]]-Table36[maxTRpm]))+(1-Table36[linearDown])*(1-Table7[f3Eco]*(Table15[[#This Row],[rpm]]-Table36[maxTRpm])^2))*Table36[maxTEco])</f>
        <v>0</v>
      </c>
      <c r="U37" s="3">
        <f>MAX(0,(Table36[maxPSEco]-Table7[f4Eco]*(Table15[[#This Row],[rpm]]-Table36[maxPRpm])^2)/1.36*9550/MAX(1,Table15[[#This Row],[rpm]]))</f>
        <v>41.848633392751104</v>
      </c>
      <c r="V37" s="3">
        <f>MAX(0,Table7[Nm2Eco]*MIN(Table36[ratedRpm]/MAX(1,Table15[[#This Row],[rpm]]),1-(MAX(0,Table15[[#This Row],[rpm]]-Table36[ratedRpm])/Table36[fadeOut])^Table36[fadeOutExp]))</f>
        <v>0</v>
      </c>
      <c r="W3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630.70855614973254</v>
      </c>
      <c r="X3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605.17379679144381</v>
      </c>
      <c r="Y37" s="3">
        <f>ABS(Table15[[#This Row],[motor]]-Table15[[#This Row],[motorEco]])</f>
        <v>0</v>
      </c>
    </row>
    <row r="38" spans="1:25" x14ac:dyDescent="0.25">
      <c r="A38" s="3">
        <v>3000</v>
      </c>
      <c r="B3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13"/>
      <c r="D3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13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8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7" t="str">
        <f>IF(Table15[[#This Row],[rpm]]&lt;1,Table7[xmlComment],IF(A37&gt;Table36[normRpm],"",IF(Table15[[#This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8" s="3">
        <f>(1-(1-Table15[[#This Row],[rpm]]/Table36[idleRpm])^2)*Table7[idleT]</f>
        <v>-4892.1384083044977</v>
      </c>
      <c r="N38" s="3">
        <f>MAX(0,(1-Table7[f1]*(Table36[maxTRpm1]-Table15[[#This Row],[rpm]])^2)*Table36[maxT])</f>
        <v>470.72781065088776</v>
      </c>
      <c r="O38" s="3">
        <f>MAX(0,(Table36[linearDown]*(1-Table7[f2]*(Table15[[#This Row],[rpm]]-Table36[maxTRpm]))+(1-Table36[linearDown])*(1-Table7[f3]*(Table15[[#This Row],[rpm]]-Table36[maxTRpm])^2))*Table36[maxT])</f>
        <v>0</v>
      </c>
      <c r="P38" s="3">
        <f>MAX(0,(Table36[maxPS]-Table7[f4]*(Table15[[#This Row],[rpm]]-Table36[maxPRpm])^2)/1.36*9550/MAX(1,Table15[[#This Row],[rpm]]))</f>
        <v>315.99264705882348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-4892.1384083044977</v>
      </c>
      <c r="S38" s="3">
        <f>MAX(0,(1-Table7[f1]*(Table36[maxTRpm1]-Table15[[#This Row],[rpm]])^2)*Table36[maxTEco])</f>
        <v>470.72781065088776</v>
      </c>
      <c r="T38" s="3">
        <f>MAX(0,(Table36[linearDown]*(1-Table7[f2Eco]*(Table15[[#This Row],[rpm]]-Table36[maxTRpm]))+(1-Table36[linearDown])*(1-Table7[f3Eco]*(Table15[[#This Row],[rpm]]-Table36[maxTRpm])^2))*Table36[maxTEco])</f>
        <v>0</v>
      </c>
      <c r="U38" s="3">
        <f>MAX(0,(Table36[maxPSEco]-Table7[f4Eco]*(Table15[[#This Row],[rpm]]-Table36[maxPRpm])^2)/1.36*9550/MAX(1,Table15[[#This Row],[rpm]]))</f>
        <v>0</v>
      </c>
      <c r="V38" s="3">
        <f>MAX(0,Table7[Nm2Eco]*MIN(Table36[ratedRpm]/MAX(1,Table15[[#This Row],[rpm]]),1-(MAX(0,Table15[[#This Row],[rpm]]-Table36[ratedRpm])/Table36[fadeOut])^Table36[fadeOutExp]))</f>
        <v>0</v>
      </c>
      <c r="W3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578.14950980392155</v>
      </c>
      <c r="X3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554.74264705882342</v>
      </c>
      <c r="Y38" s="3">
        <f>ABS(Table15[[#This Row],[motor]]-Table15[[#This Row],[motorEco]])</f>
        <v>0</v>
      </c>
    </row>
    <row r="39" spans="1:25" x14ac:dyDescent="0.25">
      <c r="A39" s="3">
        <v>3250</v>
      </c>
      <c r="B3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13"/>
      <c r="D3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13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39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7" t="str">
        <f>IF(Table15[[#This Row],[rpm]]&lt;1,Table7[xmlComment],IF(A38&gt;Table36[normRpm],"",IF(Table15[[#This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39" s="3">
        <f>(1-(1-Table15[[#This Row],[rpm]]/Table36[idleRpm])^2)*Table7[idleT]</f>
        <v>-6319.012110726645</v>
      </c>
      <c r="N39" s="3">
        <f>MAX(0,(1-Table7[f1]*(Table36[maxTRpm1]-Table15[[#This Row],[rpm]])^2)*Table36[maxT])</f>
        <v>277.07396449704163</v>
      </c>
      <c r="O39" s="3">
        <f>MAX(0,(Table36[linearDown]*(1-Table7[f2]*(Table15[[#This Row],[rpm]]-Table36[maxTRpm]))+(1-Table36[linearDown])*(1-Table7[f3]*(Table15[[#This Row],[rpm]]-Table36[maxTRpm])^2))*Table36[maxT])</f>
        <v>0</v>
      </c>
      <c r="P39" s="3">
        <f>MAX(0,(Table36[maxPS]-Table7[f4]*(Table15[[#This Row],[rpm]]-Table36[maxPRpm])^2)/1.36*9550/MAX(1,Table15[[#This Row],[rpm]]))</f>
        <v>180.35287833081952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-6319.012110726645</v>
      </c>
      <c r="S39" s="3">
        <f>MAX(0,(1-Table7[f1]*(Table36[maxTRpm1]-Table15[[#This Row],[rpm]])^2)*Table36[maxTEco])</f>
        <v>277.07396449704163</v>
      </c>
      <c r="T39" s="3">
        <f>MAX(0,(Table36[linearDown]*(1-Table7[f2Eco]*(Table15[[#This Row],[rpm]]-Table36[maxTRpm]))+(1-Table36[linearDown])*(1-Table7[f3Eco]*(Table15[[#This Row],[rpm]]-Table36[maxTRpm])^2))*Table36[maxTEco])</f>
        <v>0</v>
      </c>
      <c r="U39" s="3">
        <f>MAX(0,(Table36[maxPSEco]-Table7[f4Eco]*(Table15[[#This Row],[rpm]]-Table36[maxPRpm])^2)/1.36*9550/MAX(1,Table15[[#This Row],[rpm]]))</f>
        <v>0</v>
      </c>
      <c r="V39" s="3">
        <f>MAX(0,Table7[Nm2Eco]*MIN(Table36[ratedRpm]/MAX(1,Table15[[#This Row],[rpm]]),1-(MAX(0,Table15[[#This Row],[rpm]]-Table36[ratedRpm])/Table36[fadeOut])^Table36[fadeOutExp]))</f>
        <v>0</v>
      </c>
      <c r="W3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533.67647058823525</v>
      </c>
      <c r="X3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512.0701357466063</v>
      </c>
      <c r="Y39" s="3">
        <f>ABS(Table15[[#This Row],[motor]]-Table15[[#This Row],[motorEco]])</f>
        <v>0</v>
      </c>
    </row>
    <row r="40" spans="1:25" x14ac:dyDescent="0.25">
      <c r="A40" s="3">
        <v>3500</v>
      </c>
      <c r="B4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13"/>
      <c r="D4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13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0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7" t="str">
        <f>IF(Table15[[#This Row],[rpm]]&lt;1,Table7[xmlComment],IF(A39&gt;Table36[normRpm],"",IF(Table15[[#This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0" s="3">
        <f>(1-(1-Table15[[#This Row],[rpm]]/Table36[idleRpm])^2)*Table7[idleT]</f>
        <v>-7902.6851211072644</v>
      </c>
      <c r="N40" s="3">
        <f>MAX(0,(1-Table7[f1]*(Table36[maxTRpm1]-Table15[[#This Row],[rpm]])^2)*Table36[maxT])</f>
        <v>53.627218934911518</v>
      </c>
      <c r="O40" s="3">
        <f>MAX(0,(Table36[linearDown]*(1-Table7[f2]*(Table15[[#This Row],[rpm]]-Table36[maxTRpm]))+(1-Table36[linearDown])*(1-Table7[f3]*(Table15[[#This Row],[rpm]]-Table36[maxTRpm])^2))*Table36[maxT])</f>
        <v>0</v>
      </c>
      <c r="P40" s="3">
        <f>MAX(0,(Table36[maxPS]-Table7[f4]*(Table15[[#This Row],[rpm]]-Table36[maxPRpm])^2)/1.36*9550/MAX(1,Table15[[#This Row],[rpm]]))</f>
        <v>44.584500466853356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-7902.6851211072644</v>
      </c>
      <c r="S40" s="3">
        <f>MAX(0,(1-Table7[f1]*(Table36[maxTRpm1]-Table15[[#This Row],[rpm]])^2)*Table36[maxTEco])</f>
        <v>53.627218934911518</v>
      </c>
      <c r="T40" s="3">
        <f>MAX(0,(Table36[linearDown]*(1-Table7[f2Eco]*(Table15[[#This Row],[rpm]]-Table36[maxTRpm]))+(1-Table36[linearDown])*(1-Table7[f3Eco]*(Table15[[#This Row],[rpm]]-Table36[maxTRpm])^2))*Table36[maxTEco])</f>
        <v>0</v>
      </c>
      <c r="U40" s="3">
        <f>MAX(0,(Table36[maxPSEco]-Table7[f4Eco]*(Table15[[#This Row],[rpm]]-Table36[maxPRpm])^2)/1.36*9550/MAX(1,Table15[[#This Row],[rpm]]))</f>
        <v>0</v>
      </c>
      <c r="V40" s="3">
        <f>MAX(0,Table7[Nm2Eco]*MIN(Table36[ratedRpm]/MAX(1,Table15[[#This Row],[rpm]]),1-(MAX(0,Table15[[#This Row],[rpm]]-Table36[ratedRpm])/Table36[fadeOut])^Table36[fadeOutExp]))</f>
        <v>0</v>
      </c>
      <c r="W4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495.55672268907557</v>
      </c>
      <c r="X4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475.49369747899152</v>
      </c>
      <c r="Y40" s="3">
        <f>ABS(Table15[[#This Row],[motor]]-Table15[[#This Row],[motorEco]])</f>
        <v>0</v>
      </c>
    </row>
    <row r="41" spans="1:25" x14ac:dyDescent="0.25">
      <c r="A41" s="3">
        <v>3750</v>
      </c>
      <c r="B4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13"/>
      <c r="D4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13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1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7" t="str">
        <f>IF(Table15[[#This Row],[rpm]]&lt;1,Table7[xmlComment],IF(A40&gt;Table36[normRpm],"",IF(Table15[[#This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1" s="3">
        <f>(1-(1-Table15[[#This Row],[rpm]]/Table36[idleRpm])^2)*Table7[idleT]</f>
        <v>-9643.1574394463696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0</v>
      </c>
      <c r="P41" s="3">
        <f>MAX(0,(Table36[maxPS]-Table7[f4]*(Table15[[#This Row],[rpm]]-Table36[maxPRpm])^2)/1.36*9550/MAX(1,Table15[[#This Row],[rpm]]))</f>
        <v>0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-9643.1574394463696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0</v>
      </c>
      <c r="U41" s="3">
        <f>MAX(0,(Table36[maxPSEco]-Table7[f4Eco]*(Table15[[#This Row],[rpm]]-Table36[maxPRpm])^2)/1.36*9550/MAX(1,Table15[[#This Row],[rpm]]))</f>
        <v>0</v>
      </c>
      <c r="V41" s="3">
        <f>MAX(0,Table7[Nm2Eco]*MIN(Table36[ratedRpm]/MAX(1,Table15[[#This Row],[rpm]]),1-(MAX(0,Table15[[#This Row],[rpm]]-Table36[ratedRpm])/Table36[fadeOut])^Table36[fadeOutExp]))</f>
        <v>0</v>
      </c>
      <c r="W4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462.51960784313724</v>
      </c>
      <c r="X4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443.79411764705878</v>
      </c>
      <c r="Y41" s="3">
        <f>ABS(Table15[[#This Row],[motor]]-Table15[[#This Row],[motorEco]])</f>
        <v>0</v>
      </c>
    </row>
    <row r="42" spans="1:25" x14ac:dyDescent="0.25">
      <c r="A42" s="3">
        <v>4000</v>
      </c>
      <c r="B4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13"/>
      <c r="D4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13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2" s="7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7" t="str">
        <f>IF(Table15[[#This Row],[rpm]]&lt;1,Table7[xmlComment],IF(A41&gt;Table36[normRpm],"",IF(Table15[[#This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2" s="3">
        <f>(1-(1-Table15[[#This Row],[rpm]]/Table36[idleRpm])^2)*Table7[idleT]</f>
        <v>-11540.429065743947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0</v>
      </c>
      <c r="P42" s="3">
        <f>MAX(0,(Table36[maxPS]-Table7[f4]*(Table15[[#This Row],[rpm]]-Table36[maxPRpm])^2)/1.36*9550/MAX(1,Table15[[#This Row],[rpm]]))</f>
        <v>0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-11540.429065743947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0</v>
      </c>
      <c r="U42" s="3">
        <f>MAX(0,(Table36[maxPSEco]-Table7[f4Eco]*(Table15[[#This Row],[rpm]]-Table36[maxPRpm])^2)/1.36*9550/MAX(1,Table15[[#This Row],[rpm]]))</f>
        <v>0</v>
      </c>
      <c r="V42" s="3">
        <f>MAX(0,Table7[Nm2Eco]*MIN(Table36[ratedRpm]/MAX(1,Table15[[#This Row],[rpm]]),1-(MAX(0,Table15[[#This Row],[rpm]]-Table36[ratedRpm])/Table36[fadeOut])^Table36[fadeOutExp]))</f>
        <v>0</v>
      </c>
      <c r="W4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433.61213235294116</v>
      </c>
      <c r="X4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416.05698529411757</v>
      </c>
      <c r="Y42" s="3">
        <f>ABS(Table15[[#This Row],[motor]]-Table15[[#This Row],[motorEco]])</f>
        <v>0</v>
      </c>
    </row>
    <row r="43" spans="1:25" x14ac:dyDescent="0.25">
      <c r="A43" s="3">
        <v>4250</v>
      </c>
      <c r="B4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13"/>
      <c r="D4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13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3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23" t="str">
        <f>IF(Table15[[#This Row],[rpm]]&lt;1,Table7[xmlComment],IF(A42&gt;Table36[normRpm],"",IF(Table15[[#This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3" s="3">
        <f>(1-(1-Table15[[#This Row],[rpm]]/Table36[idleRpm])^2)*Table7[idleT]</f>
        <v>-13594.500000000002</v>
      </c>
      <c r="N43" s="3">
        <f>MAX(0,(1-Table7[f1]*(Table36[maxTRpm1]-Table15[[#This Row],[rpm]])^2)*Table36[maxT])</f>
        <v>0</v>
      </c>
      <c r="O43" s="3">
        <f>MAX(0,(Table36[linearDown]*(1-Table7[f2]*(Table15[[#This Row],[rpm]]-Table36[maxTRpm]))+(1-Table36[linearDown])*(1-Table7[f3]*(Table15[[#This Row],[rpm]]-Table36[maxTRpm])^2))*Table36[maxT])</f>
        <v>0</v>
      </c>
      <c r="P43" s="3">
        <f>MAX(0,(Table36[maxPS]-Table7[f4]*(Table15[[#This Row],[rpm]]-Table36[maxPRpm])^2)/1.36*9550/MAX(1,Table15[[#This Row],[rpm]]))</f>
        <v>0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-13594.500000000002</v>
      </c>
      <c r="S43" s="3">
        <f>MAX(0,(1-Table7[f1]*(Table36[maxTRpm1]-Table15[[#This Row],[rpm]])^2)*Table36[maxTEco])</f>
        <v>0</v>
      </c>
      <c r="T43" s="3">
        <f>MAX(0,(Table36[linearDown]*(1-Table7[f2Eco]*(Table15[[#This Row],[rpm]]-Table36[maxTRpm]))+(1-Table36[linearDown])*(1-Table7[f3Eco]*(Table15[[#This Row],[rpm]]-Table36[maxTRpm])^2))*Table36[maxTEco])</f>
        <v>0</v>
      </c>
      <c r="U43" s="3">
        <f>MAX(0,(Table36[maxPSEco]-Table7[f4Eco]*(Table15[[#This Row],[rpm]]-Table36[maxPRpm])^2)/1.36*9550/MAX(1,Table15[[#This Row],[rpm]]))</f>
        <v>0</v>
      </c>
      <c r="V43" s="3">
        <f>MAX(0,Table7[Nm2Eco]*MIN(Table36[ratedRpm]/MAX(1,Table15[[#This Row],[rpm]]),1-(MAX(0,Table15[[#This Row],[rpm]]-Table36[ratedRpm])/Table36[fadeOut])^Table36[fadeOutExp]))</f>
        <v>0</v>
      </c>
      <c r="W4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408.10553633217989</v>
      </c>
      <c r="X4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391.58304498269894</v>
      </c>
      <c r="Y43" s="3">
        <f>ABS(Table15[[#This Row],[motor]]-Table15[[#This Row],[motorEco]])</f>
        <v>0</v>
      </c>
    </row>
    <row r="44" spans="1:25" x14ac:dyDescent="0.25">
      <c r="A44" s="3">
        <v>4500</v>
      </c>
      <c r="B4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13"/>
      <c r="D4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13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4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23" t="str">
        <f>IF(Table15[[#This Row],[rpm]]&lt;1,Table7[xmlComment],IF(A43&gt;Table36[normRpm],"",IF(Table15[[#This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4" s="3">
        <f>(1-(1-Table15[[#This Row],[rpm]]/Table36[idleRpm])^2)*Table7[idleT]</f>
        <v>-15805.370242214531</v>
      </c>
      <c r="N44" s="3">
        <f>MAX(0,(1-Table7[f1]*(Table36[maxTRpm1]-Table15[[#This Row],[rpm]])^2)*Table36[maxT])</f>
        <v>0</v>
      </c>
      <c r="O44" s="3">
        <f>MAX(0,(Table36[linearDown]*(1-Table7[f2]*(Table15[[#This Row],[rpm]]-Table36[maxTRpm]))+(1-Table36[linearDown])*(1-Table7[f3]*(Table15[[#This Row],[rpm]]-Table36[maxTRpm])^2))*Table36[maxT])</f>
        <v>0</v>
      </c>
      <c r="P44" s="3">
        <f>MAX(0,(Table36[maxPS]-Table7[f4]*(Table15[[#This Row],[rpm]]-Table36[maxPRpm])^2)/1.36*9550/MAX(1,Table15[[#This Row],[rpm]]))</f>
        <v>0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-15805.370242214531</v>
      </c>
      <c r="S44" s="3">
        <f>MAX(0,(1-Table7[f1]*(Table36[maxTRpm1]-Table15[[#This Row],[rpm]])^2)*Table36[maxTEco])</f>
        <v>0</v>
      </c>
      <c r="T44" s="3">
        <f>MAX(0,(Table36[linearDown]*(1-Table7[f2Eco]*(Table15[[#This Row],[rpm]]-Table36[maxTRpm]))+(1-Table36[linearDown])*(1-Table7[f3Eco]*(Table15[[#This Row],[rpm]]-Table36[maxTRpm])^2))*Table36[maxTEco])</f>
        <v>0</v>
      </c>
      <c r="U44" s="3">
        <f>MAX(0,(Table36[maxPSEco]-Table7[f4Eco]*(Table15[[#This Row],[rpm]]-Table36[maxPRpm])^2)/1.36*9550/MAX(1,Table15[[#This Row],[rpm]]))</f>
        <v>0</v>
      </c>
      <c r="V44" s="3">
        <f>MAX(0,Table7[Nm2Eco]*MIN(Table36[ratedRpm]/MAX(1,Table15[[#This Row],[rpm]]),1-(MAX(0,Table15[[#This Row],[rpm]]-Table36[ratedRpm])/Table36[fadeOut])^Table36[fadeOutExp]))</f>
        <v>0</v>
      </c>
      <c r="W4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385.4330065359477</v>
      </c>
      <c r="X4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369.82843137254895</v>
      </c>
      <c r="Y44" s="3">
        <f>ABS(Table15[[#This Row],[motor]]-Table15[[#This Row],[motorEco]])</f>
        <v>0</v>
      </c>
    </row>
    <row r="45" spans="1:25" x14ac:dyDescent="0.25">
      <c r="A45" s="3">
        <v>4750</v>
      </c>
      <c r="B4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13"/>
      <c r="D4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13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5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23" t="str">
        <f>IF(Table15[[#This Row],[rpm]]&lt;1,Table7[xmlComment],IF(A44&gt;Table36[normRpm],"",IF(Table15[[#This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5" s="3">
        <f>(1-(1-Table15[[#This Row],[rpm]]/Table36[idleRpm])^2)*Table7[idleT]</f>
        <v>-18173.039792387543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0</v>
      </c>
      <c r="P45" s="3">
        <f>MAX(0,(Table36[maxPS]-Table7[f4]*(Table15[[#This Row],[rpm]]-Table36[maxPRpm])^2)/1.36*9550/MAX(1,Table15[[#This Row],[rpm]]))</f>
        <v>0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-18173.039792387543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0</v>
      </c>
      <c r="U45" s="3">
        <f>MAX(0,(Table36[maxPSEco]-Table7[f4Eco]*(Table15[[#This Row],[rpm]]-Table36[maxPRpm])^2)/1.36*9550/MAX(1,Table15[[#This Row],[rpm]]))</f>
        <v>0</v>
      </c>
      <c r="V45" s="3">
        <f>MAX(0,Table7[Nm2Eco]*MIN(Table36[ratedRpm]/MAX(1,Table15[[#This Row],[rpm]]),1-(MAX(0,Table15[[#This Row],[rpm]]-Table36[ratedRpm])/Table36[fadeOut])^Table36[fadeOutExp]))</f>
        <v>0</v>
      </c>
      <c r="W4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365.14705882352939</v>
      </c>
      <c r="X4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350.36377708978324</v>
      </c>
      <c r="Y45" s="3">
        <f>ABS(Table15[[#This Row],[motor]]-Table15[[#This Row],[motorEco]])</f>
        <v>0</v>
      </c>
    </row>
    <row r="46" spans="1:25" x14ac:dyDescent="0.25">
      <c r="A46" s="3">
        <v>5000</v>
      </c>
      <c r="B4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13"/>
      <c r="D4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13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6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23" t="str">
        <f>IF(Table15[[#This Row],[rpm]]&lt;1,Table7[xmlComment],IF(A45&gt;Table36[normRpm],"",IF(Table15[[#This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6" s="3">
        <f>(1-(1-Table15[[#This Row],[rpm]]/Table36[idleRpm])^2)*Table7[idleT]</f>
        <v>-20697.508650519037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0</v>
      </c>
      <c r="P46" s="3">
        <f>MAX(0,(Table36[maxPS]-Table7[f4]*(Table15[[#This Row],[rpm]]-Table36[maxPRpm])^2)/1.36*9550/MAX(1,Table15[[#This Row],[rpm]]))</f>
        <v>0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-20697.508650519037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0</v>
      </c>
      <c r="U46" s="3">
        <f>MAX(0,(Table36[maxPSEco]-Table7[f4Eco]*(Table15[[#This Row],[rpm]]-Table36[maxPRpm])^2)/1.36*9550/MAX(1,Table15[[#This Row],[rpm]]))</f>
        <v>0</v>
      </c>
      <c r="V46" s="3">
        <f>MAX(0,Table7[Nm2Eco]*MIN(Table36[ratedRpm]/MAX(1,Table15[[#This Row],[rpm]]),1-(MAX(0,Table15[[#This Row],[rpm]]-Table36[ratedRpm])/Table36[fadeOut])^Table36[fadeOutExp]))</f>
        <v>0</v>
      </c>
      <c r="W4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346.88970588235293</v>
      </c>
      <c r="X4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332.84558823529409</v>
      </c>
      <c r="Y46" s="3">
        <f>ABS(Table15[[#This Row],[motor]]-Table15[[#This Row],[motorEco]])</f>
        <v>0</v>
      </c>
    </row>
    <row r="47" spans="1:25" x14ac:dyDescent="0.25">
      <c r="A47" s="3">
        <v>5250</v>
      </c>
      <c r="B4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13"/>
      <c r="D4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13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7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23" t="str">
        <f>IF(Table15[[#This Row],[rpm]]&lt;1,Table7[xmlComment],IF(A46&gt;Table36[normRpm],"",IF(Table15[[#This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7" s="3">
        <f>(1-(1-Table15[[#This Row],[rpm]]/Table36[idleRpm])^2)*Table7[idleT]</f>
        <v>-23378.776816608999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0</v>
      </c>
      <c r="P47" s="3">
        <f>MAX(0,(Table36[maxPS]-Table7[f4]*(Table15[[#This Row],[rpm]]-Table36[maxPRpm])^2)/1.36*9550/MAX(1,Table15[[#This Row],[rpm]]))</f>
        <v>0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-23378.776816608999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0</v>
      </c>
      <c r="U47" s="3">
        <f>MAX(0,(Table36[maxPSEco]-Table7[f4Eco]*(Table15[[#This Row],[rpm]]-Table36[maxPRpm])^2)/1.36*9550/MAX(1,Table15[[#This Row],[rpm]]))</f>
        <v>0</v>
      </c>
      <c r="V47" s="3">
        <f>MAX(0,Table7[Nm2Eco]*MIN(Table36[ratedRpm]/MAX(1,Table15[[#This Row],[rpm]]),1-(MAX(0,Table15[[#This Row],[rpm]]-Table36[ratedRpm])/Table36[fadeOut])^Table36[fadeOutExp]))</f>
        <v>0</v>
      </c>
      <c r="W4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330.37114845938373</v>
      </c>
      <c r="X4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316.99579831932766</v>
      </c>
      <c r="Y47" s="3">
        <f>ABS(Table15[[#This Row],[motor]]-Table15[[#This Row],[motorEco]])</f>
        <v>0</v>
      </c>
    </row>
    <row r="48" spans="1:25" x14ac:dyDescent="0.25">
      <c r="A48" s="3">
        <v>5500</v>
      </c>
      <c r="B4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13"/>
      <c r="D4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13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8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23" t="str">
        <f>IF(Table15[[#This Row],[rpm]]&lt;1,Table7[xmlComment],IF(A47&gt;Table36[normRpm],"",IF(Table15[[#This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8" s="3">
        <f>(1-(1-Table15[[#This Row],[rpm]]/Table36[idleRpm])^2)*Table7[idleT]</f>
        <v>-26216.844290657442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0</v>
      </c>
      <c r="P48" s="3">
        <f>MAX(0,(Table36[maxPS]-Table7[f4]*(Table15[[#This Row],[rpm]]-Table36[maxPRpm])^2)/1.36*9550/MAX(1,Table15[[#This Row],[rpm]]))</f>
        <v>0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-26216.844290657442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0</v>
      </c>
      <c r="U48" s="3">
        <f>MAX(0,(Table36[maxPSEco]-Table7[f4Eco]*(Table15[[#This Row],[rpm]]-Table36[maxPRpm])^2)/1.36*9550/MAX(1,Table15[[#This Row],[rpm]]))</f>
        <v>0</v>
      </c>
      <c r="V48" s="3">
        <f>MAX(0,Table7[Nm2Eco]*MIN(Table36[ratedRpm]/MAX(1,Table15[[#This Row],[rpm]]),1-(MAX(0,Table15[[#This Row],[rpm]]-Table36[ratedRpm])/Table36[fadeOut])^Table36[fadeOutExp]))</f>
        <v>0</v>
      </c>
      <c r="W4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315.35427807486627</v>
      </c>
      <c r="X4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302.5868983957219</v>
      </c>
      <c r="Y48" s="3">
        <f>ABS(Table15[[#This Row],[motor]]-Table15[[#This Row],[motorEco]])</f>
        <v>0</v>
      </c>
    </row>
    <row r="49" spans="1:25" x14ac:dyDescent="0.25">
      <c r="A49" s="3">
        <v>5750</v>
      </c>
      <c r="B4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13"/>
      <c r="D4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13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49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23" t="str">
        <f>IF(Table15[[#This Row],[rpm]]&lt;1,Table7[xmlComment],IF(A48&gt;Table36[normRpm],"",IF(Table15[[#This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49" s="3">
        <f>(1-(1-Table15[[#This Row],[rpm]]/Table36[idleRpm])^2)*Table7[idleT]</f>
        <v>-29211.711072664362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0</v>
      </c>
      <c r="P49" s="3">
        <f>MAX(0,(Table36[maxPS]-Table7[f4]*(Table15[[#This Row],[rpm]]-Table36[maxPRpm])^2)/1.36*9550/MAX(1,Table15[[#This Row],[rpm]]))</f>
        <v>0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-29211.711072664362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0</v>
      </c>
      <c r="U49" s="3">
        <f>MAX(0,(Table36[maxPSEco]-Table7[f4Eco]*(Table15[[#This Row],[rpm]]-Table36[maxPRpm])^2)/1.36*9550/MAX(1,Table15[[#This Row],[rpm]]))</f>
        <v>0</v>
      </c>
      <c r="V49" s="3">
        <f>MAX(0,Table7[Nm2Eco]*MIN(Table36[ratedRpm]/MAX(1,Table15[[#This Row],[rpm]]),1-(MAX(0,Table15[[#This Row],[rpm]]-Table36[ratedRpm])/Table36[fadeOut])^Table36[fadeOutExp]))</f>
        <v>0</v>
      </c>
      <c r="W4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301.64322250639384</v>
      </c>
      <c r="X4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289.43094629156008</v>
      </c>
      <c r="Y49" s="3">
        <f>ABS(Table15[[#This Row],[motor]]-Table15[[#This Row],[motorEco]])</f>
        <v>0</v>
      </c>
    </row>
    <row r="50" spans="1:25" x14ac:dyDescent="0.25">
      <c r="A50" s="3">
        <v>6000</v>
      </c>
      <c r="B5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13"/>
      <c r="D5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13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0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23" t="str">
        <f>IF(Table15[[#This Row],[rpm]]&lt;1,Table7[xmlComment],IF(A49&gt;Table36[normRpm],"",IF(Table15[[#This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0" s="3">
        <f>(1-(1-Table15[[#This Row],[rpm]]/Table36[idleRpm])^2)*Table7[idleT]</f>
        <v>-32363.377162629757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0</v>
      </c>
      <c r="P50" s="3">
        <f>MAX(0,(Table36[maxPS]-Table7[f4]*(Table15[[#This Row],[rpm]]-Table36[maxPRpm])^2)/1.36*9550/MAX(1,Table15[[#This Row],[rpm]]))</f>
        <v>0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-32363.377162629757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0</v>
      </c>
      <c r="U50" s="3">
        <f>MAX(0,(Table36[maxPSEco]-Table7[f4Eco]*(Table15[[#This Row],[rpm]]-Table36[maxPRpm])^2)/1.36*9550/MAX(1,Table15[[#This Row],[rpm]]))</f>
        <v>0</v>
      </c>
      <c r="V50" s="3">
        <f>MAX(0,Table7[Nm2Eco]*MIN(Table36[ratedRpm]/MAX(1,Table15[[#This Row],[rpm]]),1-(MAX(0,Table15[[#This Row],[rpm]]-Table36[ratedRpm])/Table36[fadeOut])^Table36[fadeOutExp]))</f>
        <v>0</v>
      </c>
      <c r="W5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289.07475490196077</v>
      </c>
      <c r="X5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277.37132352941171</v>
      </c>
      <c r="Y50" s="3">
        <f>ABS(Table15[[#This Row],[motor]]-Table15[[#This Row],[motorEco]])</f>
        <v>0</v>
      </c>
    </row>
    <row r="51" spans="1:25" x14ac:dyDescent="0.25">
      <c r="A51" s="3">
        <v>6250</v>
      </c>
      <c r="B5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13"/>
      <c r="D5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13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1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23" t="str">
        <f>IF(Table15[[#This Row],[rpm]]&lt;1,Table7[xmlComment],IF(A50&gt;Table36[normRpm],"",IF(Table15[[#This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1" s="3">
        <f>(1-(1-Table15[[#This Row],[rpm]]/Table36[idleRpm])^2)*Table7[idleT]</f>
        <v>-35671.842560553632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0</v>
      </c>
      <c r="P51" s="3">
        <f>MAX(0,(Table36[maxPS]-Table7[f4]*(Table15[[#This Row],[rpm]]-Table36[maxPRpm])^2)/1.36*9550/MAX(1,Table15[[#This Row],[rpm]]))</f>
        <v>0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-35671.842560553632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0</v>
      </c>
      <c r="U51" s="3">
        <f>MAX(0,(Table36[maxPSEco]-Table7[f4Eco]*(Table15[[#This Row],[rpm]]-Table36[maxPRpm])^2)/1.36*9550/MAX(1,Table15[[#This Row],[rpm]]))</f>
        <v>0</v>
      </c>
      <c r="V51" s="3">
        <f>MAX(0,Table7[Nm2Eco]*MIN(Table36[ratedRpm]/MAX(1,Table15[[#This Row],[rpm]]),1-(MAX(0,Table15[[#This Row],[rpm]]-Table36[ratedRpm])/Table36[fadeOut])^Table36[fadeOutExp]))</f>
        <v>0</v>
      </c>
      <c r="W5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277.51176470588234</v>
      </c>
      <c r="X5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266.27647058823527</v>
      </c>
      <c r="Y51" s="3">
        <f>ABS(Table15[[#This Row],[motor]]-Table15[[#This Row],[motorEco]])</f>
        <v>0</v>
      </c>
    </row>
    <row r="52" spans="1:25" x14ac:dyDescent="0.25">
      <c r="A52" s="3">
        <v>6500</v>
      </c>
      <c r="B5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13"/>
      <c r="D5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13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2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23" t="str">
        <f>IF(Table15[[#This Row],[rpm]]&lt;1,Table7[xmlComment],IF(A51&gt;Table36[normRpm],"",IF(Table15[[#This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2" s="3">
        <f>(1-(1-Table15[[#This Row],[rpm]]/Table36[idleRpm])^2)*Table7[idleT]</f>
        <v>-39137.107266435996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0</v>
      </c>
      <c r="P52" s="3">
        <f>MAX(0,(Table36[maxPS]-Table7[f4]*(Table15[[#This Row],[rpm]]-Table36[maxPRpm])^2)/1.36*9550/MAX(1,Table15[[#This Row],[rpm]]))</f>
        <v>0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-39137.107266435996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0</v>
      </c>
      <c r="U52" s="3">
        <f>MAX(0,(Table36[maxPSEco]-Table7[f4Eco]*(Table15[[#This Row],[rpm]]-Table36[maxPRpm])^2)/1.36*9550/MAX(1,Table15[[#This Row],[rpm]]))</f>
        <v>0</v>
      </c>
      <c r="V52" s="3">
        <f>MAX(0,Table7[Nm2Eco]*MIN(Table36[ratedRpm]/MAX(1,Table15[[#This Row],[rpm]]),1-(MAX(0,Table15[[#This Row],[rpm]]-Table36[ratedRpm])/Table36[fadeOut])^Table36[fadeOutExp]))</f>
        <v>0</v>
      </c>
      <c r="W5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266.83823529411762</v>
      </c>
      <c r="X5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256.03506787330315</v>
      </c>
      <c r="Y52" s="3">
        <f>ABS(Table15[[#This Row],[motor]]-Table15[[#This Row],[motorEco]])</f>
        <v>0</v>
      </c>
    </row>
    <row r="53" spans="1:25" x14ac:dyDescent="0.25">
      <c r="A53" s="3">
        <v>6750</v>
      </c>
      <c r="B53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13"/>
      <c r="D53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13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3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23" t="str">
        <f>IF(Table15[[#This Row],[rpm]]&lt;1,Table7[xmlComment],IF(A52&gt;Table36[normRpm],"",IF(Table15[[#This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3" s="3">
        <f>(1-(1-Table15[[#This Row],[rpm]]/Table36[idleRpm])^2)*Table7[idleT]</f>
        <v>-42759.171280276823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0</v>
      </c>
      <c r="P53" s="3">
        <f>MAX(0,(Table36[maxPS]-Table7[f4]*(Table15[[#This Row],[rpm]]-Table36[maxPRpm])^2)/1.36*9550/MAX(1,Table15[[#This Row],[rpm]]))</f>
        <v>0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-42759.171280276823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0</v>
      </c>
      <c r="U53" s="3">
        <f>MAX(0,(Table36[maxPSEco]-Table7[f4Eco]*(Table15[[#This Row],[rpm]]-Table36[maxPRpm])^2)/1.36*9550/MAX(1,Table15[[#This Row],[rpm]]))</f>
        <v>0</v>
      </c>
      <c r="V53" s="3">
        <f>MAX(0,Table7[Nm2Eco]*MIN(Table36[ratedRpm]/MAX(1,Table15[[#This Row],[rpm]]),1-(MAX(0,Table15[[#This Row],[rpm]]-Table36[ratedRpm])/Table36[fadeOut])^Table36[fadeOutExp]))</f>
        <v>0</v>
      </c>
      <c r="W53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256.95533769063178</v>
      </c>
      <c r="X53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246.55228758169932</v>
      </c>
      <c r="Y53" s="3">
        <f>ABS(Table15[[#This Row],[motor]]-Table15[[#This Row],[motorEco]])</f>
        <v>0</v>
      </c>
    </row>
    <row r="54" spans="1:25" x14ac:dyDescent="0.25">
      <c r="A54" s="3">
        <v>7000</v>
      </c>
      <c r="B54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13"/>
      <c r="D54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13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4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23" t="str">
        <f>IF(Table15[[#This Row],[rpm]]&lt;1,Table7[xmlComment],IF(A53&gt;Table36[normRpm],"",IF(Table15[[#This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4" s="3">
        <f>(1-(1-Table15[[#This Row],[rpm]]/Table36[idleRpm])^2)*Table7[idleT]</f>
        <v>-46538.034602076114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0</v>
      </c>
      <c r="P54" s="3">
        <f>MAX(0,(Table36[maxPS]-Table7[f4]*(Table15[[#This Row],[rpm]]-Table36[maxPRpm])^2)/1.36*9550/MAX(1,Table15[[#This Row],[rpm]]))</f>
        <v>0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-46538.034602076114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0</v>
      </c>
      <c r="U54" s="3">
        <f>MAX(0,(Table36[maxPSEco]-Table7[f4Eco]*(Table15[[#This Row],[rpm]]-Table36[maxPRpm])^2)/1.36*9550/MAX(1,Table15[[#This Row],[rpm]]))</f>
        <v>0</v>
      </c>
      <c r="V54" s="3">
        <f>MAX(0,Table7[Nm2Eco]*MIN(Table36[ratedRpm]/MAX(1,Table15[[#This Row],[rpm]]),1-(MAX(0,Table15[[#This Row],[rpm]]-Table36[ratedRpm])/Table36[fadeOut])^Table36[fadeOutExp]))</f>
        <v>0</v>
      </c>
      <c r="W54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247.77836134453779</v>
      </c>
      <c r="X54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237.74684873949576</v>
      </c>
      <c r="Y54" s="3">
        <f>ABS(Table15[[#This Row],[motor]]-Table15[[#This Row],[motorEco]])</f>
        <v>0</v>
      </c>
    </row>
    <row r="55" spans="1:25" x14ac:dyDescent="0.25">
      <c r="A55" s="3">
        <v>7250</v>
      </c>
      <c r="B55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13"/>
      <c r="D55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13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5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23" t="str">
        <f>IF(Table15[[#This Row],[rpm]]&lt;1,Table7[xmlComment],IF(A54&gt;Table36[normRpm],"",IF(Table15[[#This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5" s="3">
        <f>(1-(1-Table15[[#This Row],[rpm]]/Table36[idleRpm])^2)*Table7[idleT]</f>
        <v>-50473.697231833918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0</v>
      </c>
      <c r="P55" s="3">
        <f>MAX(0,(Table36[maxPS]-Table7[f4]*(Table15[[#This Row],[rpm]]-Table36[maxPRpm])^2)/1.36*9550/MAX(1,Table15[[#This Row],[rpm]]))</f>
        <v>0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-50473.697231833918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0</v>
      </c>
      <c r="U55" s="3">
        <f>MAX(0,(Table36[maxPSEco]-Table7[f4Eco]*(Table15[[#This Row],[rpm]]-Table36[maxPRpm])^2)/1.36*9550/MAX(1,Table15[[#This Row],[rpm]]))</f>
        <v>0</v>
      </c>
      <c r="V55" s="3">
        <f>MAX(0,Table7[Nm2Eco]*MIN(Table36[ratedRpm]/MAX(1,Table15[[#This Row],[rpm]]),1-(MAX(0,Table15[[#This Row],[rpm]]-Table36[ratedRpm])/Table36[fadeOut])^Table36[fadeOutExp]))</f>
        <v>0</v>
      </c>
      <c r="W55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239.23427991886408</v>
      </c>
      <c r="X55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229.54868154158211</v>
      </c>
      <c r="Y55" s="3">
        <f>ABS(Table15[[#This Row],[motor]]-Table15[[#This Row],[motorEco]])</f>
        <v>0</v>
      </c>
    </row>
    <row r="56" spans="1:25" x14ac:dyDescent="0.25">
      <c r="A56" s="3">
        <v>7500</v>
      </c>
      <c r="B56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13"/>
      <c r="D56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13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6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23" t="str">
        <f>IF(Table15[[#This Row],[rpm]]&lt;1,Table7[xmlComment],IF(A55&gt;Table36[normRpm],"",IF(Table15[[#This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6" s="3">
        <f>(1-(1-Table15[[#This Row],[rpm]]/Table36[idleRpm])^2)*Table7[idleT]</f>
        <v>-54566.159169550185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0</v>
      </c>
      <c r="P56" s="3">
        <f>MAX(0,(Table36[maxPS]-Table7[f4]*(Table15[[#This Row],[rpm]]-Table36[maxPRpm])^2)/1.36*9550/MAX(1,Table15[[#This Row],[rpm]]))</f>
        <v>0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-54566.159169550185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0</v>
      </c>
      <c r="U56" s="3">
        <f>MAX(0,(Table36[maxPSEco]-Table7[f4Eco]*(Table15[[#This Row],[rpm]]-Table36[maxPRpm])^2)/1.36*9550/MAX(1,Table15[[#This Row],[rpm]]))</f>
        <v>0</v>
      </c>
      <c r="V56" s="3">
        <f>MAX(0,Table7[Nm2Eco]*MIN(Table36[ratedRpm]/MAX(1,Table15[[#This Row],[rpm]]),1-(MAX(0,Table15[[#This Row],[rpm]]-Table36[ratedRpm])/Table36[fadeOut])^Table36[fadeOutExp]))</f>
        <v>0</v>
      </c>
      <c r="W56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231.25980392156862</v>
      </c>
      <c r="X56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221.89705882352939</v>
      </c>
      <c r="Y56" s="3">
        <f>ABS(Table15[[#This Row],[motor]]-Table15[[#This Row],[motorEco]])</f>
        <v>0</v>
      </c>
    </row>
    <row r="57" spans="1:25" x14ac:dyDescent="0.25">
      <c r="A57" s="3">
        <v>7750</v>
      </c>
      <c r="B57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13"/>
      <c r="D57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13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7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23" t="str">
        <f>IF(Table15[[#This Row],[rpm]]&lt;1,Table7[xmlComment],IF(A56&gt;Table36[normRpm],"",IF(Table15[[#This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7" s="3">
        <f>(1-(1-Table15[[#This Row],[rpm]]/Table36[idleRpm])^2)*Table7[idleT]</f>
        <v>-58815.420415224908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0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-58815.420415224908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0</v>
      </c>
      <c r="V57" s="3">
        <f>MAX(0,Table7[Nm2Eco]*MIN(Table36[ratedRpm]/MAX(1,Table15[[#This Row],[rpm]]),1-(MAX(0,Table15[[#This Row],[rpm]]-Table36[ratedRpm])/Table36[fadeOut])^Table36[fadeOutExp]))</f>
        <v>0</v>
      </c>
      <c r="W57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223.7998102466793</v>
      </c>
      <c r="X57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214.7390891840607</v>
      </c>
      <c r="Y57" s="3">
        <f>ABS(Table15[[#This Row],[motor]]-Table15[[#This Row],[motorEco]])</f>
        <v>0</v>
      </c>
    </row>
    <row r="58" spans="1:25" x14ac:dyDescent="0.25">
      <c r="A58" s="3">
        <v>8000</v>
      </c>
      <c r="B58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13"/>
      <c r="D58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13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8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23" t="str">
        <f>IF(Table15[[#This Row],[rpm]]&lt;1,Table7[xmlComment],IF(A57&gt;Table36[normRpm],"",IF(Table15[[#This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8" s="3">
        <f>(1-(1-Table15[[#This Row],[rpm]]/Table36[idleRpm])^2)*Table7[idleT]</f>
        <v>-63221.480968858137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0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-63221.480968858137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0</v>
      </c>
      <c r="V58" s="3">
        <f>MAX(0,Table7[Nm2Eco]*MIN(Table36[ratedRpm]/MAX(1,Table15[[#This Row],[rpm]]),1-(MAX(0,Table15[[#This Row],[rpm]]-Table36[ratedRpm])/Table36[fadeOut])^Table36[fadeOutExp]))</f>
        <v>0</v>
      </c>
      <c r="W58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216.80606617647058</v>
      </c>
      <c r="X58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208.02849264705878</v>
      </c>
      <c r="Y58" s="3">
        <f>ABS(Table15[[#This Row],[motor]]-Table15[[#This Row],[motorEco]])</f>
        <v>0</v>
      </c>
    </row>
    <row r="59" spans="1:25" x14ac:dyDescent="0.25">
      <c r="A59" s="3">
        <v>8250</v>
      </c>
      <c r="B59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13"/>
      <c r="D59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13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59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23" t="str">
        <f>IF(Table15[[#This Row],[rpm]]&lt;1,Table7[xmlComment],IF(A58&gt;Table36[normRpm],"",IF(Table15[[#This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59" s="3">
        <f>(1-(1-Table15[[#This Row],[rpm]]/Table36[idleRpm])^2)*Table7[idleT]</f>
        <v>-67784.34083044983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0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-67784.34083044983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0</v>
      </c>
      <c r="V59" s="3">
        <f>MAX(0,Table7[Nm2Eco]*MIN(Table36[ratedRpm]/MAX(1,Table15[[#This Row],[rpm]]),1-(MAX(0,Table15[[#This Row],[rpm]]-Table36[ratedRpm])/Table36[fadeOut])^Table36[fadeOutExp]))</f>
        <v>0</v>
      </c>
      <c r="W59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210.23618538324419</v>
      </c>
      <c r="X59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201.72459893048125</v>
      </c>
      <c r="Y59" s="3">
        <f>ABS(Table15[[#This Row],[motor]]-Table15[[#This Row],[motorEco]])</f>
        <v>0</v>
      </c>
    </row>
    <row r="60" spans="1:25" x14ac:dyDescent="0.25">
      <c r="A60" s="3">
        <v>8500</v>
      </c>
      <c r="B60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13"/>
      <c r="D60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13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0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23" t="str">
        <f>IF(Table15[[#This Row],[rpm]]&lt;1,Table7[xmlComment],IF(A59&gt;Table36[normRpm],"",IF(Table15[[#This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0" s="3">
        <f>(1-(1-Table15[[#This Row],[rpm]]/Table36[idleRpm])^2)*Table7[idleT]</f>
        <v>-72504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0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-72504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0</v>
      </c>
      <c r="V60" s="3">
        <f>MAX(0,Table7[Nm2Eco]*MIN(Table36[ratedRpm]/MAX(1,Table15[[#This Row],[rpm]]),1-(MAX(0,Table15[[#This Row],[rpm]]-Table36[ratedRpm])/Table36[fadeOut])^Table36[fadeOutExp]))</f>
        <v>0</v>
      </c>
      <c r="W60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204.05276816608995</v>
      </c>
      <c r="X60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195.79152249134947</v>
      </c>
      <c r="Y60" s="3">
        <f>ABS(Table15[[#This Row],[motor]]-Table15[[#This Row],[motorEco]])</f>
        <v>0</v>
      </c>
    </row>
    <row r="61" spans="1:25" x14ac:dyDescent="0.25">
      <c r="A61" s="3">
        <v>8750</v>
      </c>
      <c r="B61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13"/>
      <c r="D61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13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1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23" t="str">
        <f>IF(Table15[[#This Row],[rpm]]&lt;1,Table7[xmlComment],IF(A60&gt;Table36[normRpm],"",IF(Table15[[#This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1" s="3">
        <f>(1-(1-Table15[[#This Row],[rpm]]/Table36[idleRpm])^2)*Table7[idleT]</f>
        <v>-77380.45847750867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0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-77380.45847750867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0</v>
      </c>
      <c r="V61" s="3">
        <f>MAX(0,Table7[Nm2Eco]*MIN(Table36[ratedRpm]/MAX(1,Table15[[#This Row],[rpm]]),1-(MAX(0,Table15[[#This Row],[rpm]]-Table36[ratedRpm])/Table36[fadeOut])^Table36[fadeOutExp]))</f>
        <v>0</v>
      </c>
      <c r="W61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198.22268907563023</v>
      </c>
      <c r="X61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190.19747899159663</v>
      </c>
      <c r="Y61" s="3">
        <f>ABS(Table15[[#This Row],[motor]]-Table15[[#This Row],[motorEco]])</f>
        <v>0</v>
      </c>
    </row>
    <row r="62" spans="1:25" x14ac:dyDescent="0.25">
      <c r="A62" s="3">
        <v>9000</v>
      </c>
      <c r="B62" s="3">
        <f>MIN(Table15[[#This Row],[t6]],MAX(0,IF(Table15[[#This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13"/>
      <c r="D62" s="3">
        <f>MIN(Table15[[#This Row],[t6E]],MAX(0,IF(Table15[[#This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13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18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Row],[motor]]&gt;0,Table36[fuelRatedRate]*Table7[Nm]/Table15[[#This Row],[motor]]*Table15[[#This Row],[rpm]]/Table36[ratedRpm],0)))</f>
        <v>0</v>
      </c>
      <c r="K62" s="23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Row],[motor]],0),"""",IF(Table7[maxDeltaEco]&gt;0.01,CONCATENATE("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23" t="str">
        <f>IF(Table15[[#This Row],[rpm]]&lt;1,Table7[xmlComment],IF(A61&gt;Table36[normRpm],"",IF(Table15[[#This Row],[rpm]]&gt;Table36[normRpm],"        &lt;torque normRpm=""1"" torque=""0""/&gt;",CONCATENATE("        &lt;torque normRpm=""",MIN(ROUND(Table15[[#This Row],[rpm]]/Table36[normRpm],3),0.999),""" torque=""",ROUND(Table15[[#This Row],[motor]]/MAX(Table15[motor]),3),"""/&gt;"))))</f>
        <v/>
      </c>
      <c r="M62" s="3">
        <f>(1-(1-Table15[[#This Row],[rpm]]/Table36[idleRpm])^2)*Table7[idleT]</f>
        <v>-82413.71626297578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0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-82413.71626297578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0</v>
      </c>
      <c r="V62" s="3">
        <f>MAX(0,Table7[Nm2Eco]*MIN(Table36[ratedRpm]/MAX(1,Table15[[#This Row],[rpm]]),1-(MAX(0,Table15[[#This Row],[rpm]]-Table36[ratedRpm])/Table36[fadeOut])^Table36[fadeOutExp]))</f>
        <v>0</v>
      </c>
      <c r="W62" s="3">
        <f>IF(Table15[[#This Row],[rpm]]&lt;=0,0,IF(Table15[[#This Row],[rpm]]&lt;=Table36[maxPRpm],Table36[maxPS]/1.36*9550/Table15[[#This Row],[rpm]]*(Table36[maxPSRpmRate]*Table15[[#This Row],[rpm]]/Table36[maxPRpm]+1-Table36[maxPSRpmRate]),MAX(Table36[maxPS],Table36[PS])/1.36*9550/Table15[[#This Row],[rpm]]))</f>
        <v>192.71650326797385</v>
      </c>
      <c r="X62" s="3">
        <f>IF(Table15[[#This Row],[rpm]]&lt;=0,0,IF(Table15[[#This Row],[rpm]]&lt;=Table36[maxPRpm],Table36[maxPSEco]/1.36*9550/Table15[[#This Row],[rpm]]*(Table36[maxPSRpmRate]*Table15[[#This Row],[rpm]]/Table36[maxPRpm]+1-Table36[maxPSRpmRate]),MAX(Table36[maxPSEco],Table36[PSEco])/1.36*9550/Table15[[#This Row],[rpm]]))</f>
        <v>184.91421568627447</v>
      </c>
      <c r="Y62" s="3">
        <f>ABS(Table15[[#This Row],[motor]]-Table15[[#This Row],[motorEco]])</f>
        <v>0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J7:J62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5"/>
  <sheetViews>
    <sheetView workbookViewId="0">
      <selection activeCell="B2" sqref="B2"/>
    </sheetView>
  </sheetViews>
  <sheetFormatPr defaultColWidth="9.28515625" defaultRowHeight="15" x14ac:dyDescent="0.25"/>
  <cols>
    <col min="2" max="3" width="11" customWidth="1"/>
  </cols>
  <sheetData>
    <row r="1" spans="1:12" ht="63" thickBot="1" x14ac:dyDescent="0.3">
      <c r="A1" s="28" t="s">
        <v>18</v>
      </c>
      <c r="B1" s="29" t="s">
        <v>23</v>
      </c>
      <c r="C1" s="29" t="s">
        <v>8</v>
      </c>
      <c r="D1" s="29" t="s">
        <v>10</v>
      </c>
      <c r="E1" s="29" t="s">
        <v>22</v>
      </c>
      <c r="F1" s="29" t="s">
        <v>12</v>
      </c>
      <c r="G1" s="30" t="s">
        <v>13</v>
      </c>
      <c r="H1" s="35" t="s">
        <v>14</v>
      </c>
      <c r="I1" s="35" t="s">
        <v>27</v>
      </c>
      <c r="K1" s="26" t="s">
        <v>19</v>
      </c>
      <c r="L1" s="26" t="s">
        <v>20</v>
      </c>
    </row>
    <row r="2" spans="1:12" x14ac:dyDescent="0.25">
      <c r="A2" s="31">
        <v>1900</v>
      </c>
      <c r="B2" s="32">
        <v>396</v>
      </c>
      <c r="C2" s="33">
        <v>2100</v>
      </c>
      <c r="D2" s="34">
        <v>390</v>
      </c>
      <c r="E2" s="31">
        <v>1450</v>
      </c>
      <c r="F2" s="32">
        <v>1450</v>
      </c>
      <c r="G2" s="32">
        <v>1538</v>
      </c>
      <c r="H2" s="19">
        <v>800</v>
      </c>
      <c r="I2" s="36">
        <v>1.0900000000000001</v>
      </c>
      <c r="K2" s="27">
        <f>Table2[maxPS]/1.36*9550/Table2[maxPRpm]</f>
        <v>1463.5448916408668</v>
      </c>
      <c r="L2" s="27">
        <f>Table2[PS]/1.36*9550/Table2[ratedRpm]</f>
        <v>1304.0966386554621</v>
      </c>
    </row>
    <row r="4" spans="1:12" x14ac:dyDescent="0.25">
      <c r="A4" t="s">
        <v>78</v>
      </c>
      <c r="B4" t="s">
        <v>19</v>
      </c>
      <c r="C4" t="s">
        <v>77</v>
      </c>
    </row>
    <row r="5" spans="1:12" x14ac:dyDescent="0.25">
      <c r="A5">
        <v>0</v>
      </c>
      <c r="B5">
        <v>0</v>
      </c>
      <c r="C5">
        <f>B5*A5/9550</f>
        <v>0</v>
      </c>
    </row>
    <row r="6" spans="1:12" x14ac:dyDescent="0.25">
      <c r="A6">
        <v>1000</v>
      </c>
      <c r="B6">
        <f>Table2[Anfahrmoment]*L2</f>
        <v>1421.4653361344538</v>
      </c>
      <c r="C6">
        <f t="shared" ref="C6:C10" si="0">B6*A6/9550</f>
        <v>148.84453781512605</v>
      </c>
    </row>
    <row r="7" spans="1:12" x14ac:dyDescent="0.25">
      <c r="A7">
        <f>Table2[maxTRpm1]</f>
        <v>1450</v>
      </c>
      <c r="B7">
        <f>Table2[maxT]</f>
        <v>1538</v>
      </c>
      <c r="C7">
        <f t="shared" si="0"/>
        <v>233.51832460732984</v>
      </c>
    </row>
    <row r="8" spans="1:12" x14ac:dyDescent="0.25">
      <c r="A8">
        <f>Table2[maxTRpm]</f>
        <v>1450</v>
      </c>
      <c r="B8">
        <f>Table2[maxT]</f>
        <v>1538</v>
      </c>
      <c r="C8">
        <f t="shared" si="0"/>
        <v>233.51832460732984</v>
      </c>
    </row>
    <row r="9" spans="1:12" x14ac:dyDescent="0.25">
      <c r="A9">
        <f>Table2[maxPRpm]</f>
        <v>1900</v>
      </c>
      <c r="B9">
        <f>K2</f>
        <v>1463.5448916408668</v>
      </c>
      <c r="C9">
        <f t="shared" si="0"/>
        <v>291.17647058823525</v>
      </c>
    </row>
    <row r="10" spans="1:12" x14ac:dyDescent="0.25">
      <c r="A10">
        <f>Table2[ratedRpm]</f>
        <v>2100</v>
      </c>
      <c r="B10">
        <f>L2</f>
        <v>1304.0966386554621</v>
      </c>
      <c r="C10">
        <f t="shared" si="0"/>
        <v>286.76470588235293</v>
      </c>
    </row>
    <row r="11" spans="1:12" x14ac:dyDescent="0.25">
      <c r="A11">
        <f>Table2[ratedRpm]+200</f>
        <v>2300</v>
      </c>
      <c r="B11">
        <v>0</v>
      </c>
      <c r="C11">
        <f>B11*A11/9550</f>
        <v>0</v>
      </c>
    </row>
    <row r="14" spans="1:12" x14ac:dyDescent="0.25">
      <c r="A14" t="s">
        <v>78</v>
      </c>
      <c r="B14" t="s">
        <v>79</v>
      </c>
      <c r="C14" t="s">
        <v>80</v>
      </c>
    </row>
    <row r="15" spans="1:12" x14ac:dyDescent="0.25">
      <c r="A15">
        <v>0</v>
      </c>
    </row>
    <row r="16" spans="1:12" x14ac:dyDescent="0.25">
      <c r="A16">
        <v>50</v>
      </c>
    </row>
    <row r="17" spans="1:1" x14ac:dyDescent="0.25">
      <c r="A17">
        <v>100</v>
      </c>
    </row>
    <row r="18" spans="1:1" x14ac:dyDescent="0.25">
      <c r="A18">
        <v>150</v>
      </c>
    </row>
    <row r="19" spans="1:1" x14ac:dyDescent="0.25">
      <c r="A19">
        <v>200</v>
      </c>
    </row>
    <row r="20" spans="1:1" x14ac:dyDescent="0.25">
      <c r="A20">
        <v>250</v>
      </c>
    </row>
    <row r="21" spans="1:1" x14ac:dyDescent="0.25">
      <c r="A21">
        <v>300</v>
      </c>
    </row>
    <row r="22" spans="1:1" x14ac:dyDescent="0.25">
      <c r="A22">
        <v>350</v>
      </c>
    </row>
    <row r="23" spans="1:1" x14ac:dyDescent="0.25">
      <c r="A23">
        <v>400</v>
      </c>
    </row>
    <row r="24" spans="1:1" x14ac:dyDescent="0.25">
      <c r="A24">
        <v>450</v>
      </c>
    </row>
    <row r="25" spans="1:1" x14ac:dyDescent="0.25">
      <c r="A25">
        <v>500</v>
      </c>
    </row>
    <row r="26" spans="1:1" x14ac:dyDescent="0.25">
      <c r="A26">
        <v>550</v>
      </c>
    </row>
    <row r="27" spans="1:1" x14ac:dyDescent="0.25">
      <c r="A27">
        <v>600</v>
      </c>
    </row>
    <row r="28" spans="1:1" x14ac:dyDescent="0.25">
      <c r="A28">
        <v>650</v>
      </c>
    </row>
    <row r="29" spans="1:1" x14ac:dyDescent="0.25">
      <c r="A29">
        <v>700</v>
      </c>
    </row>
    <row r="30" spans="1:1" x14ac:dyDescent="0.25">
      <c r="A30">
        <v>750</v>
      </c>
    </row>
    <row r="31" spans="1:1" x14ac:dyDescent="0.25">
      <c r="A31">
        <v>800</v>
      </c>
    </row>
    <row r="32" spans="1:1" x14ac:dyDescent="0.25">
      <c r="A32">
        <v>850</v>
      </c>
    </row>
    <row r="33" spans="1:1" x14ac:dyDescent="0.25">
      <c r="A33">
        <v>900</v>
      </c>
    </row>
    <row r="34" spans="1:1" x14ac:dyDescent="0.25">
      <c r="A34">
        <v>950</v>
      </c>
    </row>
    <row r="35" spans="1:1" x14ac:dyDescent="0.25">
      <c r="A35">
        <v>1000</v>
      </c>
    </row>
    <row r="36" spans="1:1" x14ac:dyDescent="0.25">
      <c r="A36">
        <v>1050</v>
      </c>
    </row>
    <row r="37" spans="1:1" x14ac:dyDescent="0.25">
      <c r="A37">
        <v>1100</v>
      </c>
    </row>
    <row r="38" spans="1:1" x14ac:dyDescent="0.25">
      <c r="A38">
        <v>1150</v>
      </c>
    </row>
    <row r="39" spans="1:1" x14ac:dyDescent="0.25">
      <c r="A39">
        <v>1200</v>
      </c>
    </row>
    <row r="40" spans="1:1" x14ac:dyDescent="0.25">
      <c r="A40">
        <v>1250</v>
      </c>
    </row>
    <row r="41" spans="1:1" x14ac:dyDescent="0.25">
      <c r="A41">
        <v>1300</v>
      </c>
    </row>
    <row r="42" spans="1:1" x14ac:dyDescent="0.25">
      <c r="A42">
        <v>1350</v>
      </c>
    </row>
    <row r="43" spans="1:1" x14ac:dyDescent="0.25">
      <c r="A43">
        <v>1400</v>
      </c>
    </row>
    <row r="44" spans="1:1" x14ac:dyDescent="0.25">
      <c r="A44">
        <v>1450</v>
      </c>
    </row>
    <row r="45" spans="1:1" x14ac:dyDescent="0.25">
      <c r="A45">
        <v>1500</v>
      </c>
    </row>
    <row r="46" spans="1:1" x14ac:dyDescent="0.25">
      <c r="A46">
        <v>1550</v>
      </c>
    </row>
    <row r="47" spans="1:1" x14ac:dyDescent="0.25">
      <c r="A47">
        <v>1600</v>
      </c>
    </row>
    <row r="48" spans="1:1" x14ac:dyDescent="0.25">
      <c r="A48">
        <v>1650</v>
      </c>
    </row>
    <row r="49" spans="1:1" x14ac:dyDescent="0.25">
      <c r="A49">
        <v>1700</v>
      </c>
    </row>
    <row r="50" spans="1:1" x14ac:dyDescent="0.25">
      <c r="A50">
        <v>1750</v>
      </c>
    </row>
    <row r="51" spans="1:1" x14ac:dyDescent="0.25">
      <c r="A51">
        <v>1800</v>
      </c>
    </row>
    <row r="52" spans="1:1" x14ac:dyDescent="0.25">
      <c r="A52">
        <v>1850</v>
      </c>
    </row>
    <row r="53" spans="1:1" x14ac:dyDescent="0.25">
      <c r="A53">
        <v>1900</v>
      </c>
    </row>
    <row r="54" spans="1:1" x14ac:dyDescent="0.25">
      <c r="A54">
        <v>1950</v>
      </c>
    </row>
    <row r="55" spans="1:1" x14ac:dyDescent="0.25">
      <c r="A55">
        <v>2000</v>
      </c>
    </row>
    <row r="56" spans="1:1" x14ac:dyDescent="0.25">
      <c r="A56">
        <v>2050</v>
      </c>
    </row>
    <row r="57" spans="1:1" x14ac:dyDescent="0.25">
      <c r="A57">
        <v>2100</v>
      </c>
    </row>
    <row r="58" spans="1:1" x14ac:dyDescent="0.25">
      <c r="A58">
        <v>2150</v>
      </c>
    </row>
    <row r="59" spans="1:1" x14ac:dyDescent="0.25">
      <c r="A59">
        <v>2200</v>
      </c>
    </row>
    <row r="60" spans="1:1" x14ac:dyDescent="0.25">
      <c r="A60">
        <v>2250</v>
      </c>
    </row>
    <row r="61" spans="1:1" x14ac:dyDescent="0.25">
      <c r="A61">
        <v>2300</v>
      </c>
    </row>
    <row r="62" spans="1:1" x14ac:dyDescent="0.25">
      <c r="A62">
        <v>2350</v>
      </c>
    </row>
    <row r="63" spans="1:1" x14ac:dyDescent="0.25">
      <c r="A63">
        <v>2400</v>
      </c>
    </row>
    <row r="64" spans="1:1" x14ac:dyDescent="0.25">
      <c r="A64">
        <v>2450</v>
      </c>
    </row>
    <row r="65" spans="1:1" x14ac:dyDescent="0.25">
      <c r="A65">
        <v>2500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Sheet2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2017-11-29T12:46:07Z</dcterms:modified>
</cp:coreProperties>
</file>