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J2" i="3" l="1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F2" i="3" l="1"/>
  <c r="L4" i="3" l="1"/>
  <c r="K4" i="3"/>
  <c r="T2" i="3" l="1"/>
  <c r="S2" i="3"/>
  <c r="J10" i="3" l="1"/>
  <c r="J18" i="3"/>
  <c r="J7" i="3"/>
  <c r="J11" i="3"/>
  <c r="J15" i="3"/>
  <c r="J19" i="3"/>
  <c r="J23" i="3"/>
  <c r="J12" i="3"/>
  <c r="J20" i="3"/>
  <c r="J8" i="3"/>
  <c r="J16" i="3"/>
  <c r="J24" i="3"/>
  <c r="J9" i="3"/>
  <c r="J13" i="3"/>
  <c r="J17" i="3"/>
  <c r="J21" i="3"/>
  <c r="J25" i="3"/>
  <c r="J14" i="3"/>
  <c r="J22" i="3"/>
  <c r="U2" i="3"/>
  <c r="M4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6" i="3" l="1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J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J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J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F26" i="3" l="1"/>
  <c r="J26" i="3" s="1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H10" i="3" l="1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<sst xmlns="http://schemas.openxmlformats.org/spreadsheetml/2006/main" count="103" uniqueCount="81">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</sst>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0" fontId="5" fillId="3" borderId="2" xfId="0" applyFont="1" applyFill="1" applyBorder="1"/>
    <xf numFmtId="9" fontId="0" fillId="0" borderId="1" xfId="1" applyFont="1" applyBorder="1"/>
    <xf numFmtId="9" fontId="0" fillId="0" borderId="3" xfId="1" applyFont="1" applyBorder="1"/>
    <xf numFmtId="9" fontId="5" fillId="0" borderId="12" xfId="1" applyFont="1" applyBorder="1"/>
    <xf numFmtId="9" fontId="0" fillId="0" borderId="12" xfId="1" applyFont="1" applyBorder="1"/>
    <xf numFmtId="9" fontId="0" fillId="3" borderId="2" xfId="1" applyFont="1" applyFill="1" applyBorder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color theme="0" tint="-0.34998626667073579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496.20320347377231</c:v>
                </c:pt>
                <c:pt idx="2">
                  <c:v>682.89627511160711</c:v>
                </c:pt>
                <c:pt idx="3">
                  <c:v>751.87755102040819</c:v>
                </c:pt>
                <c:pt idx="4">
                  <c:v>780.33163265306121</c:v>
                </c:pt>
                <c:pt idx="5">
                  <c:v>803.61224489795916</c:v>
                </c:pt>
                <c:pt idx="6">
                  <c:v>821.71938775510205</c:v>
                </c:pt>
                <c:pt idx="7">
                  <c:v>834.65306122448976</c:v>
                </c:pt>
                <c:pt idx="8">
                  <c:v>842.41326530612241</c:v>
                </c:pt>
                <c:pt idx="9">
                  <c:v>845</c:v>
                </c:pt>
                <c:pt idx="10">
                  <c:v>831.51942595219907</c:v>
                </c:pt>
                <c:pt idx="11">
                  <c:v>814.66870839244791</c:v>
                </c:pt>
                <c:pt idx="12">
                  <c:v>794.4478473207464</c:v>
                </c:pt>
                <c:pt idx="13">
                  <c:v>783.07361296791441</c:v>
                </c:pt>
                <c:pt idx="14">
                  <c:v>770.85684273709478</c:v>
                </c:pt>
                <c:pt idx="15">
                  <c:v>757.79753662828762</c:v>
                </c:pt>
                <c:pt idx="16">
                  <c:v>743.89569464149292</c:v>
                </c:pt>
                <c:pt idx="17">
                  <c:v>728.61411732098588</c:v>
                </c:pt>
                <c:pt idx="18">
                  <c:v>711.58990641711227</c:v>
                </c:pt>
                <c:pt idx="19">
                  <c:v>695.35751927620925</c:v>
                </c:pt>
                <c:pt idx="20">
                  <c:v>679.8629679144384</c:v>
                </c:pt>
                <c:pt idx="21">
                  <c:v>618.3246522991667</c:v>
                </c:pt>
                <c:pt idx="22">
                  <c:v>397.10712024823454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496.20320347377231</c:v>
                </c:pt>
                <c:pt idx="2">
                  <c:v>682.89627511160711</c:v>
                </c:pt>
                <c:pt idx="3">
                  <c:v>751.87755102040819</c:v>
                </c:pt>
                <c:pt idx="4">
                  <c:v>780.33163265306121</c:v>
                </c:pt>
                <c:pt idx="5">
                  <c:v>803.61224489795916</c:v>
                </c:pt>
                <c:pt idx="6">
                  <c:v>821.71938775510205</c:v>
                </c:pt>
                <c:pt idx="7">
                  <c:v>834.65306122448976</c:v>
                </c:pt>
                <c:pt idx="8">
                  <c:v>842.41326530612241</c:v>
                </c:pt>
                <c:pt idx="9">
                  <c:v>845</c:v>
                </c:pt>
                <c:pt idx="10">
                  <c:v>831.51942595219907</c:v>
                </c:pt>
                <c:pt idx="11">
                  <c:v>814.66870839244791</c:v>
                </c:pt>
                <c:pt idx="12">
                  <c:v>794.4478473207464</c:v>
                </c:pt>
                <c:pt idx="13">
                  <c:v>783.07361296791441</c:v>
                </c:pt>
                <c:pt idx="14">
                  <c:v>770.85684273709478</c:v>
                </c:pt>
                <c:pt idx="15">
                  <c:v>757.79753662828762</c:v>
                </c:pt>
                <c:pt idx="16">
                  <c:v>743.89569464149292</c:v>
                </c:pt>
                <c:pt idx="17">
                  <c:v>728.61411732098588</c:v>
                </c:pt>
                <c:pt idx="18">
                  <c:v>711.58990641711227</c:v>
                </c:pt>
                <c:pt idx="19">
                  <c:v>695.35751927620925</c:v>
                </c:pt>
                <c:pt idx="20">
                  <c:v>679.8629679144384</c:v>
                </c:pt>
                <c:pt idx="21">
                  <c:v>618.3246522991667</c:v>
                </c:pt>
                <c:pt idx="22">
                  <c:v>397.10712024823454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24.732222497750332</c:v>
                </c:pt>
                <c:pt idx="2">
                  <c:v>68.075105121073292</c:v>
                </c:pt>
                <c:pt idx="3">
                  <c:v>96.366295544395769</c:v>
                </c:pt>
                <c:pt idx="4">
                  <c:v>111.12576129928412</c:v>
                </c:pt>
                <c:pt idx="5">
                  <c:v>125.88522705417246</c:v>
                </c:pt>
                <c:pt idx="6">
                  <c:v>140.42366919542687</c:v>
                </c:pt>
                <c:pt idx="7">
                  <c:v>154.5200641094134</c:v>
                </c:pt>
                <c:pt idx="8">
                  <c:v>167.95338818249814</c:v>
                </c:pt>
                <c:pt idx="9">
                  <c:v>180.50261780104714</c:v>
                </c:pt>
                <c:pt idx="10">
                  <c:v>189.4645309813597</c:v>
                </c:pt>
                <c:pt idx="11">
                  <c:v>197.22660249249628</c:v>
                </c:pt>
                <c:pt idx="12">
                  <c:v>203.64485133415573</c:v>
                </c:pt>
                <c:pt idx="13">
                  <c:v>206.30504819133745</c:v>
                </c:pt>
                <c:pt idx="14">
                  <c:v>208.57529650603698</c:v>
                </c:pt>
                <c:pt idx="15">
                  <c:v>210.43759865321664</c:v>
                </c:pt>
                <c:pt idx="16">
                  <c:v>211.87395700783884</c:v>
                </c:pt>
                <c:pt idx="17">
                  <c:v>212.70954545454541</c:v>
                </c:pt>
                <c:pt idx="18">
                  <c:v>212.80636363636364</c:v>
                </c:pt>
                <c:pt idx="19">
                  <c:v>212.90318181818176</c:v>
                </c:pt>
                <c:pt idx="20" formatCode="0">
                  <c:v>212.99999999999997</c:v>
                </c:pt>
                <c:pt idx="21" formatCode="0">
                  <c:v>198.12287288329321</c:v>
                </c:pt>
                <c:pt idx="22" formatCode="0">
                  <c:v>130.06817509282487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24.732222497750332</c:v>
                </c:pt>
                <c:pt idx="2">
                  <c:v>68.075105121073292</c:v>
                </c:pt>
                <c:pt idx="3">
                  <c:v>96.366295544395769</c:v>
                </c:pt>
                <c:pt idx="4">
                  <c:v>111.12576129928412</c:v>
                </c:pt>
                <c:pt idx="5">
                  <c:v>125.88522705417246</c:v>
                </c:pt>
                <c:pt idx="6">
                  <c:v>140.42366919542687</c:v>
                </c:pt>
                <c:pt idx="7">
                  <c:v>154.5200641094134</c:v>
                </c:pt>
                <c:pt idx="8">
                  <c:v>167.95338818249814</c:v>
                </c:pt>
                <c:pt idx="9">
                  <c:v>180.50261780104714</c:v>
                </c:pt>
                <c:pt idx="10">
                  <c:v>189.4645309813597</c:v>
                </c:pt>
                <c:pt idx="11">
                  <c:v>197.22660249249628</c:v>
                </c:pt>
                <c:pt idx="12">
                  <c:v>203.64485133415573</c:v>
                </c:pt>
                <c:pt idx="13">
                  <c:v>206.30504819133745</c:v>
                </c:pt>
                <c:pt idx="14">
                  <c:v>208.57529650603698</c:v>
                </c:pt>
                <c:pt idx="15">
                  <c:v>210.43759865321664</c:v>
                </c:pt>
                <c:pt idx="16">
                  <c:v>211.87395700783884</c:v>
                </c:pt>
                <c:pt idx="17">
                  <c:v>212.70954545454541</c:v>
                </c:pt>
                <c:pt idx="18">
                  <c:v>212.80636363636364</c:v>
                </c:pt>
                <c:pt idx="19">
                  <c:v>212.90318181818176</c:v>
                </c:pt>
                <c:pt idx="20" formatCode="0">
                  <c:v>212.99999999999997</c:v>
                </c:pt>
                <c:pt idx="21" formatCode="0">
                  <c:v>198.12287288329321</c:v>
                </c:pt>
                <c:pt idx="22" formatCode="0">
                  <c:v>130.06817509282487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265.04761904761892</c:v>
                </c:pt>
                <c:pt idx="1">
                  <c:v>240.36011904761898</c:v>
                </c:pt>
                <c:pt idx="2">
                  <c:v>222.96428571428569</c:v>
                </c:pt>
                <c:pt idx="3">
                  <c:v>216.29761904761904</c:v>
                </c:pt>
                <c:pt idx="4">
                  <c:v>213.85714285714286</c:v>
                </c:pt>
                <c:pt idx="5">
                  <c:v>212.01190476190476</c:v>
                </c:pt>
                <c:pt idx="6">
                  <c:v>210.76190476190476</c:v>
                </c:pt>
                <c:pt idx="7">
                  <c:v>210.10714285714286</c:v>
                </c:pt>
                <c:pt idx="8">
                  <c:v>210.05291005291005</c:v>
                </c:pt>
                <c:pt idx="9">
                  <c:v>210.64814814814815</c:v>
                </c:pt>
                <c:pt idx="10">
                  <c:v>211.9047619047619</c:v>
                </c:pt>
                <c:pt idx="11">
                  <c:v>213.82275132275132</c:v>
                </c:pt>
                <c:pt idx="12">
                  <c:v>216.40211640211641</c:v>
                </c:pt>
                <c:pt idx="13">
                  <c:v>217.93981481481481</c:v>
                </c:pt>
                <c:pt idx="14">
                  <c:v>219.64285714285714</c:v>
                </c:pt>
                <c:pt idx="15">
                  <c:v>221.51124338624336</c:v>
                </c:pt>
                <c:pt idx="16">
                  <c:v>223.54497354497354</c:v>
                </c:pt>
                <c:pt idx="17">
                  <c:v>225.74404761904759</c:v>
                </c:pt>
                <c:pt idx="18">
                  <c:v>228.10846560846559</c:v>
                </c:pt>
                <c:pt idx="19">
                  <c:v>230.63822751322749</c:v>
                </c:pt>
                <c:pt idx="20">
                  <c:v>233.33333333333331</c:v>
                </c:pt>
                <c:pt idx="21">
                  <c:v>262.38647582763696</c:v>
                </c:pt>
                <c:pt idx="22">
                  <c:v>417.63381188233183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>
      <calculatedColumnFormula>IF(Table36[fadeOut]&lt;150,2.2,IF(Table36[fadeOut]&lt;200,2,1.7))</calculatedColumnFormula>
    </tableColumn>
    <tableColumn id="22" name="Efficiency" dataDxfId="48" dataCellStyle="Percent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 dataCellStyle="Percent"/>
    <tableColumn id="23" name="NmEcoRate" dataCellStyle="Percent"/>
    <tableColumn id="24" name="maxPsEcoRate" dataDxfId="40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M2" sqref="M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1">
        <v>2200</v>
      </c>
      <c r="B2" s="12">
        <v>213</v>
      </c>
      <c r="C2" s="16">
        <f>Table36[maxPS]*Table36[maxPsEcoRate]</f>
        <v>213</v>
      </c>
      <c r="D2" s="7">
        <v>2200</v>
      </c>
      <c r="E2" s="8">
        <v>213</v>
      </c>
      <c r="F2" s="17">
        <f>Table36[PS]*Table36[PSEcoRate]</f>
        <v>213</v>
      </c>
      <c r="G2" s="11">
        <v>1500</v>
      </c>
      <c r="H2" s="12">
        <v>1500</v>
      </c>
      <c r="I2" s="12">
        <v>845</v>
      </c>
      <c r="J2" s="16">
        <f>Table36[maxT]*Table36[NmEcoRate]</f>
        <v>845</v>
      </c>
      <c r="K2" s="26">
        <v>800</v>
      </c>
      <c r="L2" s="27">
        <v>0.85</v>
      </c>
      <c r="M2" s="28">
        <v>149</v>
      </c>
      <c r="N2" s="11">
        <v>0.5</v>
      </c>
      <c r="O2" s="46">
        <f>IF(Table36[fadeOut]&lt;150,2.2,IF(Table36[fadeOut]&lt;200,2,1.7))</f>
        <v>2.2000000000000002</v>
      </c>
      <c r="P2" s="51">
        <v>0.98</v>
      </c>
      <c r="Q2" s="13">
        <v>1</v>
      </c>
      <c r="R2" s="25">
        <v>210</v>
      </c>
      <c r="S2" s="14">
        <f>Table36[fuelMinRate]/0.9</f>
        <v>233.33333333333331</v>
      </c>
      <c r="T2" s="15">
        <f>ROUND(MIN(0.6*Table36[idleRpm]+0.4*Table36[ratedRpm],0.5*Table36[maxTRpm1]+0.5*Table36[maxTRpm]),-1)</f>
        <v>1360</v>
      </c>
      <c r="U2" s="17">
        <f>0.94*Table36[fuelRatedRate]</f>
        <v>219.33333333333331</v>
      </c>
      <c r="V2" s="14">
        <f>ROUND(Table36[ratedRpm]+0.49*Table36[fadeOut],-2)</f>
        <v>2300</v>
      </c>
      <c r="W2" s="47">
        <v>1</v>
      </c>
      <c r="X2" s="48">
        <v>1</v>
      </c>
      <c r="Y2" s="49">
        <f>Table36[PSEcoRate]* (Table36[maxPRpm]-Table36[maxTRpm])/(Table36[ratedRpm]-Table36[maxTRpm]) + Table36[NmEcoRate]* (1- (Table36[maxPRpm]-Table36[maxTRpm])/(Table36[ratedRpm]-Table36[maxTRpm]))</f>
        <v>1</v>
      </c>
      <c r="Z2" s="50">
        <v>0.02</v>
      </c>
    </row>
    <row r="3" spans="1:26" x14ac:dyDescent="0.25">
      <c r="A3" s="10" t="s">
        <v>16</v>
      </c>
      <c r="B3" s="10" t="s">
        <v>17</v>
      </c>
      <c r="C3" s="10" t="s">
        <v>24</v>
      </c>
      <c r="D3" s="10" t="s">
        <v>26</v>
      </c>
      <c r="E3" s="10" t="s">
        <v>19</v>
      </c>
      <c r="F3" s="10" t="s">
        <v>20</v>
      </c>
      <c r="G3" s="21" t="s">
        <v>27</v>
      </c>
      <c r="H3" s="22" t="s">
        <v>66</v>
      </c>
      <c r="I3" s="22" t="s">
        <v>61</v>
      </c>
      <c r="J3" s="22" t="s">
        <v>62</v>
      </c>
      <c r="K3" s="21" t="s">
        <v>69</v>
      </c>
      <c r="L3" s="22" t="s">
        <v>70</v>
      </c>
      <c r="M3" s="23" t="s">
        <v>71</v>
      </c>
      <c r="N3" s="10" t="s">
        <v>65</v>
      </c>
      <c r="O3" s="10" t="s">
        <v>37</v>
      </c>
      <c r="P3" s="10" t="s">
        <v>38</v>
      </c>
      <c r="Q3" s="10" t="s">
        <v>41</v>
      </c>
      <c r="R3" s="10" t="s">
        <v>39</v>
      </c>
      <c r="S3" s="10" t="s">
        <v>40</v>
      </c>
      <c r="T3" s="10" t="s">
        <v>42</v>
      </c>
      <c r="U3" s="10" t="s">
        <v>48</v>
      </c>
      <c r="V3" s="10" t="s">
        <v>28</v>
      </c>
      <c r="W3" s="34" t="s">
        <v>76</v>
      </c>
    </row>
    <row r="4" spans="1:26" ht="15.75" thickBot="1" x14ac:dyDescent="0.3">
      <c r="A4" s="10">
        <f>(1-Table36[idleRatio])/((Table36[maxTRpm1]-Table36[idleRpm])^2)</f>
        <v>3.0612244897959189E-7</v>
      </c>
      <c r="B4" s="10">
        <f>(Table36[maxT]-Table7[Nm])/Table36[maxT]/(Table36[maxPRpm]-Table36[maxTRpm])</f>
        <v>2.7918348619706103E-4</v>
      </c>
      <c r="C4" s="10">
        <f>(Table36[maxT]-Table7[Nm])/Table36[maxT]/(Table36[maxPRpm]-Table36[maxTRpm])^2</f>
        <v>3.9883355171008714E-7</v>
      </c>
      <c r="D4" s="10">
        <f>(Table36[maxPS]-Table36[PS])/MAX(1,Table36[ratedRpm]-Table36[maxPRpm])^2</f>
        <v>0</v>
      </c>
      <c r="E4" s="10">
        <f>Table36[maxPS]/1.36*9550/Table36[maxPRpm]</f>
        <v>679.8629679144384</v>
      </c>
      <c r="F4" s="10">
        <f>Table36[PS]/1.36*9550/Table36[ratedRpm]</f>
        <v>679.8629679144384</v>
      </c>
      <c r="G4" s="20">
        <f>Table7[Nm1000]/Table7[Nm2]</f>
        <v>1.1477778162367374</v>
      </c>
      <c r="H4" s="33">
        <f>Table36[maxTEco]/Table7[Nm2Eco]-1</f>
        <v>0.24289752476464388</v>
      </c>
      <c r="I4" s="33">
        <f>Table36[maxT]/Table7[Nm2]-1</f>
        <v>0.24289752476464388</v>
      </c>
      <c r="J4" s="33">
        <f>1-Table36[maxTRpm]/Table36[ratedRpm]</f>
        <v>0.31818181818181823</v>
      </c>
      <c r="K4" s="29">
        <f>Table36[maxPS]/1.36</f>
        <v>156.61764705882351</v>
      </c>
      <c r="L4" s="30">
        <f>Table36[PS]/1.36</f>
        <v>156.61764705882351</v>
      </c>
      <c r="M4" s="31">
        <f>Table36[fuelRatedRate]*1.1</f>
        <v>256.66666666666669</v>
      </c>
      <c r="N4" s="10">
        <f>(1-Table7[f1]*(Table36[maxTRpm1]-1000)^2)*Table36[maxTEco]</f>
        <v>780.33163265306121</v>
      </c>
      <c r="O4" s="10">
        <f>Table36[maxPSEco]/1.36*9550/Table36[maxPRpm]</f>
        <v>679.8629679144384</v>
      </c>
      <c r="P4" s="10">
        <f>Table36[PSEco]/1.36*9550/Table36[ratedRpm]</f>
        <v>679.8629679144384</v>
      </c>
      <c r="Q4" s="10">
        <f>(Table36[maxTEco]-Table7[NmEco])/Table36[maxTEco]/(Table36[maxPRpm]-Table36[maxTRpm])</f>
        <v>2.7918348619706103E-4</v>
      </c>
      <c r="R4" s="10">
        <f>(Table36[maxTEco]-Table7[NmEco])/Table36[maxTEco]/(Table36[maxPRpm]-Table36[maxTRpm])^2</f>
        <v>3.9883355171008714E-7</v>
      </c>
      <c r="S4" s="10">
        <f>(Table36[maxPSEco]-Table36[PSEco])/MAX(1,Table36[ratedRpm]-Table36[maxPRpm])^2</f>
        <v>0</v>
      </c>
      <c r="T4" s="10">
        <f>(1-Table7[f1]*(Table36[maxTRpm1]-Table36[idleRpm])^2)*Table36[maxT]</f>
        <v>718.25</v>
      </c>
      <c r="U4" s="10">
        <f>(1-Table7[f1]*(Table36[maxTRpm1]-Table36[idleRpm])^2)*Table36[maxTEco]</f>
        <v>718.25</v>
      </c>
      <c r="V4" s="10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&lt;!-- 2200: 213(213) | 2200: 213(213) | 1500..1500: 845(845) | 85 | 0.5 | 149 | 2.2 | 2300 | 1360: 210 --&gt;</v>
      </c>
      <c r="W4" s="34">
        <f>MAX(Table15[deltaEco])</f>
        <v>0</v>
      </c>
    </row>
    <row r="6" spans="1:26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8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8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4">
        <f>1.36*Table15[[#This Row],[rpm]]*Table15[[#This Row],[motor]]/9550</f>
        <v>0</v>
      </c>
      <c r="I7" s="24">
        <f>1.36*Table15[[#This Row],[rpm]]*Table15[[#This Row],[motorEco]]/9550</f>
        <v>0</v>
      </c>
      <c r="J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265.04761904761892</v>
      </c>
      <c r="K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&lt;!-- 2200: 213(213) | 2200: 213(213) | 1500..1500: 845(845) | 85 | 0.5 | 149 | 2.2 | 2300 | 1360: 210 --&gt;</v>
      </c>
      <c r="L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&lt;!-- 2200: 213(213) | 2200: 213(213) | 1500..1500: 845(845) | 85 | 0.5 | 149 | 2.2 | 2300 | 1360: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262.98469387755091</v>
      </c>
      <c r="O7" s="3">
        <f>MAX(0,(Table36[linearDown]*(1-Table7[f2]*(Table15[[#This Row],[rpm]]-Table36[maxTRpm]))+(1-Table36[linearDown])*(1-Table7[f3]*(Table15[[#This Row],[rpm]]-Table36[maxTRpm])^2))*Table36[maxT])</f>
        <v>642.79138928298585</v>
      </c>
      <c r="P7" s="3">
        <f>MAX(0,(Table36[maxPS]-Table7[f4]*(Table15[[#This Row],[rpm]]-Table36[maxPRpm])^2)/1.36*9550/MAX(1,Table15[[#This Row],[rpm]]))</f>
        <v>1495698.5294117646</v>
      </c>
      <c r="Q7" s="3">
        <f>MAX(0,Table7[Nm2]*MIN(Table36[ratedRpm]/MAX(1,Table15[[#This Row],[rpm]]),1-(MAX(0,Table15[[#This Row],[rpm]]-Table36[ratedRpm])/Table36[fadeOut])^Table36[fadeOutExp]))</f>
        <v>679.8629679144384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262.98469387755091</v>
      </c>
      <c r="T7" s="3">
        <f>MAX(0,(Table36[linearDown]*(1-Table7[f2Eco]*(Table15[[#This Row],[rpm]]-Table36[maxTRpm]))+(1-Table36[linearDown])*(1-Table7[f3Eco]*(Table15[[#This Row],[rpm]]-Table36[maxTRpm])^2))*Table36[maxTEco])</f>
        <v>642.79138928298585</v>
      </c>
      <c r="U7" s="3">
        <f>MAX(0,(Table36[maxPSEco]-Table7[f4Eco]*(Table15[[#This Row],[rpm]]-Table36[maxPRpm])^2)/1.36*9550/MAX(1,Table15[[#This Row],[rpm]]))</f>
        <v>1495698.5294117646</v>
      </c>
      <c r="V7" s="3">
        <f>MAX(0,Table7[Nm2Eco]*MIN(Table36[ratedRpm]/MAX(1,Table15[[#This Row],[rpm]]),1-(MAX(0,Table15[[#This Row],[rpm]]-Table36[ratedRpm])/Table36[fadeOut])^Table36[fadeOutExp]))</f>
        <v>679.8629679144384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496.20320347377231</v>
      </c>
      <c r="C8" s="19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496.20320347377231</v>
      </c>
      <c r="E8" s="19"/>
      <c r="F8" s="3">
        <f>Table36[Factor]*IF(Table15[[#This Row],[manualData]]&gt;0,Table15[[#This Row],[manualData]],Table15[[#This Row],[rawData]])</f>
        <v>496.20320347377231</v>
      </c>
      <c r="G8" s="3">
        <f>Table36[Factor]*IF(Table15[[#This Row],[manDataEco]]&gt;0,Table15[[#This Row],[manDataEco]],Table15[[#This Row],[rawDataEco]])</f>
        <v>496.20320347377231</v>
      </c>
      <c r="H8" s="24">
        <f>1.36*Table15[[#This Row],[rpm]]*Table15[[#This Row],[motor]]/9550</f>
        <v>24.732222497750332</v>
      </c>
      <c r="I8" s="24">
        <f>1.36*Table15[[#This Row],[rpm]]*Table15[[#This Row],[motorEco]]/9550</f>
        <v>24.732222497750332</v>
      </c>
      <c r="J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240.36011904761898</v>
      </c>
      <c r="K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motorTorque="496" fuelUsageRatio="240.4"/&gt;</v>
      </c>
      <c r="L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normRpm="0.152" torque="0.587"/&gt;</v>
      </c>
      <c r="M8" s="3">
        <f>(1-(1-Table15[[#This Row],[rpm]]/Table36[idleRpm])^2)*Table7[idleT]</f>
        <v>490.9912109375</v>
      </c>
      <c r="N8" s="3">
        <f>MAX(0,(1-Table7[f1]*(Table36[maxTRpm1]-Table15[[#This Row],[rpm]])^2)*Table36[maxT])</f>
        <v>502.90433673469386</v>
      </c>
      <c r="O8" s="3">
        <f>MAX(0,(Table36[linearDown]*(1-Table7[f2]*(Table15[[#This Row],[rpm]]-Table36[maxTRpm]))+(1-Table36[linearDown])*(1-Table7[f3]*(Table15[[#This Row],[rpm]]-Table36[maxTRpm])^2))*Table36[maxT])</f>
        <v>757.79753662828762</v>
      </c>
      <c r="P8" s="3">
        <f>MAX(0,(Table36[maxPS]-Table7[f4]*(Table15[[#This Row],[rpm]]-Table36[maxPRpm])^2)/1.36*9550/MAX(1,Table15[[#This Row],[rpm]]))</f>
        <v>4273.4243697478987</v>
      </c>
      <c r="Q8" s="3">
        <f>MAX(0,Table7[Nm2]*MIN(Table36[ratedRpm]/MAX(1,Table15[[#This Row],[rpm]]),1-(MAX(0,Table15[[#This Row],[rpm]]-Table36[ratedRpm])/Table36[fadeOut])^Table36[fadeOutExp]))</f>
        <v>679.8629679144384</v>
      </c>
      <c r="R8" s="3">
        <f>(1-(1-Table15[[#This Row],[rpm]]/Table36[idleRpm])^2)*Table7[idleTEco]</f>
        <v>490.9912109375</v>
      </c>
      <c r="S8" s="3">
        <f>MAX(0,(1-Table7[f1]*(Table36[maxTRpm1]-Table15[[#This Row],[rpm]])^2)*Table36[maxTEco])</f>
        <v>502.90433673469386</v>
      </c>
      <c r="T8" s="3">
        <f>MAX(0,(Table36[linearDown]*(1-Table7[f2Eco]*(Table15[[#This Row],[rpm]]-Table36[maxTRpm]))+(1-Table36[linearDown])*(1-Table7[f3Eco]*(Table15[[#This Row],[rpm]]-Table36[maxTRpm])^2))*Table36[maxTEco])</f>
        <v>757.79753662828762</v>
      </c>
      <c r="U8" s="3">
        <f>MAX(0,(Table36[maxPSEco]-Table7[f4Eco]*(Table15[[#This Row],[rpm]]-Table36[maxPRpm])^2)/1.36*9550/MAX(1,Table15[[#This Row],[rpm]]))</f>
        <v>4273.4243697478987</v>
      </c>
      <c r="V8" s="3">
        <f>MAX(0,Table7[Nm2Eco]*MIN(Table36[ratedRpm]/MAX(1,Table15[[#This Row],[rpm]]),1-(MAX(0,Table15[[#This Row],[rpm]]-Table36[ratedRpm])/Table36[fadeOut])^Table36[fadeOutExp]))</f>
        <v>679.8629679144384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4201.5531417112297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4201.5531417112297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682.89627511160711</v>
      </c>
      <c r="C9" s="19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682.89627511160711</v>
      </c>
      <c r="E9" s="19"/>
      <c r="F9" s="3">
        <f>Table36[Factor]*IF(Table15[[#This Row],[manualData]]&gt;0,Table15[[#This Row],[manualData]],Table15[[#This Row],[rawData]])</f>
        <v>682.89627511160711</v>
      </c>
      <c r="G9" s="3">
        <f>Table36[Factor]*IF(Table15[[#This Row],[manDataEco]]&gt;0,Table15[[#This Row],[manDataEco]],Table15[[#This Row],[rawDataEco]])</f>
        <v>682.89627511160711</v>
      </c>
      <c r="H9" s="24">
        <f>1.36*Table15[[#This Row],[rpm]]*Table15[[#This Row],[motor]]/9550</f>
        <v>68.075105121073292</v>
      </c>
      <c r="I9" s="24">
        <f>1.36*Table15[[#This Row],[rpm]]*Table15[[#This Row],[motorEco]]/9550</f>
        <v>68.075105121073292</v>
      </c>
      <c r="J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222.96428571428569</v>
      </c>
      <c r="K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motorTorque="683" fuelUsageRatio="223"/&gt;</v>
      </c>
      <c r="L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normRpm="0.304" torque="0.808"/&gt;</v>
      </c>
      <c r="M9" s="3">
        <f>(1-(1-Table15[[#This Row],[rpm]]/Table36[idleRpm])^2)*Table7[idleT]</f>
        <v>707.02734375</v>
      </c>
      <c r="N9" s="3">
        <f>MAX(0,(1-Table7[f1]*(Table36[maxTRpm1]-Table15[[#This Row],[rpm]])^2)*Table36[maxT])</f>
        <v>679.44897959183675</v>
      </c>
      <c r="O9" s="3">
        <f>MAX(0,(Table36[linearDown]*(1-Table7[f2]*(Table15[[#This Row],[rpm]]-Table36[maxTRpm]))+(1-Table36[linearDown])*(1-Table7[f3]*(Table15[[#This Row],[rpm]]-Table36[maxTRpm])^2))*Table36[maxT])</f>
        <v>831.51942595219907</v>
      </c>
      <c r="P9" s="3">
        <f>MAX(0,(Table36[maxPS]-Table7[f4]*(Table15[[#This Row],[rpm]]-Table36[maxPRpm])^2)/1.36*9550/MAX(1,Table15[[#This Row],[rpm]]))</f>
        <v>2136.7121848739494</v>
      </c>
      <c r="Q9" s="3">
        <f>MAX(0,Table7[Nm2]*MIN(Table36[ratedRpm]/MAX(1,Table15[[#This Row],[rpm]]),1-(MAX(0,Table15[[#This Row],[rpm]]-Table36[ratedRpm])/Table36[fadeOut])^Table36[fadeOutExp]))</f>
        <v>679.8629679144384</v>
      </c>
      <c r="R9" s="3">
        <f>(1-(1-Table15[[#This Row],[rpm]]/Table36[idleRpm])^2)*Table7[idleTEco]</f>
        <v>707.02734375</v>
      </c>
      <c r="S9" s="3">
        <f>MAX(0,(1-Table7[f1]*(Table36[maxTRpm1]-Table15[[#This Row],[rpm]])^2)*Table36[maxTEco])</f>
        <v>679.44897959183675</v>
      </c>
      <c r="T9" s="3">
        <f>MAX(0,(Table36[linearDown]*(1-Table7[f2Eco]*(Table15[[#This Row],[rpm]]-Table36[maxTRpm]))+(1-Table36[linearDown])*(1-Table7[f3Eco]*(Table15[[#This Row],[rpm]]-Table36[maxTRpm])^2))*Table36[maxTEco])</f>
        <v>831.51942595219907</v>
      </c>
      <c r="U9" s="3">
        <f>MAX(0,(Table36[maxPSEco]-Table7[f4Eco]*(Table15[[#This Row],[rpm]]-Table36[maxPRpm])^2)/1.36*9550/MAX(1,Table15[[#This Row],[rpm]]))</f>
        <v>2136.7121848739494</v>
      </c>
      <c r="V9" s="3">
        <f>MAX(0,Table7[Nm2Eco]*MIN(Table36[ratedRpm]/MAX(1,Table15[[#This Row],[rpm]]),1-(MAX(0,Table15[[#This Row],[rpm]]-Table36[ratedRpm])/Table36[fadeOut])^Table36[fadeOutExp]))</f>
        <v>679.8629679144384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2107.575200534759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2107.575200534759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751.87755102040819</v>
      </c>
      <c r="C10" s="19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751.87755102040819</v>
      </c>
      <c r="E10" s="19"/>
      <c r="F10" s="3">
        <f>Table36[Factor]*IF(Table15[[#This Row],[manualData]]&gt;0,Table15[[#This Row],[manualData]],Table15[[#This Row],[rawData]])</f>
        <v>751.87755102040819</v>
      </c>
      <c r="G10" s="3">
        <f>Table36[Factor]*IF(Table15[[#This Row],[manDataEco]]&gt;0,Table15[[#This Row],[manDataEco]],Table15[[#This Row],[rawDataEco]])</f>
        <v>751.87755102040819</v>
      </c>
      <c r="H10" s="24">
        <f>1.36*Table15[[#This Row],[rpm]]*Table15[[#This Row],[motor]]/9550</f>
        <v>96.366295544395769</v>
      </c>
      <c r="I10" s="24">
        <f>1.36*Table15[[#This Row],[rpm]]*Table15[[#This Row],[motorEco]]/9550</f>
        <v>96.366295544395769</v>
      </c>
      <c r="J1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216.29761904761904</v>
      </c>
      <c r="K1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motorTorque="752" fuelUsageRatio="216.3"/&gt;</v>
      </c>
      <c r="L1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normRpm="0.391" torque="0.89"/&gt;</v>
      </c>
      <c r="M10" s="3">
        <f>(1-(1-Table15[[#This Row],[rpm]]/Table36[idleRpm])^2)*Table7[idleT]</f>
        <v>707.02734375</v>
      </c>
      <c r="N10" s="3">
        <f>MAX(0,(1-Table7[f1]*(Table36[maxTRpm1]-Table15[[#This Row],[rpm]])^2)*Table36[maxT])</f>
        <v>751.87755102040819</v>
      </c>
      <c r="O10" s="3">
        <f>MAX(0,(Table36[linearDown]*(1-Table7[f2]*(Table15[[#This Row],[rpm]]-Table36[maxTRpm]))+(1-Table36[linearDown])*(1-Table7[f3]*(Table15[[#This Row],[rpm]]-Table36[maxTRpm])^2))*Table36[maxT])</f>
        <v>855.1104305358507</v>
      </c>
      <c r="P10" s="3">
        <f>MAX(0,(Table36[maxPS]-Table7[f4]*(Table15[[#This Row],[rpm]]-Table36[maxPRpm])^2)/1.36*9550/MAX(1,Table15[[#This Row],[rpm]]))</f>
        <v>1661.8872549019607</v>
      </c>
      <c r="Q10" s="3">
        <f>MAX(0,Table7[Nm2]*MIN(Table36[ratedRpm]/MAX(1,Table15[[#This Row],[rpm]]),1-(MAX(0,Table15[[#This Row],[rpm]]-Table36[ratedRpm])/Table36[fadeOut])^Table36[fadeOutExp]))</f>
        <v>679.8629679144384</v>
      </c>
      <c r="R10" s="3">
        <f>(1-(1-Table15[[#This Row],[rpm]]/Table36[idleRpm])^2)*Table7[idleTEco]</f>
        <v>707.02734375</v>
      </c>
      <c r="S10" s="3">
        <f>MAX(0,(1-Table7[f1]*(Table36[maxTRpm1]-Table15[[#This Row],[rpm]])^2)*Table36[maxTEco])</f>
        <v>751.87755102040819</v>
      </c>
      <c r="T10" s="3">
        <f>MAX(0,(Table36[linearDown]*(1-Table7[f2Eco]*(Table15[[#This Row],[rpm]]-Table36[maxTRpm]))+(1-Table36[linearDown])*(1-Table7[f3Eco]*(Table15[[#This Row],[rpm]]-Table36[maxTRpm])^2))*Table36[maxTEco])</f>
        <v>855.1104305358507</v>
      </c>
      <c r="U10" s="3">
        <f>MAX(0,(Table36[maxPSEco]-Table7[f4Eco]*(Table15[[#This Row],[rpm]]-Table36[maxPRpm])^2)/1.36*9550/MAX(1,Table15[[#This Row],[rpm]]))</f>
        <v>1661.8872549019607</v>
      </c>
      <c r="V10" s="3">
        <f>MAX(0,Table7[Nm2Eco]*MIN(Table36[ratedRpm]/MAX(1,Table15[[#This Row],[rpm]]),1-(MAX(0,Table15[[#This Row],[rpm]]-Table36[ratedRpm])/Table36[fadeOut])^Table36[fadeOutExp]))</f>
        <v>679.8629679144384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1642.2467691622103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1642.2467691622103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780.33163265306121</v>
      </c>
      <c r="C11" s="19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780.33163265306121</v>
      </c>
      <c r="E11" s="19"/>
      <c r="F11" s="3">
        <f>Table36[Factor]*IF(Table15[[#This Row],[manualData]]&gt;0,Table15[[#This Row],[manualData]],Table15[[#This Row],[rawData]])</f>
        <v>780.33163265306121</v>
      </c>
      <c r="G11" s="3">
        <f>Table36[Factor]*IF(Table15[[#This Row],[manDataEco]]&gt;0,Table15[[#This Row],[manDataEco]],Table15[[#This Row],[rawDataEco]])</f>
        <v>780.33163265306121</v>
      </c>
      <c r="H11" s="24">
        <f>1.36*Table15[[#This Row],[rpm]]*Table15[[#This Row],[motor]]/9550</f>
        <v>111.12576129928412</v>
      </c>
      <c r="I11" s="24">
        <f>1.36*Table15[[#This Row],[rpm]]*Table15[[#This Row],[motorEco]]/9550</f>
        <v>111.12576129928412</v>
      </c>
      <c r="J1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213.85714285714286</v>
      </c>
      <c r="K1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motorTorque="780" fuelUsageRatio="213.9"/&gt;</v>
      </c>
      <c r="L1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normRpm="0.435" torque="0.923"/&gt;</v>
      </c>
      <c r="M11" s="3">
        <f>(1-(1-Table15[[#This Row],[rpm]]/Table36[idleRpm])^2)*Table7[idleT]</f>
        <v>673.359375</v>
      </c>
      <c r="N11" s="3">
        <f>MAX(0,(1-Table7[f1]*(Table36[maxTRpm1]-Table15[[#This Row],[rpm]])^2)*Table36[maxT])</f>
        <v>780.33163265306121</v>
      </c>
      <c r="O11" s="3">
        <f>MAX(0,(Table36[linearDown]*(1-Table7[f2]*(Table15[[#This Row],[rpm]]-Table36[maxTRpm]))+(1-Table36[linearDown])*(1-Table7[f3]*(Table15[[#This Row],[rpm]]-Table36[maxTRpm])^2))*Table36[maxT])</f>
        <v>861.85071755975116</v>
      </c>
      <c r="P11" s="3">
        <f>MAX(0,(Table36[maxPS]-Table7[f4]*(Table15[[#This Row],[rpm]]-Table36[maxPRpm])^2)/1.36*9550/MAX(1,Table15[[#This Row],[rpm]]))</f>
        <v>1495.6985294117646</v>
      </c>
      <c r="Q11" s="3">
        <f>MAX(0,Table7[Nm2]*MIN(Table36[ratedRpm]/MAX(1,Table15[[#This Row],[rpm]]),1-(MAX(0,Table15[[#This Row],[rpm]]-Table36[ratedRpm])/Table36[fadeOut])^Table36[fadeOutExp]))</f>
        <v>679.8629679144384</v>
      </c>
      <c r="R11" s="3">
        <f>(1-(1-Table15[[#This Row],[rpm]]/Table36[idleRpm])^2)*Table7[idleTEco]</f>
        <v>673.359375</v>
      </c>
      <c r="S11" s="3">
        <f>MAX(0,(1-Table7[f1]*(Table36[maxTRpm1]-Table15[[#This Row],[rpm]])^2)*Table36[maxTEco])</f>
        <v>780.33163265306121</v>
      </c>
      <c r="T11" s="3">
        <f>MAX(0,(Table36[linearDown]*(1-Table7[f2Eco]*(Table15[[#This Row],[rpm]]-Table36[maxTRpm]))+(1-Table36[linearDown])*(1-Table7[f3Eco]*(Table15[[#This Row],[rpm]]-Table36[maxTRpm])^2))*Table36[maxTEco])</f>
        <v>861.85071755975116</v>
      </c>
      <c r="U11" s="3">
        <f>MAX(0,(Table36[maxPSEco]-Table7[f4Eco]*(Table15[[#This Row],[rpm]]-Table36[maxPRpm])^2)/1.36*9550/MAX(1,Table15[[#This Row],[rpm]]))</f>
        <v>1495.6985294117646</v>
      </c>
      <c r="V11" s="3">
        <f>MAX(0,Table7[Nm2Eco]*MIN(Table36[ratedRpm]/MAX(1,Table15[[#This Row],[rpm]]),1-(MAX(0,Table15[[#This Row],[rpm]]-Table36[ratedRpm])/Table36[fadeOut])^Table36[fadeOutExp]))</f>
        <v>679.8629679144384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1479.3818181818181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1479.3818181818181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803.61224489795916</v>
      </c>
      <c r="C12" s="19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803.61224489795916</v>
      </c>
      <c r="E12" s="19"/>
      <c r="F12" s="3">
        <f>Table36[Factor]*IF(Table15[[#This Row],[manualData]]&gt;0,Table15[[#This Row],[manualData]],Table15[[#This Row],[rawData]])</f>
        <v>803.61224489795916</v>
      </c>
      <c r="G12" s="3">
        <f>Table36[Factor]*IF(Table15[[#This Row],[manDataEco]]&gt;0,Table15[[#This Row],[manDataEco]],Table15[[#This Row],[rawDataEco]])</f>
        <v>803.61224489795916</v>
      </c>
      <c r="H12" s="24">
        <f>1.36*Table15[[#This Row],[rpm]]*Table15[[#This Row],[motor]]/9550</f>
        <v>125.88522705417246</v>
      </c>
      <c r="I12" s="24">
        <f>1.36*Table15[[#This Row],[rpm]]*Table15[[#This Row],[motorEco]]/9550</f>
        <v>125.88522705417246</v>
      </c>
      <c r="J1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212.01190476190476</v>
      </c>
      <c r="K1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motorTorque="804" fuelUsageRatio="212"/&gt;</v>
      </c>
      <c r="L1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normRpm="0.478" torque="0.951"/&gt;</v>
      </c>
      <c r="M12" s="3">
        <f>(1-(1-Table15[[#This Row],[rpm]]/Table36[idleRpm])^2)*Table7[idleT]</f>
        <v>617.24609375</v>
      </c>
      <c r="N12" s="3">
        <f>MAX(0,(1-Table7[f1]*(Table36[maxTRpm1]-Table15[[#This Row],[rpm]])^2)*Table36[maxT])</f>
        <v>803.61224489795916</v>
      </c>
      <c r="O12" s="3">
        <f>MAX(0,(Table36[linearDown]*(1-Table7[f2]*(Table15[[#This Row],[rpm]]-Table36[maxTRpm]))+(1-Table36[linearDown])*(1-Table7[f3]*(Table15[[#This Row],[rpm]]-Table36[maxTRpm])^2))*Table36[maxT])</f>
        <v>865.22086107170139</v>
      </c>
      <c r="P12" s="3">
        <f>MAX(0,(Table36[maxPS]-Table7[f4]*(Table15[[#This Row],[rpm]]-Table36[maxPRpm])^2)/1.36*9550/MAX(1,Table15[[#This Row],[rpm]]))</f>
        <v>1359.7259358288768</v>
      </c>
      <c r="Q12" s="3">
        <f>MAX(0,Table7[Nm2]*MIN(Table36[ratedRpm]/MAX(1,Table15[[#This Row],[rpm]]),1-(MAX(0,Table15[[#This Row],[rpm]]-Table36[ratedRpm])/Table36[fadeOut])^Table36[fadeOutExp]))</f>
        <v>679.8629679144384</v>
      </c>
      <c r="R12" s="3">
        <f>(1-(1-Table15[[#This Row],[rpm]]/Table36[idleRpm])^2)*Table7[idleTEco]</f>
        <v>617.24609375</v>
      </c>
      <c r="S12" s="3">
        <f>MAX(0,(1-Table7[f1]*(Table36[maxTRpm1]-Table15[[#This Row],[rpm]])^2)*Table36[maxTEco])</f>
        <v>803.61224489795916</v>
      </c>
      <c r="T12" s="3">
        <f>MAX(0,(Table36[linearDown]*(1-Table7[f2Eco]*(Table15[[#This Row],[rpm]]-Table36[maxTRpm]))+(1-Table36[linearDown])*(1-Table7[f3Eco]*(Table15[[#This Row],[rpm]]-Table36[maxTRpm])^2))*Table36[maxTEco])</f>
        <v>865.22086107170139</v>
      </c>
      <c r="U12" s="3">
        <f>MAX(0,(Table36[maxPSEco]-Table7[f4Eco]*(Table15[[#This Row],[rpm]]-Table36[maxPRpm])^2)/1.36*9550/MAX(1,Table15[[#This Row],[rpm]]))</f>
        <v>1359.7259358288768</v>
      </c>
      <c r="V12" s="3">
        <f>MAX(0,Table7[Nm2Eco]*MIN(Table36[ratedRpm]/MAX(1,Table15[[#This Row],[rpm]]),1-(MAX(0,Table15[[#This Row],[rpm]]-Table36[ratedRpm])/Table36[fadeOut])^Table36[fadeOutExp]))</f>
        <v>679.8629679144384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1346.1286764705881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1346.1286764705881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821.71938775510205</v>
      </c>
      <c r="C13" s="19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821.71938775510205</v>
      </c>
      <c r="E13" s="19"/>
      <c r="F13" s="3">
        <f>Table36[Factor]*IF(Table15[[#This Row],[manualData]]&gt;0,Table15[[#This Row],[manualData]],Table15[[#This Row],[rawData]])</f>
        <v>821.71938775510205</v>
      </c>
      <c r="G13" s="3">
        <f>Table36[Factor]*IF(Table15[[#This Row],[manDataEco]]&gt;0,Table15[[#This Row],[manDataEco]],Table15[[#This Row],[rawDataEco]])</f>
        <v>821.71938775510205</v>
      </c>
      <c r="H13" s="24">
        <f>1.36*Table15[[#This Row],[rpm]]*Table15[[#This Row],[motor]]/9550</f>
        <v>140.42366919542687</v>
      </c>
      <c r="I13" s="24">
        <f>1.36*Table15[[#This Row],[rpm]]*Table15[[#This Row],[motorEco]]/9550</f>
        <v>140.42366919542687</v>
      </c>
      <c r="J1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210.76190476190476</v>
      </c>
      <c r="K1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motorTorque="822" fuelUsageRatio="210.8"/&gt;</v>
      </c>
      <c r="L1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normRpm="0.522" torque="0.972"/&gt;</v>
      </c>
      <c r="M13" s="3">
        <f>(1-(1-Table15[[#This Row],[rpm]]/Table36[idleRpm])^2)*Table7[idleT]</f>
        <v>538.6875</v>
      </c>
      <c r="N13" s="3">
        <f>MAX(0,(1-Table7[f1]*(Table36[maxTRpm1]-Table15[[#This Row],[rpm]])^2)*Table36[maxT])</f>
        <v>821.71938775510205</v>
      </c>
      <c r="O13" s="3">
        <f>MAX(0,(Table36[linearDown]*(1-Table7[f2]*(Table15[[#This Row],[rpm]]-Table36[maxTRpm]))+(1-Table36[linearDown])*(1-Table7[f3]*(Table15[[#This Row],[rpm]]-Table36[maxTRpm])^2))*Table36[maxT])</f>
        <v>865.22086107170139</v>
      </c>
      <c r="P13" s="3">
        <f>MAX(0,(Table36[maxPS]-Table7[f4]*(Table15[[#This Row],[rpm]]-Table36[maxPRpm])^2)/1.36*9550/MAX(1,Table15[[#This Row],[rpm]]))</f>
        <v>1246.4154411764705</v>
      </c>
      <c r="Q13" s="3">
        <f>MAX(0,Table7[Nm2]*MIN(Table36[ratedRpm]/MAX(1,Table15[[#This Row],[rpm]]),1-(MAX(0,Table15[[#This Row],[rpm]]-Table36[ratedRpm])/Table36[fadeOut])^Table36[fadeOutExp]))</f>
        <v>679.8629679144384</v>
      </c>
      <c r="R13" s="3">
        <f>(1-(1-Table15[[#This Row],[rpm]]/Table36[idleRpm])^2)*Table7[idleTEco]</f>
        <v>538.6875</v>
      </c>
      <c r="S13" s="3">
        <f>MAX(0,(1-Table7[f1]*(Table36[maxTRpm1]-Table15[[#This Row],[rpm]])^2)*Table36[maxTEco])</f>
        <v>821.71938775510205</v>
      </c>
      <c r="T13" s="3">
        <f>MAX(0,(Table36[linearDown]*(1-Table7[f2Eco]*(Table15[[#This Row],[rpm]]-Table36[maxTRpm]))+(1-Table36[linearDown])*(1-Table7[f3Eco]*(Table15[[#This Row],[rpm]]-Table36[maxTRpm])^2))*Table36[maxTEco])</f>
        <v>865.22086107170139</v>
      </c>
      <c r="U13" s="3">
        <f>MAX(0,(Table36[maxPSEco]-Table7[f4Eco]*(Table15[[#This Row],[rpm]]-Table36[maxPRpm])^2)/1.36*9550/MAX(1,Table15[[#This Row],[rpm]]))</f>
        <v>1246.4154411764705</v>
      </c>
      <c r="V13" s="3">
        <f>MAX(0,Table7[Nm2Eco]*MIN(Table36[ratedRpm]/MAX(1,Table15[[#This Row],[rpm]]),1-(MAX(0,Table15[[#This Row],[rpm]]-Table36[ratedRpm])/Table36[fadeOut])^Table36[fadeOutExp]))</f>
        <v>679.8629679144384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1235.08439171123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1235.08439171123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834.65306122448976</v>
      </c>
      <c r="C14" s="19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834.65306122448976</v>
      </c>
      <c r="E14" s="19"/>
      <c r="F14" s="3">
        <f>Table36[Factor]*IF(Table15[[#This Row],[manualData]]&gt;0,Table15[[#This Row],[manualData]],Table15[[#This Row],[rawData]])</f>
        <v>834.65306122448976</v>
      </c>
      <c r="G14" s="3">
        <f>Table36[Factor]*IF(Table15[[#This Row],[manDataEco]]&gt;0,Table15[[#This Row],[manDataEco]],Table15[[#This Row],[rawDataEco]])</f>
        <v>834.65306122448976</v>
      </c>
      <c r="H14" s="24">
        <f>1.36*Table15[[#This Row],[rpm]]*Table15[[#This Row],[motor]]/9550</f>
        <v>154.5200641094134</v>
      </c>
      <c r="I14" s="24">
        <f>1.36*Table15[[#This Row],[rpm]]*Table15[[#This Row],[motorEco]]/9550</f>
        <v>154.5200641094134</v>
      </c>
      <c r="J1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210.10714285714286</v>
      </c>
      <c r="K1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motorTorque="835" fuelUsageRatio="210.1"/&gt;</v>
      </c>
      <c r="L1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normRpm="0.565" torque="0.988"/&gt;</v>
      </c>
      <c r="M14" s="3">
        <f>(1-(1-Table15[[#This Row],[rpm]]/Table36[idleRpm])^2)*Table7[idleT]</f>
        <v>437.68359375</v>
      </c>
      <c r="N14" s="3">
        <f>MAX(0,(1-Table7[f1]*(Table36[maxTRpm1]-Table15[[#This Row],[rpm]])^2)*Table36[maxT])</f>
        <v>834.65306122448976</v>
      </c>
      <c r="O14" s="3">
        <f>MAX(0,(Table36[linearDown]*(1-Table7[f2]*(Table15[[#This Row],[rpm]]-Table36[maxTRpm]))+(1-Table36[linearDown])*(1-Table7[f3]*(Table15[[#This Row],[rpm]]-Table36[maxTRpm])^2))*Table36[maxT])</f>
        <v>861.85071755975116</v>
      </c>
      <c r="P14" s="3">
        <f>MAX(0,(Table36[maxPS]-Table7[f4]*(Table15[[#This Row],[rpm]]-Table36[maxPRpm])^2)/1.36*9550/MAX(1,Table15[[#This Row],[rpm]]))</f>
        <v>1150.5373303167421</v>
      </c>
      <c r="Q14" s="3">
        <f>MAX(0,Table7[Nm2]*MIN(Table36[ratedRpm]/MAX(1,Table15[[#This Row],[rpm]]),1-(MAX(0,Table15[[#This Row],[rpm]]-Table36[ratedRpm])/Table36[fadeOut])^Table36[fadeOutExp]))</f>
        <v>679.8629679144384</v>
      </c>
      <c r="R14" s="3">
        <f>(1-(1-Table15[[#This Row],[rpm]]/Table36[idleRpm])^2)*Table7[idleTEco]</f>
        <v>437.68359375</v>
      </c>
      <c r="S14" s="3">
        <f>MAX(0,(1-Table7[f1]*(Table36[maxTRpm1]-Table15[[#This Row],[rpm]])^2)*Table36[maxTEco])</f>
        <v>834.65306122448976</v>
      </c>
      <c r="T14" s="3">
        <f>MAX(0,(Table36[linearDown]*(1-Table7[f2Eco]*(Table15[[#This Row],[rpm]]-Table36[maxTRpm]))+(1-Table36[linearDown])*(1-Table7[f3Eco]*(Table15[[#This Row],[rpm]]-Table36[maxTRpm])^2))*Table36[maxTEco])</f>
        <v>861.85071755975116</v>
      </c>
      <c r="U14" s="3">
        <f>MAX(0,(Table36[maxPSEco]-Table7[f4Eco]*(Table15[[#This Row],[rpm]]-Table36[maxPRpm])^2)/1.36*9550/MAX(1,Table15[[#This Row],[rpm]]))</f>
        <v>1150.5373303167421</v>
      </c>
      <c r="V14" s="3">
        <f>MAX(0,Table7[Nm2Eco]*MIN(Table36[ratedRpm]/MAX(1,Table15[[#This Row],[rpm]]),1-(MAX(0,Table15[[#This Row],[rpm]]-Table36[ratedRpm])/Table36[fadeOut])^Table36[fadeOutExp]))</f>
        <v>679.8629679144384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1141.1238430686958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1141.1238430686958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842.41326530612241</v>
      </c>
      <c r="C15" s="19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842.41326530612241</v>
      </c>
      <c r="E15" s="19"/>
      <c r="F15" s="3">
        <f>Table36[Factor]*IF(Table15[[#This Row],[manualData]]&gt;0,Table15[[#This Row],[manualData]],Table15[[#This Row],[rawData]])</f>
        <v>842.41326530612241</v>
      </c>
      <c r="G15" s="3">
        <f>Table36[Factor]*IF(Table15[[#This Row],[manDataEco]]&gt;0,Table15[[#This Row],[manDataEco]],Table15[[#This Row],[rawDataEco]])</f>
        <v>842.41326530612241</v>
      </c>
      <c r="H15" s="24">
        <f>1.36*Table15[[#This Row],[rpm]]*Table15[[#This Row],[motor]]/9550</f>
        <v>167.95338818249814</v>
      </c>
      <c r="I15" s="24">
        <f>1.36*Table15[[#This Row],[rpm]]*Table15[[#This Row],[motorEco]]/9550</f>
        <v>167.95338818249814</v>
      </c>
      <c r="J1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210.05291005291005</v>
      </c>
      <c r="K1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motorTorque="842" fuelUsageRatio="210.1"/&gt;</v>
      </c>
      <c r="L1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normRpm="0.609" torque="0.997"/&gt;</v>
      </c>
      <c r="M15" s="3">
        <f>(1-(1-Table15[[#This Row],[rpm]]/Table36[idleRpm])^2)*Table7[idleT]</f>
        <v>314.234375</v>
      </c>
      <c r="N15" s="3">
        <f>MAX(0,(1-Table7[f1]*(Table36[maxTRpm1]-Table15[[#This Row],[rpm]])^2)*Table36[maxT])</f>
        <v>842.41326530612241</v>
      </c>
      <c r="O15" s="3">
        <f>MAX(0,(Table36[linearDown]*(1-Table7[f2]*(Table15[[#This Row],[rpm]]-Table36[maxTRpm]))+(1-Table36[linearDown])*(1-Table7[f3]*(Table15[[#This Row],[rpm]]-Table36[maxTRpm])^2))*Table36[maxT])</f>
        <v>855.1104305358507</v>
      </c>
      <c r="P15" s="3">
        <f>MAX(0,(Table36[maxPS]-Table7[f4]*(Table15[[#This Row],[rpm]]-Table36[maxPRpm])^2)/1.36*9550/MAX(1,Table15[[#This Row],[rpm]]))</f>
        <v>1068.3560924369747</v>
      </c>
      <c r="Q15" s="3">
        <f>MAX(0,Table7[Nm2]*MIN(Table36[ratedRpm]/MAX(1,Table15[[#This Row],[rpm]]),1-(MAX(0,Table15[[#This Row],[rpm]]-Table36[ratedRpm])/Table36[fadeOut])^Table36[fadeOutExp]))</f>
        <v>679.8629679144384</v>
      </c>
      <c r="R15" s="3">
        <f>(1-(1-Table15[[#This Row],[rpm]]/Table36[idleRpm])^2)*Table7[idleTEco]</f>
        <v>314.234375</v>
      </c>
      <c r="S15" s="3">
        <f>MAX(0,(1-Table7[f1]*(Table36[maxTRpm1]-Table15[[#This Row],[rpm]])^2)*Table36[maxTEco])</f>
        <v>842.41326530612241</v>
      </c>
      <c r="T15" s="3">
        <f>MAX(0,(Table36[linearDown]*(1-Table7[f2Eco]*(Table15[[#This Row],[rpm]]-Table36[maxTRpm]))+(1-Table36[linearDown])*(1-Table7[f3Eco]*(Table15[[#This Row],[rpm]]-Table36[maxTRpm])^2))*Table36[maxTEco])</f>
        <v>855.1104305358507</v>
      </c>
      <c r="U15" s="3">
        <f>MAX(0,(Table36[maxPSEco]-Table7[f4Eco]*(Table15[[#This Row],[rpm]]-Table36[maxPRpm])^2)/1.36*9550/MAX(1,Table15[[#This Row],[rpm]]))</f>
        <v>1068.3560924369747</v>
      </c>
      <c r="V15" s="3">
        <f>MAX(0,Table7[Nm2Eco]*MIN(Table36[ratedRpm]/MAX(1,Table15[[#This Row],[rpm]]),1-(MAX(0,Table15[[#This Row],[rpm]]-Table36[ratedRpm])/Table36[fadeOut])^Table36[fadeOutExp]))</f>
        <v>679.8629679144384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1060.5862299465239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1060.5862299465239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845</v>
      </c>
      <c r="C16" s="19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845</v>
      </c>
      <c r="E16" s="19"/>
      <c r="F16" s="3">
        <f>Table36[Factor]*IF(Table15[[#This Row],[manualData]]&gt;0,Table15[[#This Row],[manualData]],Table15[[#This Row],[rawData]])</f>
        <v>845</v>
      </c>
      <c r="G16" s="3">
        <f>Table36[Factor]*IF(Table15[[#This Row],[manDataEco]]&gt;0,Table15[[#This Row],[manDataEco]],Table15[[#This Row],[rawDataEco]])</f>
        <v>845</v>
      </c>
      <c r="H16" s="24">
        <f>1.36*Table15[[#This Row],[rpm]]*Table15[[#This Row],[motor]]/9550</f>
        <v>180.50261780104714</v>
      </c>
      <c r="I16" s="24">
        <f>1.36*Table15[[#This Row],[rpm]]*Table15[[#This Row],[motorEco]]/9550</f>
        <v>180.50261780104714</v>
      </c>
      <c r="J1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210.64814814814815</v>
      </c>
      <c r="K1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motorTorque="845" fuelUsageRatio="210.6"/&gt;</v>
      </c>
      <c r="L1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normRpm="0.652" torque="1"/&gt;</v>
      </c>
      <c r="M16" s="3">
        <f>(1-(1-Table15[[#This Row],[rpm]]/Table36[idleRpm])^2)*Table7[idleT]</f>
        <v>168.33984375</v>
      </c>
      <c r="N16" s="3">
        <f>MAX(0,(1-Table7[f1]*(Table36[maxTRpm1]-Table15[[#This Row],[rpm]])^2)*Table36[maxT])</f>
        <v>845</v>
      </c>
      <c r="O16" s="3">
        <f>MAX(0,(Table36[linearDown]*(1-Table7[f2]*(Table15[[#This Row],[rpm]]-Table36[maxTRpm]))+(1-Table36[linearDown])*(1-Table7[f3]*(Table15[[#This Row],[rpm]]-Table36[maxTRpm])^2))*Table36[maxT])</f>
        <v>845</v>
      </c>
      <c r="P16" s="3">
        <f>MAX(0,(Table36[maxPS]-Table7[f4]*(Table15[[#This Row],[rpm]]-Table36[maxPRpm])^2)/1.36*9550/MAX(1,Table15[[#This Row],[rpm]]))</f>
        <v>997.13235294117635</v>
      </c>
      <c r="Q16" s="3">
        <f>MAX(0,Table7[Nm2]*MIN(Table36[ratedRpm]/MAX(1,Table15[[#This Row],[rpm]]),1-(MAX(0,Table15[[#This Row],[rpm]]-Table36[ratedRpm])/Table36[fadeOut])^Table36[fadeOutExp]))</f>
        <v>679.8629679144384</v>
      </c>
      <c r="R16" s="3">
        <f>(1-(1-Table15[[#This Row],[rpm]]/Table36[idleRpm])^2)*Table7[idleTEco]</f>
        <v>168.33984375</v>
      </c>
      <c r="S16" s="3">
        <f>MAX(0,(1-Table7[f1]*(Table36[maxTRpm1]-Table15[[#This Row],[rpm]])^2)*Table36[maxTEco])</f>
        <v>845</v>
      </c>
      <c r="T16" s="3">
        <f>MAX(0,(Table36[linearDown]*(1-Table7[f2Eco]*(Table15[[#This Row],[rpm]]-Table36[maxTRpm]))+(1-Table36[linearDown])*(1-Table7[f3Eco]*(Table15[[#This Row],[rpm]]-Table36[maxTRpm])^2))*Table36[maxTEco])</f>
        <v>845</v>
      </c>
      <c r="U16" s="3">
        <f>MAX(0,(Table36[maxPSEco]-Table7[f4Eco]*(Table15[[#This Row],[rpm]]-Table36[maxPRpm])^2)/1.36*9550/MAX(1,Table15[[#This Row],[rpm]]))</f>
        <v>997.13235294117635</v>
      </c>
      <c r="V16" s="3">
        <f>MAX(0,Table7[Nm2Eco]*MIN(Table36[ratedRpm]/MAX(1,Table15[[#This Row],[rpm]]),1-(MAX(0,Table15[[#This Row],[rpm]]-Table36[ratedRpm])/Table36[fadeOut])^Table36[fadeOutExp]))</f>
        <v>679.8629679144384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990.78696524064162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990.78696524064162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831.51942595219907</v>
      </c>
      <c r="C17" s="19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831.51942595219907</v>
      </c>
      <c r="E17" s="19"/>
      <c r="F17" s="3">
        <f>Table36[Factor]*IF(Table15[[#This Row],[manualData]]&gt;0,Table15[[#This Row],[manualData]],Table15[[#This Row],[rawData]])</f>
        <v>831.51942595219907</v>
      </c>
      <c r="G17" s="3">
        <f>Table36[Factor]*IF(Table15[[#This Row],[manDataEco]]&gt;0,Table15[[#This Row],[manDataEco]],Table15[[#This Row],[rawDataEco]])</f>
        <v>831.51942595219907</v>
      </c>
      <c r="H17" s="24">
        <f>1.36*Table15[[#This Row],[rpm]]*Table15[[#This Row],[motor]]/9550</f>
        <v>189.4645309813597</v>
      </c>
      <c r="I17" s="24">
        <f>1.36*Table15[[#This Row],[rpm]]*Table15[[#This Row],[motorEco]]/9550</f>
        <v>189.4645309813597</v>
      </c>
      <c r="J1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211.9047619047619</v>
      </c>
      <c r="K1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motorTorque="832" fuelUsageRatio="211.9"/&gt;</v>
      </c>
      <c r="L1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normRpm="0.696" torque="0.984"/&gt;</v>
      </c>
      <c r="M17" s="3">
        <f>(1-(1-Table15[[#This Row],[rpm]]/Table36[idleRpm])^2)*Table7[idleT]</f>
        <v>0</v>
      </c>
      <c r="N17" s="3">
        <f>MAX(0,(1-Table7[f1]*(Table36[maxTRpm1]-Table15[[#This Row],[rpm]])^2)*Table36[maxT])</f>
        <v>842.41326530612241</v>
      </c>
      <c r="O17" s="3">
        <f>MAX(0,(Table36[linearDown]*(1-Table7[f2]*(Table15[[#This Row],[rpm]]-Table36[maxTRpm]))+(1-Table36[linearDown])*(1-Table7[f3]*(Table15[[#This Row],[rpm]]-Table36[maxTRpm])^2))*Table36[maxT])</f>
        <v>831.51942595219907</v>
      </c>
      <c r="P17" s="3">
        <f>MAX(0,(Table36[maxPS]-Table7[f4]*(Table15[[#This Row],[rpm]]-Table36[maxPRpm])^2)/1.36*9550/MAX(1,Table15[[#This Row],[rpm]]))</f>
        <v>934.81158088235281</v>
      </c>
      <c r="Q17" s="3">
        <f>MAX(0,Table7[Nm2]*MIN(Table36[ratedRpm]/MAX(1,Table15[[#This Row],[rpm]]),1-(MAX(0,Table15[[#This Row],[rpm]]-Table36[ratedRpm])/Table36[fadeOut])^Table36[fadeOutExp]))</f>
        <v>679.8629679144384</v>
      </c>
      <c r="R17" s="3">
        <f>(1-(1-Table15[[#This Row],[rpm]]/Table36[idleRpm])^2)*Table7[idleTEco]</f>
        <v>0</v>
      </c>
      <c r="S17" s="3">
        <f>MAX(0,(1-Table7[f1]*(Table36[maxTRpm1]-Table15[[#This Row],[rpm]])^2)*Table36[maxTEco])</f>
        <v>842.41326530612241</v>
      </c>
      <c r="T17" s="3">
        <f>MAX(0,(Table36[linearDown]*(1-Table7[f2Eco]*(Table15[[#This Row],[rpm]]-Table36[maxTRpm]))+(1-Table36[linearDown])*(1-Table7[f3Eco]*(Table15[[#This Row],[rpm]]-Table36[maxTRpm])^2))*Table36[maxTEco])</f>
        <v>831.51942595219907</v>
      </c>
      <c r="U17" s="3">
        <f>MAX(0,(Table36[maxPSEco]-Table7[f4Eco]*(Table15[[#This Row],[rpm]]-Table36[maxPRpm])^2)/1.36*9550/MAX(1,Table15[[#This Row],[rpm]]))</f>
        <v>934.81158088235281</v>
      </c>
      <c r="V17" s="3">
        <f>MAX(0,Table7[Nm2Eco]*MIN(Table36[ratedRpm]/MAX(1,Table15[[#This Row],[rpm]]),1-(MAX(0,Table15[[#This Row],[rpm]]-Table36[ratedRpm])/Table36[fadeOut])^Table36[fadeOutExp]))</f>
        <v>679.8629679144384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929.71260862299459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929.71260862299459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814.66870839244791</v>
      </c>
      <c r="C18" s="19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814.66870839244791</v>
      </c>
      <c r="E18" s="19"/>
      <c r="F18" s="3">
        <f>Table36[Factor]*IF(Table15[[#This Row],[manualData]]&gt;0,Table15[[#This Row],[manualData]],Table15[[#This Row],[rawData]])</f>
        <v>814.66870839244791</v>
      </c>
      <c r="G18" s="3">
        <f>Table36[Factor]*IF(Table15[[#This Row],[manDataEco]]&gt;0,Table15[[#This Row],[manDataEco]],Table15[[#This Row],[rawDataEco]])</f>
        <v>814.66870839244791</v>
      </c>
      <c r="H18" s="24">
        <f>1.36*Table15[[#This Row],[rpm]]*Table15[[#This Row],[motor]]/9550</f>
        <v>197.22660249249628</v>
      </c>
      <c r="I18" s="24">
        <f>1.36*Table15[[#This Row],[rpm]]*Table15[[#This Row],[motorEco]]/9550</f>
        <v>197.22660249249628</v>
      </c>
      <c r="J1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213.82275132275132</v>
      </c>
      <c r="K1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motorTorque="815" fuelUsageRatio="213.8"/&gt;</v>
      </c>
      <c r="L1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normRpm="0.739" torque="0.964"/&gt;</v>
      </c>
      <c r="M18" s="3">
        <f>(1-(1-Table15[[#This Row],[rpm]]/Table36[idleRpm])^2)*Table7[idleT]</f>
        <v>-190.78515625</v>
      </c>
      <c r="N18" s="3">
        <f>MAX(0,(1-Table7[f1]*(Table36[maxTRpm1]-Table15[[#This Row],[rpm]])^2)*Table36[maxT])</f>
        <v>834.65306122448976</v>
      </c>
      <c r="O18" s="3">
        <f>MAX(0,(Table36[linearDown]*(1-Table7[f2]*(Table15[[#This Row],[rpm]]-Table36[maxTRpm]))+(1-Table36[linearDown])*(1-Table7[f3]*(Table15[[#This Row],[rpm]]-Table36[maxTRpm])^2))*Table36[maxT])</f>
        <v>814.66870839244791</v>
      </c>
      <c r="P18" s="3">
        <f>MAX(0,(Table36[maxPS]-Table7[f4]*(Table15[[#This Row],[rpm]]-Table36[maxPRpm])^2)/1.36*9550/MAX(1,Table15[[#This Row],[rpm]]))</f>
        <v>879.82266435986151</v>
      </c>
      <c r="Q18" s="3">
        <f>MAX(0,Table7[Nm2]*MIN(Table36[ratedRpm]/MAX(1,Table15[[#This Row],[rpm]]),1-(MAX(0,Table15[[#This Row],[rpm]]-Table36[ratedRpm])/Table36[fadeOut])^Table36[fadeOutExp]))</f>
        <v>679.8629679144384</v>
      </c>
      <c r="R18" s="3">
        <f>(1-(1-Table15[[#This Row],[rpm]]/Table36[idleRpm])^2)*Table7[idleTEco]</f>
        <v>-190.78515625</v>
      </c>
      <c r="S18" s="3">
        <f>MAX(0,(1-Table7[f1]*(Table36[maxTRpm1]-Table15[[#This Row],[rpm]])^2)*Table36[maxTEco])</f>
        <v>834.65306122448976</v>
      </c>
      <c r="T18" s="3">
        <f>MAX(0,(Table36[linearDown]*(1-Table7[f2Eco]*(Table15[[#This Row],[rpm]]-Table36[maxTRpm]))+(1-Table36[linearDown])*(1-Table7[f3Eco]*(Table15[[#This Row],[rpm]]-Table36[maxTRpm])^2))*Table36[maxTEco])</f>
        <v>814.66870839244791</v>
      </c>
      <c r="U18" s="3">
        <f>MAX(0,(Table36[maxPSEco]-Table7[f4Eco]*(Table15[[#This Row],[rpm]]-Table36[maxPRpm])^2)/1.36*9550/MAX(1,Table15[[#This Row],[rpm]]))</f>
        <v>879.82266435986151</v>
      </c>
      <c r="V18" s="3">
        <f>MAX(0,Table7[Nm2Eco]*MIN(Table36[ratedRpm]/MAX(1,Table15[[#This Row],[rpm]]),1-(MAX(0,Table15[[#This Row],[rpm]]-Table36[ratedRpm])/Table36[fadeOut])^Table36[fadeOutExp]))</f>
        <v>679.8629679144384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875.82347043095297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875.82347043095297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794.4478473207464</v>
      </c>
      <c r="C19" s="19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794.4478473207464</v>
      </c>
      <c r="E19" s="19"/>
      <c r="F19" s="3">
        <f>Table36[Factor]*IF(Table15[[#This Row],[manualData]]&gt;0,Table15[[#This Row],[manualData]],Table15[[#This Row],[rawData]])</f>
        <v>794.4478473207464</v>
      </c>
      <c r="G19" s="3">
        <f>Table36[Factor]*IF(Table15[[#This Row],[manDataEco]]&gt;0,Table15[[#This Row],[manDataEco]],Table15[[#This Row],[rawDataEco]])</f>
        <v>794.4478473207464</v>
      </c>
      <c r="H19" s="24">
        <f>1.36*Table15[[#This Row],[rpm]]*Table15[[#This Row],[motor]]/9550</f>
        <v>203.64485133415573</v>
      </c>
      <c r="I19" s="24">
        <f>1.36*Table15[[#This Row],[rpm]]*Table15[[#This Row],[motorEco]]/9550</f>
        <v>203.64485133415573</v>
      </c>
      <c r="J1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216.40211640211641</v>
      </c>
      <c r="K1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motorTorque="794" fuelUsageRatio="216.4"/&gt;</v>
      </c>
      <c r="L1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normRpm="0.783" torque="0.94"/&gt;</v>
      </c>
      <c r="M19" s="3">
        <f>(1-(1-Table15[[#This Row],[rpm]]/Table36[idleRpm])^2)*Table7[idleT]</f>
        <v>-404.015625</v>
      </c>
      <c r="N19" s="3">
        <f>MAX(0,(1-Table7[f1]*(Table36[maxTRpm1]-Table15[[#This Row],[rpm]])^2)*Table36[maxT])</f>
        <v>821.71938775510205</v>
      </c>
      <c r="O19" s="3">
        <f>MAX(0,(Table36[linearDown]*(1-Table7[f2]*(Table15[[#This Row],[rpm]]-Table36[maxTRpm]))+(1-Table36[linearDown])*(1-Table7[f3]*(Table15[[#This Row],[rpm]]-Table36[maxTRpm])^2))*Table36[maxT])</f>
        <v>794.4478473207464</v>
      </c>
      <c r="P19" s="3">
        <f>MAX(0,(Table36[maxPS]-Table7[f4]*(Table15[[#This Row],[rpm]]-Table36[maxPRpm])^2)/1.36*9550/MAX(1,Table15[[#This Row],[rpm]]))</f>
        <v>830.94362745098033</v>
      </c>
      <c r="Q19" s="3">
        <f>MAX(0,Table7[Nm2]*MIN(Table36[ratedRpm]/MAX(1,Table15[[#This Row],[rpm]]),1-(MAX(0,Table15[[#This Row],[rpm]]-Table36[ratedRpm])/Table36[fadeOut])^Table36[fadeOutExp]))</f>
        <v>679.8629679144384</v>
      </c>
      <c r="R19" s="3">
        <f>(1-(1-Table15[[#This Row],[rpm]]/Table36[idleRpm])^2)*Table7[idleTEco]</f>
        <v>-404.015625</v>
      </c>
      <c r="S19" s="3">
        <f>MAX(0,(1-Table7[f1]*(Table36[maxTRpm1]-Table15[[#This Row],[rpm]])^2)*Table36[maxTEco])</f>
        <v>821.71938775510205</v>
      </c>
      <c r="T19" s="3">
        <f>MAX(0,(Table36[linearDown]*(1-Table7[f2Eco]*(Table15[[#This Row],[rpm]]-Table36[maxTRpm]))+(1-Table36[linearDown])*(1-Table7[f3Eco]*(Table15[[#This Row],[rpm]]-Table36[maxTRpm])^2))*Table36[maxTEco])</f>
        <v>794.4478473207464</v>
      </c>
      <c r="U19" s="3">
        <f>MAX(0,(Table36[maxPSEco]-Table7[f4Eco]*(Table15[[#This Row],[rpm]]-Table36[maxPRpm])^2)/1.36*9550/MAX(1,Table15[[#This Row],[rpm]]))</f>
        <v>830.94362745098033</v>
      </c>
      <c r="V19" s="3">
        <f>MAX(0,Table7[Nm2Eco]*MIN(Table36[ratedRpm]/MAX(1,Table15[[#This Row],[rpm]]),1-(MAX(0,Table15[[#This Row],[rpm]]-Table36[ratedRpm])/Table36[fadeOut])^Table36[fadeOutExp]))</f>
        <v>679.8629679144384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827.92201426024951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827.92201426024951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783.07361296791441</v>
      </c>
      <c r="C20" s="19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783.07361296791441</v>
      </c>
      <c r="E20" s="19"/>
      <c r="F20" s="3">
        <f>Table36[Factor]*IF(Table15[[#This Row],[manualData]]&gt;0,Table15[[#This Row],[manualData]],Table15[[#This Row],[rawData]])</f>
        <v>783.07361296791441</v>
      </c>
      <c r="G20" s="3">
        <f>Table36[Factor]*IF(Table15[[#This Row],[manDataEco]]&gt;0,Table15[[#This Row],[manDataEco]],Table15[[#This Row],[rawDataEco]])</f>
        <v>783.07361296791441</v>
      </c>
      <c r="H20" s="24">
        <f>1.36*Table15[[#This Row],[rpm]]*Table15[[#This Row],[motor]]/9550</f>
        <v>206.30504819133745</v>
      </c>
      <c r="I20" s="24">
        <f>1.36*Table15[[#This Row],[rpm]]*Table15[[#This Row],[motorEco]]/9550</f>
        <v>206.30504819133745</v>
      </c>
      <c r="J2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217.93981481481481</v>
      </c>
      <c r="K2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motorTorque="783" fuelUsageRatio="217.9"/&gt;</v>
      </c>
      <c r="L2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normRpm="0.804" torque="0.927"/&gt;</v>
      </c>
      <c r="M20" s="3">
        <f>(1-(1-Table15[[#This Row],[rpm]]/Table36[idleRpm])^2)*Table7[idleT]</f>
        <v>-519.0478515625</v>
      </c>
      <c r="N20" s="3">
        <f>MAX(0,(1-Table7[f1]*(Table36[maxTRpm1]-Table15[[#This Row],[rpm]])^2)*Table36[maxT])</f>
        <v>813.3125</v>
      </c>
      <c r="O20" s="3">
        <f>MAX(0,(Table36[linearDown]*(1-Table7[f2]*(Table15[[#This Row],[rpm]]-Table36[maxTRpm]))+(1-Table36[linearDown])*(1-Table7[f3]*(Table15[[#This Row],[rpm]]-Table36[maxTRpm])^2))*Table36[maxT])</f>
        <v>783.07361296791441</v>
      </c>
      <c r="P20" s="3">
        <f>MAX(0,(Table36[maxPS]-Table7[f4]*(Table15[[#This Row],[rpm]]-Table36[maxPRpm])^2)/1.36*9550/MAX(1,Table15[[#This Row],[rpm]]))</f>
        <v>808.48569157392683</v>
      </c>
      <c r="Q20" s="3">
        <f>MAX(0,Table7[Nm2]*MIN(Table36[ratedRpm]/MAX(1,Table15[[#This Row],[rpm]]),1-(MAX(0,Table15[[#This Row],[rpm]]-Table36[ratedRpm])/Table36[fadeOut])^Table36[fadeOutExp]))</f>
        <v>679.8629679144384</v>
      </c>
      <c r="R20" s="3">
        <f>(1-(1-Table15[[#This Row],[rpm]]/Table36[idleRpm])^2)*Table7[idleTEco]</f>
        <v>-519.0478515625</v>
      </c>
      <c r="S20" s="3">
        <f>MAX(0,(1-Table7[f1]*(Table36[maxTRpm1]-Table15[[#This Row],[rpm]])^2)*Table36[maxTEco])</f>
        <v>813.3125</v>
      </c>
      <c r="T20" s="3">
        <f>MAX(0,(Table36[linearDown]*(1-Table7[f2Eco]*(Table15[[#This Row],[rpm]]-Table36[maxTRpm]))+(1-Table36[linearDown])*(1-Table7[f3Eco]*(Table15[[#This Row],[rpm]]-Table36[maxTRpm])^2))*Table36[maxTEco])</f>
        <v>783.07361296791441</v>
      </c>
      <c r="U20" s="3">
        <f>MAX(0,(Table36[maxPSEco]-Table7[f4Eco]*(Table15[[#This Row],[rpm]]-Table36[maxPRpm])^2)/1.36*9550/MAX(1,Table15[[#This Row],[rpm]]))</f>
        <v>808.48569157392683</v>
      </c>
      <c r="V20" s="3">
        <f>MAX(0,Table7[Nm2Eco]*MIN(Table36[ratedRpm]/MAX(1,Table15[[#This Row],[rpm]]),1-(MAX(0,Table15[[#This Row],[rpm]]-Table36[ratedRpm])/Table36[fadeOut])^Table36[fadeOutExp]))</f>
        <v>679.8629679144384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805.91323710073709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805.91323710073709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770.85684273709478</v>
      </c>
      <c r="C21" s="19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770.85684273709478</v>
      </c>
      <c r="E21" s="19"/>
      <c r="F21" s="3">
        <f>Table36[Factor]*IF(Table15[[#This Row],[manualData]]&gt;0,Table15[[#This Row],[manualData]],Table15[[#This Row],[rawData]])</f>
        <v>770.85684273709478</v>
      </c>
      <c r="G21" s="3">
        <f>Table36[Factor]*IF(Table15[[#This Row],[manDataEco]]&gt;0,Table15[[#This Row],[manDataEco]],Table15[[#This Row],[rawDataEco]])</f>
        <v>770.85684273709478</v>
      </c>
      <c r="H21" s="24">
        <f>1.36*Table15[[#This Row],[rpm]]*Table15[[#This Row],[motor]]/9550</f>
        <v>208.57529650603698</v>
      </c>
      <c r="I21" s="24">
        <f>1.36*Table15[[#This Row],[rpm]]*Table15[[#This Row],[motorEco]]/9550</f>
        <v>208.57529650603698</v>
      </c>
      <c r="J2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219.64285714285714</v>
      </c>
      <c r="K2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motorTorque="771" fuelUsageRatio="219.6"/&gt;</v>
      </c>
      <c r="L2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normRpm="0.826" torque="0.912"/&gt;</v>
      </c>
      <c r="M21" s="3">
        <f>(1-(1-Table15[[#This Row],[rpm]]/Table36[idleRpm])^2)*Table7[idleT]</f>
        <v>-639.69140625</v>
      </c>
      <c r="N21" s="3">
        <f>MAX(0,(1-Table7[f1]*(Table36[maxTRpm1]-Table15[[#This Row],[rpm]])^2)*Table36[maxT])</f>
        <v>803.61224489795916</v>
      </c>
      <c r="O21" s="3">
        <f>MAX(0,(Table36[linearDown]*(1-Table7[f2]*(Table15[[#This Row],[rpm]]-Table36[maxTRpm]))+(1-Table36[linearDown])*(1-Table7[f3]*(Table15[[#This Row],[rpm]]-Table36[maxTRpm])^2))*Table36[maxT])</f>
        <v>770.85684273709478</v>
      </c>
      <c r="P21" s="3">
        <f>MAX(0,(Table36[maxPS]-Table7[f4]*(Table15[[#This Row],[rpm]]-Table36[maxPRpm])^2)/1.36*9550/MAX(1,Table15[[#This Row],[rpm]]))</f>
        <v>787.20975232198134</v>
      </c>
      <c r="Q21" s="3">
        <f>MAX(0,Table7[Nm2]*MIN(Table36[ratedRpm]/MAX(1,Table15[[#This Row],[rpm]]),1-(MAX(0,Table15[[#This Row],[rpm]]-Table36[ratedRpm])/Table36[fadeOut])^Table36[fadeOutExp]))</f>
        <v>679.8629679144384</v>
      </c>
      <c r="R21" s="3">
        <f>(1-(1-Table15[[#This Row],[rpm]]/Table36[idleRpm])^2)*Table7[idleTEco]</f>
        <v>-639.69140625</v>
      </c>
      <c r="S21" s="3">
        <f>MAX(0,(1-Table7[f1]*(Table36[maxTRpm1]-Table15[[#This Row],[rpm]])^2)*Table36[maxTEco])</f>
        <v>803.61224489795916</v>
      </c>
      <c r="T21" s="3">
        <f>MAX(0,(Table36[linearDown]*(1-Table7[f2Eco]*(Table15[[#This Row],[rpm]]-Table36[maxTRpm]))+(1-Table36[linearDown])*(1-Table7[f3Eco]*(Table15[[#This Row],[rpm]]-Table36[maxTRpm])^2))*Table36[maxTEco])</f>
        <v>770.85684273709478</v>
      </c>
      <c r="U21" s="3">
        <f>MAX(0,(Table36[maxPSEco]-Table7[f4Eco]*(Table15[[#This Row],[rpm]]-Table36[maxPRpm])^2)/1.36*9550/MAX(1,Table15[[#This Row],[rpm]]))</f>
        <v>787.20975232198134</v>
      </c>
      <c r="V21" s="3">
        <f>MAX(0,Table7[Nm2Eco]*MIN(Table36[ratedRpm]/MAX(1,Table15[[#This Row],[rpm]]),1-(MAX(0,Table15[[#This Row],[rpm]]-Table36[ratedRpm])/Table36[fadeOut])^Table36[fadeOutExp]))</f>
        <v>679.8629679144384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785.06281663383049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785.06281663383049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757.79753662828762</v>
      </c>
      <c r="C22" s="19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757.79753662828762</v>
      </c>
      <c r="E22" s="19"/>
      <c r="F22" s="3">
        <f>Table36[Factor]*IF(Table15[[#This Row],[manualData]]&gt;0,Table15[[#This Row],[manualData]],Table15[[#This Row],[rawData]])</f>
        <v>757.79753662828762</v>
      </c>
      <c r="G22" s="3">
        <f>Table36[Factor]*IF(Table15[[#This Row],[manDataEco]]&gt;0,Table15[[#This Row],[manDataEco]],Table15[[#This Row],[rawDataEco]])</f>
        <v>757.79753662828762</v>
      </c>
      <c r="H22" s="24">
        <f>1.36*Table15[[#This Row],[rpm]]*Table15[[#This Row],[motor]]/9550</f>
        <v>210.43759865321664</v>
      </c>
      <c r="I22" s="24">
        <f>1.36*Table15[[#This Row],[rpm]]*Table15[[#This Row],[motorEco]]/9550</f>
        <v>210.43759865321664</v>
      </c>
      <c r="J2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221.51124338624336</v>
      </c>
      <c r="K2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motorTorque="758" fuelUsageRatio="221.5"/&gt;</v>
      </c>
      <c r="L2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normRpm="0.848" torque="0.897"/&gt;</v>
      </c>
      <c r="M22" s="3">
        <f>(1-(1-Table15[[#This Row],[rpm]]/Table36[idleRpm])^2)*Table7[idleT]</f>
        <v>-765.9462890625</v>
      </c>
      <c r="N22" s="3">
        <f>MAX(0,(1-Table7[f1]*(Table36[maxTRpm1]-Table15[[#This Row],[rpm]])^2)*Table36[maxT])</f>
        <v>792.61862244897952</v>
      </c>
      <c r="O22" s="3">
        <f>MAX(0,(Table36[linearDown]*(1-Table7[f2]*(Table15[[#This Row],[rpm]]-Table36[maxTRpm]))+(1-Table36[linearDown])*(1-Table7[f3]*(Table15[[#This Row],[rpm]]-Table36[maxTRpm])^2))*Table36[maxT])</f>
        <v>757.79753662828762</v>
      </c>
      <c r="P22" s="3">
        <f>MAX(0,(Table36[maxPS]-Table7[f4]*(Table15[[#This Row],[rpm]]-Table36[maxPRpm])^2)/1.36*9550/MAX(1,Table15[[#This Row],[rpm]]))</f>
        <v>767.02488687782795</v>
      </c>
      <c r="Q22" s="3">
        <f>MAX(0,Table7[Nm2]*MIN(Table36[ratedRpm]/MAX(1,Table15[[#This Row],[rpm]]),1-(MAX(0,Table15[[#This Row],[rpm]]-Table36[ratedRpm])/Table36[fadeOut])^Table36[fadeOutExp]))</f>
        <v>679.8629679144384</v>
      </c>
      <c r="R22" s="3">
        <f>(1-(1-Table15[[#This Row],[rpm]]/Table36[idleRpm])^2)*Table7[idleTEco]</f>
        <v>-765.9462890625</v>
      </c>
      <c r="S22" s="3">
        <f>MAX(0,(1-Table7[f1]*(Table36[maxTRpm1]-Table15[[#This Row],[rpm]])^2)*Table36[maxTEco])</f>
        <v>792.61862244897952</v>
      </c>
      <c r="T22" s="3">
        <f>MAX(0,(Table36[linearDown]*(1-Table7[f2Eco]*(Table15[[#This Row],[rpm]]-Table36[maxTRpm]))+(1-Table36[linearDown])*(1-Table7[f3Eco]*(Table15[[#This Row],[rpm]]-Table36[maxTRpm])^2))*Table36[maxTEco])</f>
        <v>757.79753662828762</v>
      </c>
      <c r="U22" s="3">
        <f>MAX(0,(Table36[maxPSEco]-Table7[f4Eco]*(Table15[[#This Row],[rpm]]-Table36[maxPRpm])^2)/1.36*9550/MAX(1,Table15[[#This Row],[rpm]]))</f>
        <v>767.02488687782795</v>
      </c>
      <c r="V22" s="3">
        <f>MAX(0,Table7[Nm2Eco]*MIN(Table36[ratedRpm]/MAX(1,Table15[[#This Row],[rpm]]),1-(MAX(0,Table15[[#This Row],[rpm]]-Table36[ratedRpm])/Table36[fadeOut])^Table36[fadeOutExp]))</f>
        <v>679.8629679144384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765.28164849856023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765.28164849856023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743.89569464149292</v>
      </c>
      <c r="C23" s="19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743.89569464149292</v>
      </c>
      <c r="E23" s="19"/>
      <c r="F23" s="3">
        <f>Table36[Factor]*IF(Table15[[#This Row],[manualData]]&gt;0,Table15[[#This Row],[manualData]],Table15[[#This Row],[rawData]])</f>
        <v>743.89569464149292</v>
      </c>
      <c r="G23" s="3">
        <f>Table36[Factor]*IF(Table15[[#This Row],[manDataEco]]&gt;0,Table15[[#This Row],[manDataEco]],Table15[[#This Row],[rawDataEco]])</f>
        <v>743.89569464149292</v>
      </c>
      <c r="H23" s="24">
        <f>1.36*Table15[[#This Row],[rpm]]*Table15[[#This Row],[motor]]/9550</f>
        <v>211.87395700783884</v>
      </c>
      <c r="I23" s="24">
        <f>1.36*Table15[[#This Row],[rpm]]*Table15[[#This Row],[motorEco]]/9550</f>
        <v>211.87395700783884</v>
      </c>
      <c r="J2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223.54497354497354</v>
      </c>
      <c r="K2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motorTorque="744" fuelUsageRatio="223.5"/&gt;</v>
      </c>
      <c r="L2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normRpm="0.87" torque="0.88"/&gt;</v>
      </c>
      <c r="M23" s="3">
        <f>(1-(1-Table15[[#This Row],[rpm]]/Table36[idleRpm])^2)*Table7[idleT]</f>
        <v>-897.8125</v>
      </c>
      <c r="N23" s="3">
        <f>MAX(0,(1-Table7[f1]*(Table36[maxTRpm1]-Table15[[#This Row],[rpm]])^2)*Table36[maxT])</f>
        <v>780.33163265306121</v>
      </c>
      <c r="O23" s="3">
        <f>MAX(0,(Table36[linearDown]*(1-Table7[f2]*(Table15[[#This Row],[rpm]]-Table36[maxTRpm]))+(1-Table36[linearDown])*(1-Table7[f3]*(Table15[[#This Row],[rpm]]-Table36[maxTRpm])^2))*Table36[maxT])</f>
        <v>743.89569464149292</v>
      </c>
      <c r="P23" s="3">
        <f>MAX(0,(Table36[maxPS]-Table7[f4]*(Table15[[#This Row],[rpm]]-Table36[maxPRpm])^2)/1.36*9550/MAX(1,Table15[[#This Row],[rpm]]))</f>
        <v>747.84926470588232</v>
      </c>
      <c r="Q23" s="3">
        <f>MAX(0,Table7[Nm2]*MIN(Table36[ratedRpm]/MAX(1,Table15[[#This Row],[rpm]]),1-(MAX(0,Table15[[#This Row],[rpm]]-Table36[ratedRpm])/Table36[fadeOut])^Table36[fadeOutExp]))</f>
        <v>679.8629679144384</v>
      </c>
      <c r="R23" s="3">
        <f>(1-(1-Table15[[#This Row],[rpm]]/Table36[idleRpm])^2)*Table7[idleTEco]</f>
        <v>-897.8125</v>
      </c>
      <c r="S23" s="3">
        <f>MAX(0,(1-Table7[f1]*(Table36[maxTRpm1]-Table15[[#This Row],[rpm]])^2)*Table36[maxTEco])</f>
        <v>780.33163265306121</v>
      </c>
      <c r="T23" s="3">
        <f>MAX(0,(Table36[linearDown]*(1-Table7[f2Eco]*(Table15[[#This Row],[rpm]]-Table36[maxTRpm]))+(1-Table36[linearDown])*(1-Table7[f3Eco]*(Table15[[#This Row],[rpm]]-Table36[maxTRpm])^2))*Table36[maxTEco])</f>
        <v>743.89569464149292</v>
      </c>
      <c r="U23" s="3">
        <f>MAX(0,(Table36[maxPSEco]-Table7[f4Eco]*(Table15[[#This Row],[rpm]]-Table36[maxPRpm])^2)/1.36*9550/MAX(1,Table15[[#This Row],[rpm]]))</f>
        <v>747.84926470588232</v>
      </c>
      <c r="V23" s="3">
        <f>MAX(0,Table7[Nm2Eco]*MIN(Table36[ratedRpm]/MAX(1,Table15[[#This Row],[rpm]]),1-(MAX(0,Table15[[#This Row],[rpm]]-Table36[ratedRpm])/Table36[fadeOut])^Table36[fadeOutExp]))</f>
        <v>679.8629679144384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746.4895387700534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746.4895387700534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728.61411732098588</v>
      </c>
      <c r="C24" s="19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728.61411732098588</v>
      </c>
      <c r="E24" s="19"/>
      <c r="F24" s="3">
        <f>Table36[Factor]*IF(Table15[[#This Row],[manualData]]&gt;0,Table15[[#This Row],[manualData]],Table15[[#This Row],[rawData]])</f>
        <v>728.61411732098588</v>
      </c>
      <c r="G24" s="3">
        <f>Table36[Factor]*IF(Table15[[#This Row],[manDataEco]]&gt;0,Table15[[#This Row],[manDataEco]],Table15[[#This Row],[rawDataEco]])</f>
        <v>728.61411732098588</v>
      </c>
      <c r="H24" s="24">
        <f>1.36*Table15[[#This Row],[rpm]]*Table15[[#This Row],[motor]]/9550</f>
        <v>212.70954545454541</v>
      </c>
      <c r="I24" s="24">
        <f>1.36*Table15[[#This Row],[rpm]]*Table15[[#This Row],[motorEco]]/9550</f>
        <v>212.70954545454541</v>
      </c>
      <c r="J2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225.74404761904759</v>
      </c>
      <c r="K2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motorTorque="729" fuelUsageRatio="225.7"/&gt;</v>
      </c>
      <c r="L2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normRpm="0.891" torque="0.862"/&gt;</v>
      </c>
      <c r="M24" s="3">
        <f>(1-(1-Table15[[#This Row],[rpm]]/Table36[idleRpm])^2)*Table7[idleT]</f>
        <v>-1035.2900390625</v>
      </c>
      <c r="N24" s="3">
        <f>MAX(0,(1-Table7[f1]*(Table36[maxTRpm1]-Table15[[#This Row],[rpm]])^2)*Table36[maxT])</f>
        <v>766.7512755102041</v>
      </c>
      <c r="O24" s="3">
        <f>MAX(0,(Table36[linearDown]*(1-Table7[f2]*(Table15[[#This Row],[rpm]]-Table36[maxTRpm]))+(1-Table36[linearDown])*(1-Table7[f3]*(Table15[[#This Row],[rpm]]-Table36[maxTRpm])^2))*Table36[maxT])</f>
        <v>729.15131677671059</v>
      </c>
      <c r="P24" s="3">
        <f>MAX(0,(Table36[maxPS]-Table7[f4]*(Table15[[#This Row],[rpm]]-Table36[maxPRpm])^2)/1.36*9550/MAX(1,Table15[[#This Row],[rpm]]))</f>
        <v>729.6090387374461</v>
      </c>
      <c r="Q24" s="3">
        <f>MAX(0,Table7[Nm2]*MIN(Table36[ratedRpm]/MAX(1,Table15[[#This Row],[rpm]]),1-(MAX(0,Table15[[#This Row],[rpm]]-Table36[ratedRpm])/Table36[fadeOut])^Table36[fadeOutExp]))</f>
        <v>679.8629679144384</v>
      </c>
      <c r="R24" s="3">
        <f>(1-(1-Table15[[#This Row],[rpm]]/Table36[idleRpm])^2)*Table7[idleTEco]</f>
        <v>-1035.2900390625</v>
      </c>
      <c r="S24" s="3">
        <f>MAX(0,(1-Table7[f1]*(Table36[maxTRpm1]-Table15[[#This Row],[rpm]])^2)*Table36[maxTEco])</f>
        <v>766.7512755102041</v>
      </c>
      <c r="T24" s="3">
        <f>MAX(0,(Table36[linearDown]*(1-Table7[f2Eco]*(Table15[[#This Row],[rpm]]-Table36[maxTRpm]))+(1-Table36[linearDown])*(1-Table7[f3Eco]*(Table15[[#This Row],[rpm]]-Table36[maxTRpm])^2))*Table36[maxTEco])</f>
        <v>729.15131677671059</v>
      </c>
      <c r="U24" s="3">
        <f>MAX(0,(Table36[maxPSEco]-Table7[f4Eco]*(Table15[[#This Row],[rpm]]-Table36[maxPRpm])^2)/1.36*9550/MAX(1,Table15[[#This Row],[rpm]]))</f>
        <v>729.6090387374461</v>
      </c>
      <c r="V24" s="3">
        <f>MAX(0,Table7[Nm2Eco]*MIN(Table36[ratedRpm]/MAX(1,Table15[[#This Row],[rpm]]),1-(MAX(0,Table15[[#This Row],[rpm]]-Table36[ratedRpm])/Table36[fadeOut])^Table36[fadeOutExp]))</f>
        <v>679.8629679144384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728.61411732098588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728.61411732098588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711.58990641711227</v>
      </c>
      <c r="C25" s="19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711.58990641711227</v>
      </c>
      <c r="E25" s="19"/>
      <c r="F25" s="3">
        <f>Table36[Factor]*IF(Table15[[#This Row],[manualData]]&gt;0,Table15[[#This Row],[manualData]],Table15[[#This Row],[rawData]])</f>
        <v>711.58990641711227</v>
      </c>
      <c r="G25" s="3">
        <f>Table36[Factor]*IF(Table15[[#This Row],[manDataEco]]&gt;0,Table15[[#This Row],[manDataEco]],Table15[[#This Row],[rawDataEco]])</f>
        <v>711.58990641711227</v>
      </c>
      <c r="H25" s="24">
        <f>1.36*Table15[[#This Row],[rpm]]*Table15[[#This Row],[motor]]/9550</f>
        <v>212.80636363636364</v>
      </c>
      <c r="I25" s="24">
        <f>1.36*Table15[[#This Row],[rpm]]*Table15[[#This Row],[motorEco]]/9550</f>
        <v>212.80636363636364</v>
      </c>
      <c r="J2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228.10846560846559</v>
      </c>
      <c r="K2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motorTorque="712" fuelUsageRatio="228.1"/&gt;</v>
      </c>
      <c r="L2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normRpm="0.913" torque="0.842"/&gt;</v>
      </c>
      <c r="M25" s="3">
        <f>(1-(1-Table15[[#This Row],[rpm]]/Table36[idleRpm])^2)*Table7[idleT]</f>
        <v>-1178.37890625</v>
      </c>
      <c r="N25" s="3">
        <f>MAX(0,(1-Table7[f1]*(Table36[maxTRpm1]-Table15[[#This Row],[rpm]])^2)*Table36[maxT])</f>
        <v>751.87755102040819</v>
      </c>
      <c r="O25" s="3">
        <f>MAX(0,(Table36[linearDown]*(1-Table7[f2]*(Table15[[#This Row],[rpm]]-Table36[maxTRpm]))+(1-Table36[linearDown])*(1-Table7[f3]*(Table15[[#This Row],[rpm]]-Table36[maxTRpm])^2))*Table36[maxT])</f>
        <v>713.56440303394072</v>
      </c>
      <c r="P25" s="3">
        <f>MAX(0,(Table36[maxPS]-Table7[f4]*(Table15[[#This Row],[rpm]]-Table36[maxPRpm])^2)/1.36*9550/MAX(1,Table15[[#This Row],[rpm]]))</f>
        <v>712.23739495798316</v>
      </c>
      <c r="Q25" s="3">
        <f>MAX(0,Table7[Nm2]*MIN(Table36[ratedRpm]/MAX(1,Table15[[#This Row],[rpm]]),1-(MAX(0,Table15[[#This Row],[rpm]]-Table36[ratedRpm])/Table36[fadeOut])^Table36[fadeOutExp]))</f>
        <v>679.8629679144384</v>
      </c>
      <c r="R25" s="3">
        <f>(1-(1-Table15[[#This Row],[rpm]]/Table36[idleRpm])^2)*Table7[idleTEco]</f>
        <v>-1178.37890625</v>
      </c>
      <c r="S25" s="3">
        <f>MAX(0,(1-Table7[f1]*(Table36[maxTRpm1]-Table15[[#This Row],[rpm]])^2)*Table36[maxTEco])</f>
        <v>751.87755102040819</v>
      </c>
      <c r="T25" s="3">
        <f>MAX(0,(Table36[linearDown]*(1-Table7[f2Eco]*(Table15[[#This Row],[rpm]]-Table36[maxTRpm]))+(1-Table36[linearDown])*(1-Table7[f3Eco]*(Table15[[#This Row],[rpm]]-Table36[maxTRpm])^2))*Table36[maxTEco])</f>
        <v>713.56440303394072</v>
      </c>
      <c r="U25" s="3">
        <f>MAX(0,(Table36[maxPSEco]-Table7[f4Eco]*(Table15[[#This Row],[rpm]]-Table36[maxPRpm])^2)/1.36*9550/MAX(1,Table15[[#This Row],[rpm]]))</f>
        <v>712.23739495798316</v>
      </c>
      <c r="V25" s="3">
        <f>MAX(0,Table7[Nm2Eco]*MIN(Table36[ratedRpm]/MAX(1,Table15[[#This Row],[rpm]]),1-(MAX(0,Table15[[#This Row],[rpm]]-Table36[ratedRpm])/Table36[fadeOut])^Table36[fadeOutExp]))</f>
        <v>679.8629679144384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711.58990641711227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711.58990641711227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695.35751927620925</v>
      </c>
      <c r="C26" s="19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695.35751927620925</v>
      </c>
      <c r="E26" s="19"/>
      <c r="F26" s="3">
        <f>Table36[Factor]*IF(Table15[[#This Row],[manualData]]&gt;0,Table15[[#This Row],[manualData]],Table15[[#This Row],[rawData]])</f>
        <v>695.35751927620925</v>
      </c>
      <c r="G26" s="3">
        <f>Table36[Factor]*IF(Table15[[#This Row],[manDataEco]]&gt;0,Table15[[#This Row],[manDataEco]],Table15[[#This Row],[rawDataEco]])</f>
        <v>695.35751927620925</v>
      </c>
      <c r="H26" s="24">
        <f>1.36*Table15[[#This Row],[rpm]]*Table15[[#This Row],[motor]]/9550</f>
        <v>212.90318181818176</v>
      </c>
      <c r="I26" s="24">
        <f>1.36*Table15[[#This Row],[rpm]]*Table15[[#This Row],[motorEco]]/9550</f>
        <v>212.90318181818176</v>
      </c>
      <c r="J2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230.63822751322749</v>
      </c>
      <c r="K2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motorTorque="695" fuelUsageRatio="230.6"/&gt;</v>
      </c>
      <c r="L2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normRpm="0.935" torque="0.823"/&gt;</v>
      </c>
      <c r="M26" s="3">
        <f>(1-(1-Table15[[#This Row],[rpm]]/Table36[idleRpm])^2)*Table7[idleT]</f>
        <v>-1327.0791015625</v>
      </c>
      <c r="N26" s="3">
        <f>MAX(0,(1-Table7[f1]*(Table36[maxTRpm1]-Table15[[#This Row],[rpm]])^2)*Table36[maxT])</f>
        <v>735.71045918367338</v>
      </c>
      <c r="O26" s="3">
        <f>MAX(0,(Table36[linearDown]*(1-Table7[f2]*(Table15[[#This Row],[rpm]]-Table36[maxTRpm]))+(1-Table36[linearDown])*(1-Table7[f3]*(Table15[[#This Row],[rpm]]-Table36[maxTRpm])^2))*Table36[maxT])</f>
        <v>697.13495341318333</v>
      </c>
      <c r="P26" s="3">
        <f>MAX(0,(Table36[maxPS]-Table7[f4]*(Table15[[#This Row],[rpm]]-Table36[maxPRpm])^2)/1.36*9550/MAX(1,Table15[[#This Row],[rpm]]))</f>
        <v>695.67373461012301</v>
      </c>
      <c r="Q26" s="3">
        <f>MAX(0,Table7[Nm2]*MIN(Table36[ratedRpm]/MAX(1,Table15[[#This Row],[rpm]]),1-(MAX(0,Table15[[#This Row],[rpm]]-Table36[ratedRpm])/Table36[fadeOut])^Table36[fadeOutExp]))</f>
        <v>679.8629679144384</v>
      </c>
      <c r="R26" s="3">
        <f>(1-(1-Table15[[#This Row],[rpm]]/Table36[idleRpm])^2)*Table7[idleTEco]</f>
        <v>-1327.0791015625</v>
      </c>
      <c r="S26" s="3">
        <f>MAX(0,(1-Table7[f1]*(Table36[maxTRpm1]-Table15[[#This Row],[rpm]])^2)*Table36[maxTEco])</f>
        <v>735.71045918367338</v>
      </c>
      <c r="T26" s="3">
        <f>MAX(0,(Table36[linearDown]*(1-Table7[f2Eco]*(Table15[[#This Row],[rpm]]-Table36[maxTRpm]))+(1-Table36[linearDown])*(1-Table7[f3Eco]*(Table15[[#This Row],[rpm]]-Table36[maxTRpm])^2))*Table36[maxTEco])</f>
        <v>697.13495341318333</v>
      </c>
      <c r="U26" s="3">
        <f>MAX(0,(Table36[maxPSEco]-Table7[f4Eco]*(Table15[[#This Row],[rpm]]-Table36[maxPRpm])^2)/1.36*9550/MAX(1,Table15[[#This Row],[rpm]]))</f>
        <v>695.67373461012301</v>
      </c>
      <c r="V26" s="3">
        <f>MAX(0,Table7[Nm2Eco]*MIN(Table36[ratedRpm]/MAX(1,Table15[[#This Row],[rpm]]),1-(MAX(0,Table15[[#This Row],[rpm]]-Table36[ratedRpm])/Table36[fadeOut])^Table36[fadeOutExp]))</f>
        <v>679.8629679144384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695.35751927620925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695.35751927620925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679.8629679144384</v>
      </c>
      <c r="C27" s="19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679.8629679144384</v>
      </c>
      <c r="E27" s="19"/>
      <c r="F27" s="3">
        <f>Table36[Factor]*IF(Table15[[#This Row],[manualData]]&gt;0,Table15[[#This Row],[manualData]],Table15[[#This Row],[rawData]])</f>
        <v>679.8629679144384</v>
      </c>
      <c r="G27" s="3">
        <f>Table36[Factor]*IF(Table15[[#This Row],[manDataEco]]&gt;0,Table15[[#This Row],[manDataEco]],Table15[[#This Row],[rawDataEco]])</f>
        <v>679.8629679144384</v>
      </c>
      <c r="H27" s="3">
        <f>1.36*Table15[[#This Row],[rpm]]*Table15[[#This Row],[motor]]/9550</f>
        <v>212.99999999999997</v>
      </c>
      <c r="I27" s="3">
        <f>1.36*Table15[[#This Row],[rpm]]*Table15[[#This Row],[motorEco]]/9550</f>
        <v>212.99999999999997</v>
      </c>
      <c r="J2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233.33333333333331</v>
      </c>
      <c r="K2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motorTorque="680" fuelUsageRatio="233.3"/&gt;</v>
      </c>
      <c r="L2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normRpm="0.957" torque="0.805"/&gt;</v>
      </c>
      <c r="M27" s="3">
        <f>(1-(1-Table15[[#This Row],[rpm]]/Table36[idleRpm])^2)*Table7[idleT]</f>
        <v>-1481.390625</v>
      </c>
      <c r="N27" s="3">
        <f>MAX(0,(1-Table7[f1]*(Table36[maxTRpm1]-Table15[[#This Row],[rpm]])^2)*Table36[maxT])</f>
        <v>718.25</v>
      </c>
      <c r="O27" s="3">
        <f>MAX(0,(Table36[linearDown]*(1-Table7[f2]*(Table15[[#This Row],[rpm]]-Table36[maxTRpm]))+(1-Table36[linearDown])*(1-Table7[f3]*(Table15[[#This Row],[rpm]]-Table36[maxTRpm])^2))*Table36[maxT])</f>
        <v>679.8629679144384</v>
      </c>
      <c r="P27" s="3">
        <f>MAX(0,(Table36[maxPS]-Table7[f4]*(Table15[[#This Row],[rpm]]-Table36[maxPRpm])^2)/1.36*9550/MAX(1,Table15[[#This Row],[rpm]]))</f>
        <v>679.8629679144384</v>
      </c>
      <c r="Q27" s="3">
        <f>MAX(0,Table7[Nm2]*MIN(Table36[ratedRpm]/MAX(1,Table15[[#This Row],[rpm]]),1-(MAX(0,Table15[[#This Row],[rpm]]-Table36[ratedRpm])/Table36[fadeOut])^Table36[fadeOutExp]))</f>
        <v>679.8629679144384</v>
      </c>
      <c r="R27" s="3">
        <f>(1-(1-Table15[[#This Row],[rpm]]/Table36[idleRpm])^2)*Table7[idleTEco]</f>
        <v>-1481.390625</v>
      </c>
      <c r="S27" s="3">
        <f>MAX(0,(1-Table7[f1]*(Table36[maxTRpm1]-Table15[[#This Row],[rpm]])^2)*Table36[maxTEco])</f>
        <v>718.25</v>
      </c>
      <c r="T27" s="3">
        <f>MAX(0,(Table36[linearDown]*(1-Table7[f2Eco]*(Table15[[#This Row],[rpm]]-Table36[maxTRpm]))+(1-Table36[linearDown])*(1-Table7[f3Eco]*(Table15[[#This Row],[rpm]]-Table36[maxTRpm])^2))*Table36[maxTEco])</f>
        <v>679.8629679144384</v>
      </c>
      <c r="U27" s="3">
        <f>MAX(0,(Table36[maxPSEco]-Table7[f4Eco]*(Table15[[#This Row],[rpm]]-Table36[maxPRpm])^2)/1.36*9550/MAX(1,Table15[[#This Row],[rpm]]))</f>
        <v>679.8629679144384</v>
      </c>
      <c r="V27" s="3">
        <f>MAX(0,Table7[Nm2Eco]*MIN(Table36[ratedRpm]/MAX(1,Table15[[#This Row],[rpm]]),1-(MAX(0,Table15[[#This Row],[rpm]]-Table36[ratedRpm])/Table36[fadeOut])^Table36[fadeOutExp]))</f>
        <v>679.8629679144384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679.8629679144384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679.8629679144384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618.3246522991667</v>
      </c>
      <c r="C28" s="19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618.3246522991667</v>
      </c>
      <c r="E28" s="19"/>
      <c r="F28" s="3">
        <f>Table36[Factor]*IF(Table15[[#This Row],[manualData]]&gt;0,Table15[[#This Row],[manualData]],Table15[[#This Row],[rawData]])</f>
        <v>618.3246522991667</v>
      </c>
      <c r="G28" s="3">
        <f>Table36[Factor]*IF(Table15[[#This Row],[manDataEco]]&gt;0,Table15[[#This Row],[manDataEco]],Table15[[#This Row],[rawDataEco]])</f>
        <v>618.3246522991667</v>
      </c>
      <c r="H28" s="3">
        <f>1.36*Table15[[#This Row],[rpm]]*Table15[[#This Row],[motor]]/9550</f>
        <v>198.12287288329321</v>
      </c>
      <c r="I28" s="3">
        <f>1.36*Table15[[#This Row],[rpm]]*Table15[[#This Row],[motorEco]]/9550</f>
        <v>198.12287288329321</v>
      </c>
      <c r="J2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262.38647582763696</v>
      </c>
      <c r="K2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motorTorque="618" fuelUsageRatio="262.4"/&gt;</v>
      </c>
      <c r="L2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normRpm="0.978" torque="0.732"/&gt;</v>
      </c>
      <c r="M28" s="3">
        <f>(1-(1-Table15[[#This Row],[rpm]]/Table36[idleRpm])^2)*Table7[idleT]</f>
        <v>-1641.3134765625</v>
      </c>
      <c r="N28" s="3">
        <f>MAX(0,(1-Table7[f1]*(Table36[maxTRpm1]-Table15[[#This Row],[rpm]])^2)*Table36[maxT])</f>
        <v>699.49617346938771</v>
      </c>
      <c r="O28" s="3">
        <f>MAX(0,(Table36[linearDown]*(1-Table7[f2]*(Table15[[#This Row],[rpm]]-Table36[maxTRpm]))+(1-Table36[linearDown])*(1-Table7[f3]*(Table15[[#This Row],[rpm]]-Table36[maxTRpm])^2))*Table36[maxT])</f>
        <v>661.74844653770595</v>
      </c>
      <c r="P28" s="3">
        <f>MAX(0,(Table36[maxPS]-Table7[f4]*(Table15[[#This Row],[rpm]]-Table36[maxPRpm])^2)/1.36*9550/MAX(1,Table15[[#This Row],[rpm]]))</f>
        <v>664.75490196078431</v>
      </c>
      <c r="Q28" s="3">
        <f>MAX(0,Table7[Nm2]*MIN(Table36[ratedRpm]/MAX(1,Table15[[#This Row],[rpm]]),1-(MAX(0,Table15[[#This Row],[rpm]]-Table36[ratedRpm])/Table36[fadeOut])^Table36[fadeOutExp]))</f>
        <v>618.3246522991667</v>
      </c>
      <c r="R28" s="3">
        <f>(1-(1-Table15[[#This Row],[rpm]]/Table36[idleRpm])^2)*Table7[idleTEco]</f>
        <v>-1641.3134765625</v>
      </c>
      <c r="S28" s="3">
        <f>MAX(0,(1-Table7[f1]*(Table36[maxTRpm1]-Table15[[#This Row],[rpm]])^2)*Table36[maxTEco])</f>
        <v>699.49617346938771</v>
      </c>
      <c r="T28" s="3">
        <f>MAX(0,(Table36[linearDown]*(1-Table7[f2Eco]*(Table15[[#This Row],[rpm]]-Table36[maxTRpm]))+(1-Table36[linearDown])*(1-Table7[f3Eco]*(Table15[[#This Row],[rpm]]-Table36[maxTRpm])^2))*Table36[maxTEco])</f>
        <v>661.74844653770595</v>
      </c>
      <c r="U28" s="3">
        <f>MAX(0,(Table36[maxPSEco]-Table7[f4Eco]*(Table15[[#This Row],[rpm]]-Table36[maxPRpm])^2)/1.36*9550/MAX(1,Table15[[#This Row],[rpm]]))</f>
        <v>664.75490196078431</v>
      </c>
      <c r="V28" s="3">
        <f>MAX(0,Table7[Nm2Eco]*MIN(Table36[ratedRpm]/MAX(1,Table15[[#This Row],[rpm]]),1-(MAX(0,Table15[[#This Row],[rpm]]-Table36[ratedRpm])/Table36[fadeOut])^Table36[fadeOutExp]))</f>
        <v>618.3246522991667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664.75490196078431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664.75490196078431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397.10712024823454</v>
      </c>
      <c r="C29" s="19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397.10712024823454</v>
      </c>
      <c r="E29" s="19"/>
      <c r="F29" s="3">
        <f>Table36[Factor]*IF(Table15[[#This Row],[manualData]]&gt;0,Table15[[#This Row],[manualData]],Table15[[#This Row],[rawData]])</f>
        <v>397.10712024823454</v>
      </c>
      <c r="G29" s="3">
        <f>Table36[Factor]*IF(Table15[[#This Row],[manDataEco]]&gt;0,Table15[[#This Row],[manDataEco]],Table15[[#This Row],[rawDataEco]])</f>
        <v>397.10712024823454</v>
      </c>
      <c r="H29" s="3">
        <f>1.36*Table15[[#This Row],[rpm]]*Table15[[#This Row],[motor]]/9550</f>
        <v>130.06817509282487</v>
      </c>
      <c r="I29" s="3">
        <f>1.36*Table15[[#This Row],[rpm]]*Table15[[#This Row],[motorEco]]/9550</f>
        <v>130.06817509282487</v>
      </c>
      <c r="J2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417.63381188233183</v>
      </c>
      <c r="K2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motorTorque="397" fuelUsageRatio="417.6"/&gt;</v>
      </c>
      <c r="L2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torque="0.47"/&gt;</v>
      </c>
      <c r="M29" s="3">
        <f>(1-(1-Table15[[#This Row],[rpm]]/Table36[idleRpm])^2)*Table7[idleT]</f>
        <v>-1806.84765625</v>
      </c>
      <c r="N29" s="3">
        <f>MAX(0,(1-Table7[f1]*(Table36[maxTRpm1]-Table15[[#This Row],[rpm]])^2)*Table36[maxT])</f>
        <v>679.44897959183675</v>
      </c>
      <c r="O29" s="3">
        <f>MAX(0,(Table36[linearDown]*(1-Table7[f2]*(Table15[[#This Row],[rpm]]-Table36[maxTRpm]))+(1-Table36[linearDown])*(1-Table7[f3]*(Table15[[#This Row],[rpm]]-Table36[maxTRpm])^2))*Table36[maxT])</f>
        <v>642.79138928298585</v>
      </c>
      <c r="P29" s="3">
        <f>MAX(0,(Table36[maxPS]-Table7[f4]*(Table15[[#This Row],[rpm]]-Table36[maxPRpm])^2)/1.36*9550/MAX(1,Table15[[#This Row],[rpm]]))</f>
        <v>650.3037084398976</v>
      </c>
      <c r="Q29" s="3">
        <f>MAX(0,Table7[Nm2]*MIN(Table36[ratedRpm]/MAX(1,Table15[[#This Row],[rpm]]),1-(MAX(0,Table15[[#This Row],[rpm]]-Table36[ratedRpm])/Table36[fadeOut])^Table36[fadeOutExp]))</f>
        <v>397.10712024823454</v>
      </c>
      <c r="R29" s="3">
        <f>(1-(1-Table15[[#This Row],[rpm]]/Table36[idleRpm])^2)*Table7[idleTEco]</f>
        <v>-1806.84765625</v>
      </c>
      <c r="S29" s="3">
        <f>MAX(0,(1-Table7[f1]*(Table36[maxTRpm1]-Table15[[#This Row],[rpm]])^2)*Table36[maxTEco])</f>
        <v>679.44897959183675</v>
      </c>
      <c r="T29" s="3">
        <f>MAX(0,(Table36[linearDown]*(1-Table7[f2Eco]*(Table15[[#This Row],[rpm]]-Table36[maxTRpm]))+(1-Table36[linearDown])*(1-Table7[f3Eco]*(Table15[[#This Row],[rpm]]-Table36[maxTRpm])^2))*Table36[maxTEco])</f>
        <v>642.79138928298585</v>
      </c>
      <c r="U29" s="3">
        <f>MAX(0,(Table36[maxPSEco]-Table7[f4Eco]*(Table15[[#This Row],[rpm]]-Table36[maxPRpm])^2)/1.36*9550/MAX(1,Table15[[#This Row],[rpm]]))</f>
        <v>650.3037084398976</v>
      </c>
      <c r="V29" s="3">
        <f>MAX(0,Table7[Nm2Eco]*MIN(Table36[ratedRpm]/MAX(1,Table15[[#This Row],[rpm]]),1-(MAX(0,Table15[[#This Row],[rpm]]-Table36[ratedRpm])/Table36[fadeOut])^Table36[fadeOutExp]))</f>
        <v>397.10712024823454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650.3037084398976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650.3037084398976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9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9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fuelUsageRatio="0"/&gt;</v>
      </c>
      <c r="L3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-1977.9931640625</v>
      </c>
      <c r="N30" s="3">
        <f>MAX(0,(1-Table7[f1]*(Table36[maxTRpm1]-Table15[[#This Row],[rpm]])^2)*Table36[maxT])</f>
        <v>658.10841836734687</v>
      </c>
      <c r="O30" s="3">
        <f>MAX(0,(Table36[linearDown]*(1-Table7[f2]*(Table15[[#This Row],[rpm]]-Table36[maxTRpm]))+(1-Table36[linearDown])*(1-Table7[f3]*(Table15[[#This Row],[rpm]]-Table36[maxTRpm])^2))*Table36[maxT])</f>
        <v>622.99179615027822</v>
      </c>
      <c r="P30" s="3">
        <f>MAX(0,(Table36[maxPS]-Table7[f4]*(Table15[[#This Row],[rpm]]-Table36[maxPRpm])^2)/1.36*9550/MAX(1,Table15[[#This Row],[rpm]]))</f>
        <v>636.46745932415513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-1977.9931640625</v>
      </c>
      <c r="S30" s="3">
        <f>MAX(0,(1-Table7[f1]*(Table36[maxTRpm1]-Table15[[#This Row],[rpm]])^2)*Table36[maxTEco])</f>
        <v>658.10841836734687</v>
      </c>
      <c r="T30" s="3">
        <f>MAX(0,(Table36[linearDown]*(1-Table7[f2Eco]*(Table15[[#This Row],[rpm]]-Table36[maxTRpm]))+(1-Table36[linearDown])*(1-Table7[f3Eco]*(Table15[[#This Row],[rpm]]-Table36[maxTRpm])^2))*Table36[maxTEco])</f>
        <v>622.99179615027822</v>
      </c>
      <c r="U30" s="3">
        <f>MAX(0,(Table36[maxPSEco]-Table7[f4Eco]*(Table15[[#This Row],[rpm]]-Table36[maxPRpm])^2)/1.36*9550/MAX(1,Table15[[#This Row],[rpm]]))</f>
        <v>636.46745932415513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636.46745932415513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636.46745932415513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9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9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fuelUsageRatio="0"/&gt;</v>
      </c>
      <c r="L3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-2154.75</v>
      </c>
      <c r="N31" s="3">
        <f>MAX(0,(1-Table7[f1]*(Table36[maxTRpm1]-Table15[[#This Row],[rpm]])^2)*Table36[maxT])</f>
        <v>635.47448979591843</v>
      </c>
      <c r="O31" s="3">
        <f>MAX(0,(Table36[linearDown]*(1-Table7[f2]*(Table15[[#This Row],[rpm]]-Table36[maxTRpm]))+(1-Table36[linearDown])*(1-Table7[f3]*(Table15[[#This Row],[rpm]]-Table36[maxTRpm])^2))*Table36[maxT])</f>
        <v>602.34966713958295</v>
      </c>
      <c r="P31" s="3">
        <f>MAX(0,(Table36[maxPS]-Table7[f4]*(Table15[[#This Row],[rpm]]-Table36[maxPRpm])^2)/1.36*9550/MAX(1,Table15[[#This Row],[rpm]]))</f>
        <v>623.20772058823525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-2154.75</v>
      </c>
      <c r="S31" s="3">
        <f>MAX(0,(1-Table7[f1]*(Table36[maxTRpm1]-Table15[[#This Row],[rpm]])^2)*Table36[maxTEco])</f>
        <v>635.47448979591843</v>
      </c>
      <c r="T31" s="3">
        <f>MAX(0,(Table36[linearDown]*(1-Table7[f2Eco]*(Table15[[#This Row],[rpm]]-Table36[maxTRpm]))+(1-Table36[linearDown])*(1-Table7[f3Eco]*(Table15[[#This Row],[rpm]]-Table36[maxTRpm])^2))*Table36[maxTEco])</f>
        <v>602.34966713958295</v>
      </c>
      <c r="U31" s="3">
        <f>MAX(0,(Table36[maxPSEco]-Table7[f4Eco]*(Table15[[#This Row],[rpm]]-Table36[maxPRpm])^2)/1.36*9550/MAX(1,Table15[[#This Row],[rpm]]))</f>
        <v>623.20772058823525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623.20772058823525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623.20772058823525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9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9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-2337.1181640625</v>
      </c>
      <c r="N32" s="3">
        <f>MAX(0,(1-Table7[f1]*(Table36[maxTRpm1]-Table15[[#This Row],[rpm]])^2)*Table36[maxT])</f>
        <v>611.54719387755097</v>
      </c>
      <c r="O32" s="3">
        <f>MAX(0,(Table36[linearDown]*(1-Table7[f2]*(Table15[[#This Row],[rpm]]-Table36[maxTRpm]))+(1-Table36[linearDown])*(1-Table7[f3]*(Table15[[#This Row],[rpm]]-Table36[maxTRpm])^2))*Table36[maxT])</f>
        <v>580.86500225090026</v>
      </c>
      <c r="P32" s="3">
        <f>MAX(0,(Table36[maxPS]-Table7[f4]*(Table15[[#This Row],[rpm]]-Table36[maxPRpm])^2)/1.36*9550/MAX(1,Table15[[#This Row],[rpm]]))</f>
        <v>610.48919567827124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-2337.1181640625</v>
      </c>
      <c r="S32" s="3">
        <f>MAX(0,(1-Table7[f1]*(Table36[maxTRpm1]-Table15[[#This Row],[rpm]])^2)*Table36[maxTEco])</f>
        <v>611.54719387755097</v>
      </c>
      <c r="T32" s="3">
        <f>MAX(0,(Table36[linearDown]*(1-Table7[f2Eco]*(Table15[[#This Row],[rpm]]-Table36[maxTRpm]))+(1-Table36[linearDown])*(1-Table7[f3Eco]*(Table15[[#This Row],[rpm]]-Table36[maxTRpm])^2))*Table36[maxTEco])</f>
        <v>580.86500225090026</v>
      </c>
      <c r="U32" s="3">
        <f>MAX(0,(Table36[maxPSEco]-Table7[f4Eco]*(Table15[[#This Row],[rpm]]-Table36[maxPRpm])^2)/1.36*9550/MAX(1,Table15[[#This Row],[rpm]]))</f>
        <v>610.48919567827124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610.48919567827124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610.48919567827124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9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9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-2525.09765625</v>
      </c>
      <c r="N33" s="3">
        <f>MAX(0,(1-Table7[f1]*(Table36[maxTRpm1]-Table15[[#This Row],[rpm]])^2)*Table36[maxT])</f>
        <v>586.32653061224482</v>
      </c>
      <c r="O33" s="3">
        <f>MAX(0,(Table36[linearDown]*(1-Table7[f2]*(Table15[[#This Row],[rpm]]-Table36[maxTRpm]))+(1-Table36[linearDown])*(1-Table7[f3]*(Table15[[#This Row],[rpm]]-Table36[maxTRpm])^2))*Table36[maxT])</f>
        <v>558.53780148422993</v>
      </c>
      <c r="P33" s="3">
        <f>MAX(0,(Table36[maxPS]-Table7[f4]*(Table15[[#This Row],[rpm]]-Table36[maxPRpm])^2)/1.36*9550/MAX(1,Table15[[#This Row],[rpm]]))</f>
        <v>598.27941176470586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-2525.09765625</v>
      </c>
      <c r="S33" s="3">
        <f>MAX(0,(1-Table7[f1]*(Table36[maxTRpm1]-Table15[[#This Row],[rpm]])^2)*Table36[maxTEco])</f>
        <v>586.32653061224482</v>
      </c>
      <c r="T33" s="3">
        <f>MAX(0,(Table36[linearDown]*(1-Table7[f2Eco]*(Table15[[#This Row],[rpm]]-Table36[maxTRpm]))+(1-Table36[linearDown])*(1-Table7[f3Eco]*(Table15[[#This Row],[rpm]]-Table36[maxTRpm])^2))*Table36[maxTEco])</f>
        <v>558.53780148422993</v>
      </c>
      <c r="U33" s="3">
        <f>MAX(0,(Table36[maxPSEco]-Table7[f4Eco]*(Table15[[#This Row],[rpm]]-Table36[maxPRpm])^2)/1.36*9550/MAX(1,Table15[[#This Row],[rpm]]))</f>
        <v>598.27941176470586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598.27941176470586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598.27941176470586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9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9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-2718.6884765625</v>
      </c>
      <c r="N34" s="3">
        <f>MAX(0,(1-Table7[f1]*(Table36[maxTRpm1]-Table15[[#This Row],[rpm]])^2)*Table36[maxT])</f>
        <v>559.81249999999989</v>
      </c>
      <c r="O34" s="3">
        <f>MAX(0,(Table36[linearDown]*(1-Table7[f2]*(Table15[[#This Row],[rpm]]-Table36[maxTRpm]))+(1-Table36[linearDown])*(1-Table7[f3]*(Table15[[#This Row],[rpm]]-Table36[maxTRpm])^2))*Table36[maxT])</f>
        <v>535.36806483957207</v>
      </c>
      <c r="P34" s="3">
        <f>MAX(0,(Table36[maxPS]-Table7[f4]*(Table15[[#This Row],[rpm]]-Table36[maxPRpm])^2)/1.36*9550/MAX(1,Table15[[#This Row],[rpm]]))</f>
        <v>586.54844290657434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-2718.6884765625</v>
      </c>
      <c r="S34" s="3">
        <f>MAX(0,(1-Table7[f1]*(Table36[maxTRpm1]-Table15[[#This Row],[rpm]])^2)*Table36[maxTEco])</f>
        <v>559.81249999999989</v>
      </c>
      <c r="T34" s="3">
        <f>MAX(0,(Table36[linearDown]*(1-Table7[f2Eco]*(Table15[[#This Row],[rpm]]-Table36[maxTRpm]))+(1-Table36[linearDown])*(1-Table7[f3Eco]*(Table15[[#This Row],[rpm]]-Table36[maxTRpm])^2))*Table36[maxTEco])</f>
        <v>535.36806483957207</v>
      </c>
      <c r="U34" s="3">
        <f>MAX(0,(Table36[maxPSEco]-Table7[f4Eco]*(Table15[[#This Row],[rpm]]-Table36[maxPRpm])^2)/1.36*9550/MAX(1,Table15[[#This Row],[rpm]]))</f>
        <v>586.54844290657434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586.54844290657434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586.54844290657434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9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9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-2917.890625</v>
      </c>
      <c r="N35" s="3">
        <f>MAX(0,(1-Table7[f1]*(Table36[maxTRpm1]-Table15[[#This Row],[rpm]])^2)*Table36[maxT])</f>
        <v>532.00510204081627</v>
      </c>
      <c r="O35" s="3">
        <f>MAX(0,(Table36[linearDown]*(1-Table7[f2]*(Table15[[#This Row],[rpm]]-Table36[maxTRpm]))+(1-Table36[linearDown])*(1-Table7[f3]*(Table15[[#This Row],[rpm]]-Table36[maxTRpm])^2))*Table36[maxT])</f>
        <v>511.35579231692657</v>
      </c>
      <c r="P35" s="3">
        <f>MAX(0,(Table36[maxPS]-Table7[f4]*(Table15[[#This Row],[rpm]]-Table36[maxPRpm])^2)/1.36*9550/MAX(1,Table15[[#This Row],[rpm]]))</f>
        <v>575.26866515837105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-2917.890625</v>
      </c>
      <c r="S35" s="3">
        <f>MAX(0,(1-Table7[f1]*(Table36[maxTRpm1]-Table15[[#This Row],[rpm]])^2)*Table36[maxTEco])</f>
        <v>532.00510204081627</v>
      </c>
      <c r="T35" s="3">
        <f>MAX(0,(Table36[linearDown]*(1-Table7[f2Eco]*(Table15[[#This Row],[rpm]]-Table36[maxTRpm]))+(1-Table36[linearDown])*(1-Table7[f3Eco]*(Table15[[#This Row],[rpm]]-Table36[maxTRpm])^2))*Table36[maxTEco])</f>
        <v>511.35579231692657</v>
      </c>
      <c r="U35" s="3">
        <f>MAX(0,(Table36[maxPSEco]-Table7[f4Eco]*(Table15[[#This Row],[rpm]]-Table36[maxPRpm])^2)/1.36*9550/MAX(1,Table15[[#This Row],[rpm]]))</f>
        <v>575.26866515837105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575.26866515837105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575.26866515837105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9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9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-3122.7041015625</v>
      </c>
      <c r="N36" s="3">
        <f>MAX(0,(1-Table7[f1]*(Table36[maxTRpm1]-Table15[[#This Row],[rpm]])^2)*Table36[maxT])</f>
        <v>502.90433673469386</v>
      </c>
      <c r="O36" s="3">
        <f>MAX(0,(Table36[linearDown]*(1-Table7[f2]*(Table15[[#This Row],[rpm]]-Table36[maxTRpm]))+(1-Table36[linearDown])*(1-Table7[f3]*(Table15[[#This Row],[rpm]]-Table36[maxTRpm])^2))*Table36[maxT])</f>
        <v>486.50098391629359</v>
      </c>
      <c r="P36" s="3">
        <f>MAX(0,(Table36[maxPS]-Table7[f4]*(Table15[[#This Row],[rpm]]-Table36[maxPRpm])^2)/1.36*9550/MAX(1,Table15[[#This Row],[rpm]]))</f>
        <v>564.41453940066583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-3122.7041015625</v>
      </c>
      <c r="S36" s="3">
        <f>MAX(0,(1-Table7[f1]*(Table36[maxTRpm1]-Table15[[#This Row],[rpm]])^2)*Table36[maxTEco])</f>
        <v>502.90433673469386</v>
      </c>
      <c r="T36" s="3">
        <f>MAX(0,(Table36[linearDown]*(1-Table7[f2Eco]*(Table15[[#This Row],[rpm]]-Table36[maxTRpm]))+(1-Table36[linearDown])*(1-Table7[f3Eco]*(Table15[[#This Row],[rpm]]-Table36[maxTRpm])^2))*Table36[maxTEco])</f>
        <v>486.50098391629359</v>
      </c>
      <c r="U36" s="3">
        <f>MAX(0,(Table36[maxPSEco]-Table7[f4Eco]*(Table15[[#This Row],[rpm]]-Table36[maxPRpm])^2)/1.36*9550/MAX(1,Table15[[#This Row],[rpm]]))</f>
        <v>564.41453940066583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564.41453940066583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564.41453940066583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9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9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-3549.1650390625</v>
      </c>
      <c r="N37" s="3">
        <f>MAX(0,(1-Table7[f1]*(Table36[maxTRpm1]-Table15[[#This Row],[rpm]])^2)*Table36[maxT])</f>
        <v>440.82270408163259</v>
      </c>
      <c r="O37" s="3">
        <f>MAX(0,(Table36[linearDown]*(1-Table7[f2]*(Table15[[#This Row],[rpm]]-Table36[maxTRpm]))+(1-Table36[linearDown])*(1-Table7[f3]*(Table15[[#This Row],[rpm]]-Table36[maxTRpm])^2))*Table36[maxT])</f>
        <v>434.26375948106494</v>
      </c>
      <c r="P37" s="3">
        <f>MAX(0,(Table36[maxPS]-Table7[f4]*(Table15[[#This Row],[rpm]]-Table36[maxPRpm])^2)/1.36*9550/MAX(1,Table15[[#This Row],[rpm]]))</f>
        <v>543.89037433155079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-3549.1650390625</v>
      </c>
      <c r="S37" s="3">
        <f>MAX(0,(1-Table7[f1]*(Table36[maxTRpm1]-Table15[[#This Row],[rpm]])^2)*Table36[maxTEco])</f>
        <v>440.82270408163259</v>
      </c>
      <c r="T37" s="3">
        <f>MAX(0,(Table36[linearDown]*(1-Table7[f2Eco]*(Table15[[#This Row],[rpm]]-Table36[maxTRpm]))+(1-Table36[linearDown])*(1-Table7[f3Eco]*(Table15[[#This Row],[rpm]]-Table36[maxTRpm])^2))*Table36[maxTEco])</f>
        <v>434.26375948106494</v>
      </c>
      <c r="U37" s="3">
        <f>MAX(0,(Table36[maxPSEco]-Table7[f4Eco]*(Table15[[#This Row],[rpm]]-Table36[maxPRpm])^2)/1.36*9550/MAX(1,Table15[[#This Row],[rpm]]))</f>
        <v>543.89037433155079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543.89037433155079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543.89037433155079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9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9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-4713.515625</v>
      </c>
      <c r="N38" s="3">
        <f>MAX(0,(1-Table7[f1]*(Table36[maxTRpm1]-Table15[[#This Row],[rpm]])^2)*Table36[maxT])</f>
        <v>262.98469387755091</v>
      </c>
      <c r="O38" s="3">
        <f>MAX(0,(Table36[linearDown]*(1-Table7[f2]*(Table15[[#This Row],[rpm]]-Table36[maxTRpm]))+(1-Table36[linearDown])*(1-Table7[f3]*(Table15[[#This Row],[rpm]]-Table36[maxTRpm])^2))*Table36[maxT])</f>
        <v>288.92632052821097</v>
      </c>
      <c r="P38" s="3">
        <f>MAX(0,(Table36[maxPS]-Table7[f4]*(Table15[[#This Row],[rpm]]-Table36[maxPRpm])^2)/1.36*9550/MAX(1,Table15[[#This Row],[rpm]]))</f>
        <v>498.56617647058818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-4713.515625</v>
      </c>
      <c r="S38" s="3">
        <f>MAX(0,(1-Table7[f1]*(Table36[maxTRpm1]-Table15[[#This Row],[rpm]])^2)*Table36[maxTEco])</f>
        <v>262.98469387755091</v>
      </c>
      <c r="T38" s="3">
        <f>MAX(0,(Table36[linearDown]*(1-Table7[f2Eco]*(Table15[[#This Row],[rpm]]-Table36[maxTRpm]))+(1-Table36[linearDown])*(1-Table7[f3Eco]*(Table15[[#This Row],[rpm]]-Table36[maxTRpm])^2))*Table36[maxTEco])</f>
        <v>288.92632052821097</v>
      </c>
      <c r="U38" s="3">
        <f>MAX(0,(Table36[maxPSEco]-Table7[f4Eco]*(Table15[[#This Row],[rpm]]-Table36[maxPRpm])^2)/1.36*9550/MAX(1,Table15[[#This Row],[rpm]]))</f>
        <v>498.56617647058818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498.56617647058818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498.56617647058818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9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9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-6018.1494140625</v>
      </c>
      <c r="N39" s="3">
        <f>MAX(0,(1-Table7[f1]*(Table36[maxTRpm1]-Table15[[#This Row],[rpm]])^2)*Table36[maxT])</f>
        <v>52.812499999999908</v>
      </c>
      <c r="O39" s="3">
        <f>MAX(0,(Table36[linearDown]*(1-Table7[f2]*(Table15[[#This Row],[rpm]]-Table36[maxTRpm]))+(1-Table36[linearDown])*(1-Table7[f3]*(Table15[[#This Row],[rpm]]-Table36[maxTRpm])^2))*Table36[maxT])</f>
        <v>122.52548462566804</v>
      </c>
      <c r="P39" s="3">
        <f>MAX(0,(Table36[maxPS]-Table7[f4]*(Table15[[#This Row],[rpm]]-Table36[maxPRpm])^2)/1.36*9550/MAX(1,Table15[[#This Row],[rpm]]))</f>
        <v>460.21493212669679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-6018.1494140625</v>
      </c>
      <c r="S39" s="3">
        <f>MAX(0,(1-Table7[f1]*(Table36[maxTRpm1]-Table15[[#This Row],[rpm]])^2)*Table36[maxTEco])</f>
        <v>52.812499999999908</v>
      </c>
      <c r="T39" s="3">
        <f>MAX(0,(Table36[linearDown]*(1-Table7[f2Eco]*(Table15[[#This Row],[rpm]]-Table36[maxTRpm]))+(1-Table36[linearDown])*(1-Table7[f3Eco]*(Table15[[#This Row],[rpm]]-Table36[maxTRpm])^2))*Table36[maxTEco])</f>
        <v>122.52548462566804</v>
      </c>
      <c r="U39" s="3">
        <f>MAX(0,(Table36[maxPSEco]-Table7[f4Eco]*(Table15[[#This Row],[rpm]]-Table36[maxPRpm])^2)/1.36*9550/MAX(1,Table15[[#This Row],[rpm]]))</f>
        <v>460.21493212669679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460.21493212669679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460.21493212669679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9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9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-7463.06640625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427.3424369747899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-7463.06640625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427.3424369747899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427.3424369747899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427.3424369747899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9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9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-9048.2666015625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398.85294117647055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-9048.2666015625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398.85294117647055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398.85294117647055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398.85294117647055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9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9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9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9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-10773.75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373.92463235294116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-10773.75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373.92463235294116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373.92463235294116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373.92463235294116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9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9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-12639.5166015625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351.92906574394459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-12639.5166015625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351.92906574394459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351.92906574394459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351.92906574394459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9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9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-14645.56640625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332.37745098039215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-14645.56640625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332.37745098039215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332.37745098039215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332.37745098039215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9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9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-16791.8994140625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314.88390092879257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-16791.8994140625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314.88390092879257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314.88390092879257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314.88390092879257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9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9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-19078.515625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299.13970588235293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-19078.515625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299.13970588235293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299.13970588235293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299.13970588235293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9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9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-21505.4150390625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284.89495798319325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-21505.4150390625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284.89495798319325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284.89495798319325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284.89495798319325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9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9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-24072.59765625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271.94518716577539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-24072.59765625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271.94518716577539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271.94518716577539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271.94518716577539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9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9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-26780.0634765625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260.12148337595903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-26780.0634765625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260.12148337595903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260.12148337595903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260.12148337595903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9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9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-29627.8125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249.28308823529409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-29627.8125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249.28308823529409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249.28308823529409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249.28308823529409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9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9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-32615.8447265625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239.31176470588233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-32615.8447265625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239.31176470588233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239.31176470588233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239.31176470588233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9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9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-35744.16015625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230.1074660633484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-35744.16015625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230.1074660633484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230.1074660633484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230.1074660633484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9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9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-39012.7587890625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221.58496732026143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-39012.7587890625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221.58496732026143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221.58496732026143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221.58496732026143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9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9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-42421.640625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213.67121848739495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-42421.640625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213.67121848739495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213.67121848739495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213.67121848739495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9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9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-45970.8056640625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206.30324543610547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-45970.8056640625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206.30324543610547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206.30324543610547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206.30324543610547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9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9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-49660.25390625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199.42647058823528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-49660.25390625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199.42647058823528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199.42647058823528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199.42647058823528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9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9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-53489.9853515625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192.99335863377607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-53489.9853515625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192.99335863377607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192.99335863377607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192.99335863377607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9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9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-57460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186.96231617647058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-57460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186.96231617647058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186.96231617647058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186.96231617647058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9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9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-61570.2978515625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181.29679144385025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-61570.2978515625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181.29679144385025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181.29679144385025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181.29679144385025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9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9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-65820.87890625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175.9645328719723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-65820.87890625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175.9645328719723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175.9645328719723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175.9645328719723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9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9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-70211.7431640625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170.93697478991595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-70211.7431640625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170.93697478991595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170.93697478991595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170.93697478991595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9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9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4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32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2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-74742.890625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166.18872549019608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-74742.890625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166.18872549019608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166.18872549019608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166.18872549019608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7" t="s">
        <v>18</v>
      </c>
      <c r="B1" s="38" t="s">
        <v>23</v>
      </c>
      <c r="C1" s="38" t="s">
        <v>8</v>
      </c>
      <c r="D1" s="38" t="s">
        <v>10</v>
      </c>
      <c r="E1" s="38" t="s">
        <v>22</v>
      </c>
      <c r="F1" s="38" t="s">
        <v>12</v>
      </c>
      <c r="G1" s="39" t="s">
        <v>13</v>
      </c>
      <c r="H1" s="44" t="s">
        <v>14</v>
      </c>
      <c r="I1" s="44" t="s">
        <v>27</v>
      </c>
      <c r="K1" s="35" t="s">
        <v>19</v>
      </c>
      <c r="L1" s="35" t="s">
        <v>20</v>
      </c>
    </row>
    <row r="2" spans="1:12" x14ac:dyDescent="0.25">
      <c r="A2" s="40">
        <v>1900</v>
      </c>
      <c r="B2" s="41">
        <v>396</v>
      </c>
      <c r="C2" s="42">
        <v>2100</v>
      </c>
      <c r="D2" s="43">
        <v>390</v>
      </c>
      <c r="E2" s="40">
        <v>1450</v>
      </c>
      <c r="F2" s="41">
        <v>1450</v>
      </c>
      <c r="G2" s="41">
        <v>1538</v>
      </c>
      <c r="H2" s="26">
        <v>800</v>
      </c>
      <c r="I2" s="45">
        <v>1.0900000000000001</v>
      </c>
      <c r="K2" s="36">
        <f>Table2[maxPS]/1.36*9550/Table2[maxPRpm]</f>
        <v>1463.5448916408668</v>
      </c>
      <c r="L2" s="36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2017-10-22T09:40:05Z</dcterms:modified>
</cp:coreProperties>
</file>