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7645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 l="1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F2" i="3" l="1"/>
  <c r="L4" i="3" l="1"/>
  <c r="K4" i="3"/>
  <c r="T2" i="3" l="1"/>
  <c r="S2" i="3"/>
  <c r="U2" i="3" l="1"/>
  <c r="M4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D26" i="3" s="1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5" i="3" l="1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J52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F51" i="3" l="1"/>
  <c r="J51" i="3" s="1"/>
  <c r="Y52" i="3"/>
  <c r="B26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J27" i="3" s="1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J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J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F26" i="3" s="1"/>
  <c r="J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Y51" i="3" l="1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H10" i="3" l="1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<sst xmlns="http://schemas.openxmlformats.org/spreadsheetml/2006/main" count="103" uniqueCount="81">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</sst>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0" fontId="5" fillId="3" borderId="2" xfId="0" applyFont="1" applyFill="1" applyBorder="1"/>
    <xf numFmtId="9" fontId="0" fillId="0" borderId="1" xfId="1" applyFont="1" applyBorder="1"/>
    <xf numFmtId="9" fontId="0" fillId="0" borderId="3" xfId="1" applyFont="1" applyBorder="1"/>
    <xf numFmtId="9" fontId="5" fillId="0" borderId="12" xfId="1" applyFont="1" applyBorder="1"/>
    <xf numFmtId="9" fontId="0" fillId="0" borderId="12" xfId="1" applyFont="1" applyBorder="1"/>
    <xf numFmtId="9" fontId="0" fillId="3" borderId="2" xfId="1" applyFont="1" applyFill="1" applyBorder="1"/>
  </cellXfs>
  <cellStyles count="2">
    <cellStyle name="Normal" xfId="0" builtinId="0"/>
    <cellStyle name="Percent" xfId="1" builtinId="5"/>
  </cellStyles>
  <dxfs count="88">
    <dxf>
      <fill>
        <patternFill patternType="solid">
          <fgColor indexed="64"/>
          <bgColor theme="4" tint="0.79998168889431442"/>
        </patternFill>
      </fill>
    </dxf>
    <dxf>
      <font>
        <i/>
        <color theme="0" tint="-0.34998626667073579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164" formatCode="0.0"/>
    </dxf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105</c:v>
                </c:pt>
                <c:pt idx="2">
                  <c:v>187.5</c:v>
                </c:pt>
                <c:pt idx="3">
                  <c:v>227.5</c:v>
                </c:pt>
                <c:pt idx="4">
                  <c:v>240</c:v>
                </c:pt>
                <c:pt idx="5">
                  <c:v>247.5</c:v>
                </c:pt>
                <c:pt idx="6">
                  <c:v>250</c:v>
                </c:pt>
                <c:pt idx="7">
                  <c:v>250</c:v>
                </c:pt>
                <c:pt idx="8">
                  <c:v>246.52868960084035</c:v>
                </c:pt>
                <c:pt idx="9">
                  <c:v>242.2859768907563</c:v>
                </c:pt>
                <c:pt idx="10">
                  <c:v>237.27186186974788</c:v>
                </c:pt>
                <c:pt idx="11">
                  <c:v>231.48634453781511</c:v>
                </c:pt>
                <c:pt idx="12">
                  <c:v>224.92942489495798</c:v>
                </c:pt>
                <c:pt idx="13">
                  <c:v>221.36168920693277</c:v>
                </c:pt>
                <c:pt idx="14">
                  <c:v>217.60110294117646</c:v>
                </c:pt>
                <c:pt idx="15">
                  <c:v>213.6476660976891</c:v>
                </c:pt>
                <c:pt idx="16">
                  <c:v>209.50137867647055</c:v>
                </c:pt>
                <c:pt idx="17">
                  <c:v>205.16224067752097</c:v>
                </c:pt>
                <c:pt idx="18">
                  <c:v>200.63025210084032</c:v>
                </c:pt>
                <c:pt idx="19">
                  <c:v>182.47005165099489</c:v>
                </c:pt>
                <c:pt idx="20">
                  <c:v>117.18788256822482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105</c:v>
                </c:pt>
                <c:pt idx="2">
                  <c:v>187.5</c:v>
                </c:pt>
                <c:pt idx="3">
                  <c:v>227.5</c:v>
                </c:pt>
                <c:pt idx="4">
                  <c:v>240</c:v>
                </c:pt>
                <c:pt idx="5">
                  <c:v>247.5</c:v>
                </c:pt>
                <c:pt idx="6">
                  <c:v>250</c:v>
                </c:pt>
                <c:pt idx="7">
                  <c:v>250</c:v>
                </c:pt>
                <c:pt idx="8">
                  <c:v>246.52868960084035</c:v>
                </c:pt>
                <c:pt idx="9">
                  <c:v>242.2859768907563</c:v>
                </c:pt>
                <c:pt idx="10">
                  <c:v>237.27186186974788</c:v>
                </c:pt>
                <c:pt idx="11">
                  <c:v>231.48634453781511</c:v>
                </c:pt>
                <c:pt idx="12">
                  <c:v>224.92942489495798</c:v>
                </c:pt>
                <c:pt idx="13">
                  <c:v>221.36168920693277</c:v>
                </c:pt>
                <c:pt idx="14">
                  <c:v>217.60110294117646</c:v>
                </c:pt>
                <c:pt idx="15">
                  <c:v>213.6476660976891</c:v>
                </c:pt>
                <c:pt idx="16">
                  <c:v>209.50137867647055</c:v>
                </c:pt>
                <c:pt idx="17">
                  <c:v>205.16224067752097</c:v>
                </c:pt>
                <c:pt idx="18">
                  <c:v>200.63025210084032</c:v>
                </c:pt>
                <c:pt idx="19">
                  <c:v>182.47005165099489</c:v>
                </c:pt>
                <c:pt idx="20">
                  <c:v>117.18788256822482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5.2335078534031423</c:v>
                </c:pt>
                <c:pt idx="2">
                  <c:v>18.691099476439792</c:v>
                </c:pt>
                <c:pt idx="3">
                  <c:v>29.158115183246075</c:v>
                </c:pt>
                <c:pt idx="4">
                  <c:v>34.178010471204189</c:v>
                </c:pt>
                <c:pt idx="5">
                  <c:v>38.770680628272252</c:v>
                </c:pt>
                <c:pt idx="6">
                  <c:v>42.72251308900524</c:v>
                </c:pt>
                <c:pt idx="7">
                  <c:v>46.282722513089013</c:v>
                </c:pt>
                <c:pt idx="8">
                  <c:v>49.150850785340317</c:v>
                </c:pt>
                <c:pt idx="9">
                  <c:v>51.755329094988788</c:v>
                </c:pt>
                <c:pt idx="10">
                  <c:v>54.063201196709045</c:v>
                </c:pt>
                <c:pt idx="11">
                  <c:v>56.041510845175765</c:v>
                </c:pt>
                <c:pt idx="12">
                  <c:v>57.657301795063574</c:v>
                </c:pt>
                <c:pt idx="13">
                  <c:v>58.318953931376214</c:v>
                </c:pt>
                <c:pt idx="14">
                  <c:v>58.877617801047123</c:v>
                </c:pt>
                <c:pt idx="15">
                  <c:v>59.329173873410625</c:v>
                </c:pt>
                <c:pt idx="16">
                  <c:v>59.669502617801037</c:v>
                </c:pt>
                <c:pt idx="17">
                  <c:v>59.894484503552725</c:v>
                </c:pt>
                <c:pt idx="18">
                  <c:v>60</c:v>
                </c:pt>
                <c:pt idx="19">
                  <c:v>55.868317385079479</c:v>
                </c:pt>
                <c:pt idx="20" formatCode="0">
                  <c:v>36.714779543887822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5.2335078534031423</c:v>
                </c:pt>
                <c:pt idx="2">
                  <c:v>18.691099476439792</c:v>
                </c:pt>
                <c:pt idx="3">
                  <c:v>29.158115183246075</c:v>
                </c:pt>
                <c:pt idx="4">
                  <c:v>34.178010471204189</c:v>
                </c:pt>
                <c:pt idx="5">
                  <c:v>38.770680628272252</c:v>
                </c:pt>
                <c:pt idx="6">
                  <c:v>42.72251308900524</c:v>
                </c:pt>
                <c:pt idx="7">
                  <c:v>46.282722513089013</c:v>
                </c:pt>
                <c:pt idx="8">
                  <c:v>49.150850785340317</c:v>
                </c:pt>
                <c:pt idx="9">
                  <c:v>51.755329094988788</c:v>
                </c:pt>
                <c:pt idx="10">
                  <c:v>54.063201196709045</c:v>
                </c:pt>
                <c:pt idx="11">
                  <c:v>56.041510845175765</c:v>
                </c:pt>
                <c:pt idx="12">
                  <c:v>57.657301795063574</c:v>
                </c:pt>
                <c:pt idx="13">
                  <c:v>58.318953931376214</c:v>
                </c:pt>
                <c:pt idx="14">
                  <c:v>58.877617801047123</c:v>
                </c:pt>
                <c:pt idx="15">
                  <c:v>59.329173873410625</c:v>
                </c:pt>
                <c:pt idx="16">
                  <c:v>59.669502617801037</c:v>
                </c:pt>
                <c:pt idx="17">
                  <c:v>59.894484503552725</c:v>
                </c:pt>
                <c:pt idx="18">
                  <c:v>60</c:v>
                </c:pt>
                <c:pt idx="19">
                  <c:v>55.868317385079479</c:v>
                </c:pt>
                <c:pt idx="20" formatCode="0">
                  <c:v>36.714779543887822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258.20936639118452</c:v>
                </c:pt>
                <c:pt idx="1">
                  <c:v>234.99173553719004</c:v>
                </c:pt>
                <c:pt idx="2">
                  <c:v>219.33333333333331</c:v>
                </c:pt>
                <c:pt idx="3">
                  <c:v>213.77961432506885</c:v>
                </c:pt>
                <c:pt idx="4">
                  <c:v>211.92837465564739</c:v>
                </c:pt>
                <c:pt idx="5">
                  <c:v>210.69421487603304</c:v>
                </c:pt>
                <c:pt idx="6">
                  <c:v>210.0771349862259</c:v>
                </c:pt>
                <c:pt idx="7">
                  <c:v>210.080738177624</c:v>
                </c:pt>
                <c:pt idx="8">
                  <c:v>210.72664359861591</c:v>
                </c:pt>
                <c:pt idx="9">
                  <c:v>212.01845444059975</c:v>
                </c:pt>
                <c:pt idx="10">
                  <c:v>213.95617070357554</c:v>
                </c:pt>
                <c:pt idx="11">
                  <c:v>216.53979238754326</c:v>
                </c:pt>
                <c:pt idx="12">
                  <c:v>219.76931949250289</c:v>
                </c:pt>
                <c:pt idx="13">
                  <c:v>221.62629757785467</c:v>
                </c:pt>
                <c:pt idx="14">
                  <c:v>223.64475201845443</c:v>
                </c:pt>
                <c:pt idx="15">
                  <c:v>225.82468281430218</c:v>
                </c:pt>
                <c:pt idx="16">
                  <c:v>228.1660899653979</c:v>
                </c:pt>
                <c:pt idx="17">
                  <c:v>230.66897347174162</c:v>
                </c:pt>
                <c:pt idx="18">
                  <c:v>233.33333333333331</c:v>
                </c:pt>
                <c:pt idx="19">
                  <c:v>262.66413347401533</c:v>
                </c:pt>
                <c:pt idx="20">
                  <c:v>418.49847815952091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3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76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5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4">
      <calculatedColumnFormula>(1-(1-Table15[[#This Row],[rpm]]/Table36[idleRpm])^2)*Table7[idleT]</calculatedColumnFormula>
    </tableColumn>
    <tableColumn id="18" name="t2" dataDxfId="73">
      <calculatedColumnFormula>MAX(0,(1-Table7[f1]*(Table36[maxTRpm1]-Table15[[#This Row],[rpm]])^2)*Table36[maxT])</calculatedColumnFormula>
    </tableColumn>
    <tableColumn id="19" name="t3" dataDxfId="72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1">
      <calculatedColumnFormula>MAX(0,(Table36[maxPS]-Table7[f4]*(Table15[[#This Row],[rpm]]-Table36[maxPRpm])^2)/1.36*9550/MAX(1,Table15[[#This Row],[rpm]]))</calculatedColumnFormula>
    </tableColumn>
    <tableColumn id="17" name="t5" dataDxfId="70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9">
      <calculatedColumnFormula>(1-(1-Table15[[#This Row],[rpm]]/Table36[idleRpm])^2)*Table7[idleTEco]</calculatedColumnFormula>
    </tableColumn>
    <tableColumn id="22" name="t2E" dataDxfId="68">
      <calculatedColumnFormula>MAX(0,(1-Table7[f1]*(Table36[maxTRpm1]-Table15[[#This Row],[rpm]])^2)*Table36[maxTEco])</calculatedColumnFormula>
    </tableColumn>
    <tableColumn id="23" name="t3E" dataDxfId="67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6">
      <calculatedColumnFormula>MAX(0,(Table36[maxPSEco]-Table7[f4Eco]*(Table15[[#This Row],[rpm]]-Table36[maxPRpm])^2)/1.36*9550/MAX(1,Table15[[#This Row],[rpm]]))</calculatedColumnFormula>
    </tableColumn>
    <tableColumn id="25" name="t5E" dataDxfId="65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4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3"/>
    <tableColumn id="20" name="deltaEco" dataDxfId="62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1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60"/>
    <tableColumn id="14" name="maxPS" dataDxfId="59"/>
    <tableColumn id="19" name="maxPSEco" dataDxfId="58">
      <calculatedColumnFormula>Table36[maxPS]*Table36[maxPsEcoRate]</calculatedColumnFormula>
    </tableColumn>
    <tableColumn id="2" name="ratedRpm"/>
    <tableColumn id="3" name="PS"/>
    <tableColumn id="20" name="PSEco" dataDxfId="57">
      <calculatedColumnFormula>Table36[PS]*Table36[PSEcoRate]</calculatedColumnFormula>
    </tableColumn>
    <tableColumn id="12" name="maxTRpm1" dataDxfId="56"/>
    <tableColumn id="4" name="maxTRpm" dataDxfId="55"/>
    <tableColumn id="5" name="maxT" dataDxfId="54"/>
    <tableColumn id="21" name="maxTEco" dataDxfId="53">
      <calculatedColumnFormula>Table36[maxT]*Table36[NmEcoRate]</calculatedColumnFormula>
    </tableColumn>
    <tableColumn id="6" name="idleRpm"/>
    <tableColumn id="7" name="idleRatio" dataCellStyle="Percent"/>
    <tableColumn id="11" name="fadeOut" dataDxfId="52"/>
    <tableColumn id="15" name="linearDown" dataDxfId="2"/>
    <tableColumn id="25" name="fadeOutExp" dataDxfId="1">
      <calculatedColumnFormula>IF(Table36[fadeOut]&lt;150,2.2,IF(Table36[fadeOut]&lt;200,2,1.7))</calculatedColumnFormula>
    </tableColumn>
    <tableColumn id="22" name="Efficiency" dataDxfId="0" dataCellStyle="Percent"/>
    <tableColumn id="16" name="Factor" dataDxfId="51"/>
    <tableColumn id="13" name="fuelMinRate" dataDxfId="50"/>
    <tableColumn id="18" name="fuelRatedRate" dataDxfId="49">
      <calculatedColumnFormula>Table36[fuelMinRate]/0.9</calculatedColumnFormula>
    </tableColumn>
    <tableColumn id="9" name="fuelMinRpm" dataDxfId="48">
      <calculatedColumnFormula>ROUND(MIN(0.6*Table36[idleRpm]+0.4*Table36[ratedRpm],0.5*Table36[maxTRpm1]+0.5*Table36[maxTRpm]),-1)</calculatedColumnFormula>
    </tableColumn>
    <tableColumn id="17" name="fuelIdleRate" dataDxfId="47">
      <calculatedColumnFormula>0.94*Table36[fuelRatedRate]</calculatedColumnFormula>
    </tableColumn>
    <tableColumn id="1" name="normRpm" dataDxfId="46">
      <calculatedColumnFormula>ROUND(Table36[ratedRpm]+0.49*Table36[fadeOut],-2)</calculatedColumnFormula>
    </tableColumn>
    <tableColumn id="8" name="PSEcoRate" dataDxfId="45" dataCellStyle="Percent"/>
    <tableColumn id="23" name="NmEcoRate" dataCellStyle="Percent"/>
    <tableColumn id="24" name="maxPsEcoRate" dataDxfId="44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43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42" dataDxfId="41">
  <tableColumns count="23">
    <tableColumn id="1" name="f1" dataDxfId="40">
      <calculatedColumnFormula>(1-Table36[idleRatio])/((Table36[maxTRpm1]-Table36[idleRpm])^2)</calculatedColumnFormula>
    </tableColumn>
    <tableColumn id="2" name="f2" dataDxfId="39">
      <calculatedColumnFormula>(Table36[maxT]-Table7[Nm])/Table36[maxT]/(Table36[maxPRpm]-Table36[maxTRpm])</calculatedColumnFormula>
    </tableColumn>
    <tableColumn id="5" name="f3" dataDxfId="38">
      <calculatedColumnFormula>(Table36[maxT]-Table7[Nm])/Table36[maxT]/(Table36[maxPRpm]-Table36[maxTRpm])^2</calculatedColumnFormula>
    </tableColumn>
    <tableColumn id="6" name="f4" dataDxfId="37">
      <calculatedColumnFormula>(Table36[maxPS]-Table36[PS])/MAX(1,Table36[ratedRpm]-Table36[maxPRpm])^2</calculatedColumnFormula>
    </tableColumn>
    <tableColumn id="3" name="Nm" dataDxfId="36">
      <calculatedColumnFormula>Table36[maxPS]/1.36*9550/Table36[maxPRpm]</calculatedColumnFormula>
    </tableColumn>
    <tableColumn id="4" name="Nm2" dataDxfId="35">
      <calculatedColumnFormula>Table36[PS]/1.36*9550/Table36[ratedRpm]</calculatedColumnFormula>
    </tableColumn>
    <tableColumn id="7" name="Anfahrmoment" dataDxfId="34" dataCellStyle="Percent">
      <calculatedColumnFormula>Table7[Nm1000]/Table7[Nm2]</calculatedColumnFormula>
    </tableColumn>
    <tableColumn id="17" name="AnstiegE" dataDxfId="33" dataCellStyle="Percent">
      <calculatedColumnFormula>Table36[maxTEco]/Table7[Nm2Eco]-1</calculatedColumnFormula>
    </tableColumn>
    <tableColumn id="14" name="Anstieg" dataDxfId="32" dataCellStyle="Percent">
      <calculatedColumnFormula>Table36[maxT]/Table7[Nm2]-1</calculatedColumnFormula>
    </tableColumn>
    <tableColumn id="15" name="Abfall" dataDxfId="31" dataCellStyle="Percent">
      <calculatedColumnFormula>1-Table36[maxTRpm]/Table36[ratedRpm]</calculatedColumnFormula>
    </tableColumn>
    <tableColumn id="20" name="max kW" dataDxfId="30" dataCellStyle="Percent">
      <calculatedColumnFormula>Table36[maxPS]/1.36</calculatedColumnFormula>
    </tableColumn>
    <tableColumn id="18" name="rated kW" dataDxfId="29" dataCellStyle="Percent">
      <calculatedColumnFormula>Table36[PS]/1.36</calculatedColumnFormula>
    </tableColumn>
    <tableColumn id="23" name="max g/kWh" dataDxfId="28" dataCellStyle="Percent">
      <calculatedColumnFormula>Table36[fuelRatedRate]*1.1</calculatedColumnFormula>
    </tableColumn>
    <tableColumn id="16" name="Nm1000" dataDxfId="27" dataCellStyle="Percent">
      <calculatedColumnFormula>(1-Table7[f1]*(Table36[maxTRpm1]-1000)^2)*Table36[maxTEco]</calculatedColumnFormula>
    </tableColumn>
    <tableColumn id="8" name="NmEco" dataDxfId="26">
      <calculatedColumnFormula>Table36[maxPSEco]/1.36*9550/Table36[maxPRpm]</calculatedColumnFormula>
    </tableColumn>
    <tableColumn id="9" name="Nm2Eco" dataDxfId="25">
      <calculatedColumnFormula>Table36[PSEco]/1.36*9550/Table36[ratedRpm]</calculatedColumnFormula>
    </tableColumn>
    <tableColumn id="12" name="f2Eco" dataDxfId="24">
      <calculatedColumnFormula>(Table36[maxTEco]-Table7[NmEco])/Table36[maxTEco]/(Table36[maxPRpm]-Table36[maxTRpm])</calculatedColumnFormula>
    </tableColumn>
    <tableColumn id="10" name="f3Eco" dataDxfId="23">
      <calculatedColumnFormula>(Table36[maxTEco]-Table7[NmEco])/Table36[maxTEco]/(Table36[maxPRpm]-Table36[maxTRpm])^2</calculatedColumnFormula>
    </tableColumn>
    <tableColumn id="11" name="f4Eco" dataDxfId="22">
      <calculatedColumnFormula>(Table36[maxPSEco]-Table36[PSEco])/MAX(1,Table36[ratedRpm]-Table36[maxPRpm])^2</calculatedColumnFormula>
    </tableColumn>
    <tableColumn id="13" name="idleT" dataDxfId="21">
      <calculatedColumnFormula>(1-Table7[f1]*(Table36[maxTRpm1]-Table36[idleRpm])^2)*Table36[maxT]</calculatedColumnFormula>
    </tableColumn>
    <tableColumn id="19" name="idleTEco" dataDxfId="20">
      <calculatedColumnFormula>(1-Table7[f1]*(Table36[maxTRpm1]-Table36[idleRpm])^2)*Table36[maxTEco]</calculatedColumnFormula>
    </tableColumn>
    <tableColumn id="21" name="xmlComment" dataDxfId="19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8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7">
      <calculatedColumnFormula>A2*C2/9550</calculatedColumnFormula>
    </tableColumn>
    <tableColumn id="3" name="ps" dataDxfId="16">
      <calculatedColumnFormula>Table1[[#This Row],[kw_pto]]*1.36/0.94</calculatedColumnFormula>
    </tableColumn>
    <tableColumn id="4" name="motor"/>
    <tableColumn id="5" name="xml" dataDxfId="15">
      <calculatedColumnFormula>CONCATENATE("&lt;torque rpm=""",Table1[[#This Row],[rpm]],""" motorTorque=""",ROUND(Table1[[#This Row],[motor]],0),"""/&gt;")</calculatedColumnFormula>
    </tableColumn>
    <tableColumn id="8" name="xml2" dataDxfId="14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13" tableBorderDxfId="12">
  <tableColumns count="9">
    <tableColumn id="1" name="maxPRpm" dataDxfId="11"/>
    <tableColumn id="2" name="maxPS" dataDxfId="10"/>
    <tableColumn id="4" name="ratedRpm" dataDxfId="9"/>
    <tableColumn id="5" name="PS" dataDxfId="8"/>
    <tableColumn id="7" name="maxTRpm1" dataDxfId="7"/>
    <tableColumn id="8" name="maxTRpm" dataDxfId="6"/>
    <tableColumn id="9" name="maxT" dataDxfId="5"/>
    <tableColumn id="11" name="idleRpm" dataDxfId="4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T2" sqref="T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1">
        <v>2100</v>
      </c>
      <c r="B2" s="12">
        <v>60</v>
      </c>
      <c r="C2" s="16">
        <f>Table36[maxPS]*Table36[maxPsEcoRate]</f>
        <v>60</v>
      </c>
      <c r="D2" s="7">
        <v>2100</v>
      </c>
      <c r="E2" s="8">
        <v>60</v>
      </c>
      <c r="F2" s="17">
        <f>Table36[PS]*Table36[PSEcoRate]</f>
        <v>60</v>
      </c>
      <c r="G2" s="11">
        <v>1200</v>
      </c>
      <c r="H2" s="12">
        <v>1300</v>
      </c>
      <c r="I2" s="12">
        <v>250</v>
      </c>
      <c r="J2" s="16">
        <f>Table36[maxT]*Table36[NmEcoRate]</f>
        <v>250</v>
      </c>
      <c r="K2" s="26">
        <v>700</v>
      </c>
      <c r="L2" s="27">
        <v>0.75</v>
      </c>
      <c r="M2" s="28">
        <v>149</v>
      </c>
      <c r="N2" s="11">
        <v>0.5</v>
      </c>
      <c r="O2" s="46">
        <f>IF(Table36[fadeOut]&lt;150,2.2,IF(Table36[fadeOut]&lt;200,2,1.7))</f>
        <v>2.2000000000000002</v>
      </c>
      <c r="P2" s="51">
        <v>0.98</v>
      </c>
      <c r="Q2" s="13">
        <v>1</v>
      </c>
      <c r="R2" s="25">
        <v>210</v>
      </c>
      <c r="S2" s="14">
        <f>Table36[fuelMinRate]/0.9</f>
        <v>233.33333333333331</v>
      </c>
      <c r="T2" s="15">
        <f>ROUND(MIN(0.6*Table36[idleRpm]+0.4*Table36[ratedRpm],0.5*Table36[maxTRpm1]+0.5*Table36[maxTRpm]),-1)</f>
        <v>1250</v>
      </c>
      <c r="U2" s="17">
        <f>0.94*Table36[fuelRatedRate]</f>
        <v>219.33333333333331</v>
      </c>
      <c r="V2" s="14">
        <f>ROUND(Table36[ratedRpm]+0.49*Table36[fadeOut],-2)</f>
        <v>2200</v>
      </c>
      <c r="W2" s="47">
        <v>1</v>
      </c>
      <c r="X2" s="48">
        <v>1</v>
      </c>
      <c r="Y2" s="49">
        <f>Table36[PSEcoRate]* (Table36[maxPRpm]-Table36[maxTRpm])/(Table36[ratedRpm]-Table36[maxTRpm]) + Table36[NmEcoRate]* (1- (Table36[maxPRpm]-Table36[maxTRpm])/(Table36[ratedRpm]-Table36[maxTRpm]))</f>
        <v>1</v>
      </c>
      <c r="Z2" s="50">
        <v>0.02</v>
      </c>
    </row>
    <row r="3" spans="1:26" x14ac:dyDescent="0.25">
      <c r="A3" s="10" t="s">
        <v>16</v>
      </c>
      <c r="B3" s="10" t="s">
        <v>17</v>
      </c>
      <c r="C3" s="10" t="s">
        <v>24</v>
      </c>
      <c r="D3" s="10" t="s">
        <v>26</v>
      </c>
      <c r="E3" s="10" t="s">
        <v>19</v>
      </c>
      <c r="F3" s="10" t="s">
        <v>20</v>
      </c>
      <c r="G3" s="21" t="s">
        <v>27</v>
      </c>
      <c r="H3" s="22" t="s">
        <v>66</v>
      </c>
      <c r="I3" s="22" t="s">
        <v>61</v>
      </c>
      <c r="J3" s="22" t="s">
        <v>62</v>
      </c>
      <c r="K3" s="21" t="s">
        <v>69</v>
      </c>
      <c r="L3" s="22" t="s">
        <v>70</v>
      </c>
      <c r="M3" s="23" t="s">
        <v>71</v>
      </c>
      <c r="N3" s="10" t="s">
        <v>65</v>
      </c>
      <c r="O3" s="10" t="s">
        <v>37</v>
      </c>
      <c r="P3" s="10" t="s">
        <v>38</v>
      </c>
      <c r="Q3" s="10" t="s">
        <v>41</v>
      </c>
      <c r="R3" s="10" t="s">
        <v>39</v>
      </c>
      <c r="S3" s="10" t="s">
        <v>40</v>
      </c>
      <c r="T3" s="10" t="s">
        <v>42</v>
      </c>
      <c r="U3" s="10" t="s">
        <v>48</v>
      </c>
      <c r="V3" s="10" t="s">
        <v>28</v>
      </c>
      <c r="W3" s="34" t="s">
        <v>76</v>
      </c>
    </row>
    <row r="4" spans="1:26" ht="15.75" thickBot="1" x14ac:dyDescent="0.3">
      <c r="A4" s="10">
        <f>(1-Table36[idleRatio])/((Table36[maxTRpm1]-Table36[idleRpm])^2)</f>
        <v>9.9999999999999995E-7</v>
      </c>
      <c r="B4" s="10">
        <f>(Table36[maxT]-Table7[Nm])/Table36[maxT]/(Table36[maxPRpm]-Table36[maxTRpm])</f>
        <v>2.468487394957984E-4</v>
      </c>
      <c r="C4" s="10">
        <f>(Table36[maxT]-Table7[Nm])/Table36[maxT]/(Table36[maxPRpm]-Table36[maxTRpm])^2</f>
        <v>3.0856092436974796E-7</v>
      </c>
      <c r="D4" s="10">
        <f>(Table36[maxPS]-Table36[PS])/MAX(1,Table36[ratedRpm]-Table36[maxPRpm])^2</f>
        <v>0</v>
      </c>
      <c r="E4" s="10">
        <f>Table36[maxPS]/1.36*9550/Table36[maxPRpm]</f>
        <v>200.63025210084032</v>
      </c>
      <c r="F4" s="10">
        <f>Table36[PS]/1.36*9550/Table36[ratedRpm]</f>
        <v>200.63025210084032</v>
      </c>
      <c r="G4" s="20">
        <f>Table7[Nm1000]/Table7[Nm2]</f>
        <v>1.1962303664921468</v>
      </c>
      <c r="H4" s="33">
        <f>Table36[maxTEco]/Table7[Nm2Eco]-1</f>
        <v>0.24607329842931946</v>
      </c>
      <c r="I4" s="33">
        <f>Table36[maxT]/Table7[Nm2]-1</f>
        <v>0.24607329842931946</v>
      </c>
      <c r="J4" s="33">
        <f>1-Table36[maxTRpm]/Table36[ratedRpm]</f>
        <v>0.38095238095238093</v>
      </c>
      <c r="K4" s="29">
        <f>Table36[maxPS]/1.36</f>
        <v>44.117647058823529</v>
      </c>
      <c r="L4" s="30">
        <f>Table36[PS]/1.36</f>
        <v>44.117647058823529</v>
      </c>
      <c r="M4" s="31">
        <f>Table36[fuelRatedRate]*1.1</f>
        <v>256.66666666666669</v>
      </c>
      <c r="N4" s="10">
        <f>(1-Table7[f1]*(Table36[maxTRpm1]-1000)^2)*Table36[maxTEco]</f>
        <v>240</v>
      </c>
      <c r="O4" s="10">
        <f>Table36[maxPSEco]/1.36*9550/Table36[maxPRpm]</f>
        <v>200.63025210084032</v>
      </c>
      <c r="P4" s="10">
        <f>Table36[PSEco]/1.36*9550/Table36[ratedRpm]</f>
        <v>200.63025210084032</v>
      </c>
      <c r="Q4" s="10">
        <f>(Table36[maxTEco]-Table7[NmEco])/Table36[maxTEco]/(Table36[maxPRpm]-Table36[maxTRpm])</f>
        <v>2.468487394957984E-4</v>
      </c>
      <c r="R4" s="10">
        <f>(Table36[maxTEco]-Table7[NmEco])/Table36[maxTEco]/(Table36[maxPRpm]-Table36[maxTRpm])^2</f>
        <v>3.0856092436974796E-7</v>
      </c>
      <c r="S4" s="10">
        <f>(Table36[maxPSEco]-Table36[PSEco])/MAX(1,Table36[ratedRpm]-Table36[maxPRpm])^2</f>
        <v>0</v>
      </c>
      <c r="T4" s="10">
        <f>(1-Table7[f1]*(Table36[maxTRpm1]-Table36[idleRpm])^2)*Table36[maxT]</f>
        <v>187.5</v>
      </c>
      <c r="U4" s="10">
        <f>(1-Table7[f1]*(Table36[maxTRpm1]-Table36[idleRpm])^2)*Table36[maxTEco]</f>
        <v>187.5</v>
      </c>
      <c r="V4" s="10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&lt;!-- 2100: 60(60) | 2100: 60(60) | 1200..1300: 250(250) | 75 | 0.5 | 149 | 2.2 | 2200 | 1250: 210 --&gt;</v>
      </c>
      <c r="W4" s="34">
        <f>MAX(Table15[deltaEco])</f>
        <v>0</v>
      </c>
    </row>
    <row r="6" spans="1:26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8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8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4">
        <f>1.36*Table15[[#This Row],[rpm]]*Table15[[#This Row],[motor]]/9550</f>
        <v>0</v>
      </c>
      <c r="I7" s="24">
        <f>1.36*Table15[[#This Row],[rpm]]*Table15[[#This Row],[motorEco]]/9550</f>
        <v>0</v>
      </c>
      <c r="J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258.20936639118452</v>
      </c>
      <c r="K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&lt;!-- 2100: 60(60) | 2100: 60(60) | 1200..1300: 250(250) | 75 | 0.5 | 149 | 2.2 | 2200 | 1250: 210 --&gt;</v>
      </c>
      <c r="L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&lt;!-- 2100: 60(60) | 2100: 60(60) | 1200..1300: 250(250) | 75 | 0.5 | 149 | 2.2 | 2200 | 1250: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224.92942489495798</v>
      </c>
      <c r="P7" s="3">
        <f>MAX(0,(Table36[maxPS]-Table7[f4]*(Table15[[#This Row],[rpm]]-Table36[maxPRpm])^2)/1.36*9550/MAX(1,Table15[[#This Row],[rpm]]))</f>
        <v>421323.5294117647</v>
      </c>
      <c r="Q7" s="3">
        <f>MAX(0,Table7[Nm2]*MIN(Table36[ratedRpm]/MAX(1,Table15[[#This Row],[rpm]]),1-(MAX(0,Table15[[#This Row],[rpm]]-Table36[ratedRpm])/Table36[fadeOut])^Table36[fadeOutExp]))</f>
        <v>200.63025210084032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224.92942489495798</v>
      </c>
      <c r="U7" s="3">
        <f>MAX(0,(Table36[maxPSEco]-Table7[f4Eco]*(Table15[[#This Row],[rpm]]-Table36[maxPRpm])^2)/1.36*9550/MAX(1,Table15[[#This Row],[rpm]]))</f>
        <v>421323.5294117647</v>
      </c>
      <c r="V7" s="3">
        <f>MAX(0,Table7[Nm2Eco]*MIN(Table36[ratedRpm]/MAX(1,Table15[[#This Row],[rpm]]),1-(MAX(0,Table15[[#This Row],[rpm]]-Table36[ratedRpm])/Table36[fadeOut])^Table36[fadeOutExp]))</f>
        <v>200.63025210084032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105</v>
      </c>
      <c r="C8" s="19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105</v>
      </c>
      <c r="E8" s="19"/>
      <c r="F8" s="3">
        <f>Table36[Factor]*IF(Table15[[#This Row],[manualData]]&gt;0,Table15[[#This Row],[manualData]],Table15[[#This Row],[rawData]])</f>
        <v>105</v>
      </c>
      <c r="G8" s="3">
        <f>Table36[Factor]*IF(Table15[[#This Row],[manDataEco]]&gt;0,Table15[[#This Row],[manDataEco]],Table15[[#This Row],[rawDataEco]])</f>
        <v>105</v>
      </c>
      <c r="H8" s="24">
        <f>1.36*Table15[[#This Row],[rpm]]*Table15[[#This Row],[motor]]/9550</f>
        <v>5.2335078534031423</v>
      </c>
      <c r="I8" s="24">
        <f>1.36*Table15[[#This Row],[rpm]]*Table15[[#This Row],[motorEco]]/9550</f>
        <v>5.2335078534031423</v>
      </c>
      <c r="J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234.99173553719004</v>
      </c>
      <c r="K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motorTorque="105" fuelUsageRatio="235"/&gt;</v>
      </c>
      <c r="L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torque="0.42"/&gt;</v>
      </c>
      <c r="M8" s="3">
        <f>(1-(1-Table15[[#This Row],[rpm]]/Table36[idleRpm])^2)*Table7[idleT]</f>
        <v>140.625</v>
      </c>
      <c r="N8" s="3">
        <f>MAX(0,(1-Table7[f1]*(Table36[maxTRpm1]-Table15[[#This Row],[rpm]])^2)*Table36[maxT])</f>
        <v>69.375000000000014</v>
      </c>
      <c r="O8" s="3">
        <f>MAX(0,(Table36[linearDown]*(1-Table7[f2]*(Table15[[#This Row],[rpm]]-Table36[maxTRpm]))+(1-Table36[linearDown])*(1-Table7[f3]*(Table15[[#This Row],[rpm]]-Table36[maxTRpm])^2))*Table36[maxT])</f>
        <v>244.50375853466389</v>
      </c>
      <c r="P8" s="3">
        <f>MAX(0,(Table36[maxPS]-Table7[f4]*(Table15[[#This Row],[rpm]]-Table36[maxPRpm])^2)/1.36*9550/MAX(1,Table15[[#This Row],[rpm]]))</f>
        <v>1203.7815126050421</v>
      </c>
      <c r="Q8" s="3">
        <f>MAX(0,Table7[Nm2]*MIN(Table36[ratedRpm]/MAX(1,Table15[[#This Row],[rpm]]),1-(MAX(0,Table15[[#This Row],[rpm]]-Table36[ratedRpm])/Table36[fadeOut])^Table36[fadeOutExp]))</f>
        <v>200.63025210084032</v>
      </c>
      <c r="R8" s="3">
        <f>(1-(1-Table15[[#This Row],[rpm]]/Table36[idleRpm])^2)*Table7[idleTEco]</f>
        <v>140.625</v>
      </c>
      <c r="S8" s="3">
        <f>MAX(0,(1-Table7[f1]*(Table36[maxTRpm1]-Table15[[#This Row],[rpm]])^2)*Table36[maxTEco])</f>
        <v>69.375000000000014</v>
      </c>
      <c r="T8" s="3">
        <f>MAX(0,(Table36[linearDown]*(1-Table7[f2Eco]*(Table15[[#This Row],[rpm]]-Table36[maxTRpm]))+(1-Table36[linearDown])*(1-Table7[f3Eco]*(Table15[[#This Row],[rpm]]-Table36[maxTRpm])^2))*Table36[maxTEco])</f>
        <v>244.50375853466389</v>
      </c>
      <c r="U8" s="3">
        <f>MAX(0,(Table36[maxPSEco]-Table7[f4Eco]*(Table15[[#This Row],[rpm]]-Table36[maxPRpm])^2)/1.36*9550/MAX(1,Table15[[#This Row],[rpm]]))</f>
        <v>1203.7815126050421</v>
      </c>
      <c r="V8" s="3">
        <f>MAX(0,Table7[Nm2Eco]*MIN(Table36[ratedRpm]/MAX(1,Table15[[#This Row],[rpm]]),1-(MAX(0,Table15[[#This Row],[rpm]]-Table36[ratedRpm])/Table36[fadeOut])^Table36[fadeOutExp]))</f>
        <v>200.63025210084032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1183.7184873949582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1183.7184873949582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187.5</v>
      </c>
      <c r="C9" s="19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187.5</v>
      </c>
      <c r="E9" s="19"/>
      <c r="F9" s="3">
        <f>Table36[Factor]*IF(Table15[[#This Row],[manualData]]&gt;0,Table15[[#This Row],[manualData]],Table15[[#This Row],[rawData]])</f>
        <v>187.5</v>
      </c>
      <c r="G9" s="3">
        <f>Table36[Factor]*IF(Table15[[#This Row],[manDataEco]]&gt;0,Table15[[#This Row],[manDataEco]],Table15[[#This Row],[rawDataEco]])</f>
        <v>187.5</v>
      </c>
      <c r="H9" s="24">
        <f>1.36*Table15[[#This Row],[rpm]]*Table15[[#This Row],[motor]]/9550</f>
        <v>18.691099476439792</v>
      </c>
      <c r="I9" s="24">
        <f>1.36*Table15[[#This Row],[rpm]]*Table15[[#This Row],[motorEco]]/9550</f>
        <v>18.691099476439792</v>
      </c>
      <c r="J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219.33333333333331</v>
      </c>
      <c r="K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motorTorque="188" fuelUsageRatio="219.3"/&gt;</v>
      </c>
      <c r="L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torque="0.75"/&gt;</v>
      </c>
      <c r="M9" s="3">
        <f>(1-(1-Table15[[#This Row],[rpm]]/Table36[idleRpm])^2)*Table7[idleT]</f>
        <v>187.5</v>
      </c>
      <c r="N9" s="3">
        <f>MAX(0,(1-Table7[f1]*(Table36[maxTRpm1]-Table15[[#This Row],[rpm]])^2)*Table36[maxT])</f>
        <v>187.5</v>
      </c>
      <c r="O9" s="3">
        <f>MAX(0,(Table36[linearDown]*(1-Table7[f2]*(Table15[[#This Row],[rpm]]-Table36[maxTRpm]))+(1-Table36[linearDown])*(1-Table7[f3]*(Table15[[#This Row],[rpm]]-Table36[maxTRpm])^2))*Table36[maxT])</f>
        <v>254.62841386554624</v>
      </c>
      <c r="P9" s="3">
        <f>MAX(0,(Table36[maxPS]-Table7[f4]*(Table15[[#This Row],[rpm]]-Table36[maxPRpm])^2)/1.36*9550/MAX(1,Table15[[#This Row],[rpm]]))</f>
        <v>601.89075630252103</v>
      </c>
      <c r="Q9" s="3">
        <f>MAX(0,Table7[Nm2]*MIN(Table36[ratedRpm]/MAX(1,Table15[[#This Row],[rpm]]),1-(MAX(0,Table15[[#This Row],[rpm]]-Table36[ratedRpm])/Table36[fadeOut])^Table36[fadeOutExp]))</f>
        <v>200.63025210084032</v>
      </c>
      <c r="R9" s="3">
        <f>(1-(1-Table15[[#This Row],[rpm]]/Table36[idleRpm])^2)*Table7[idleTEco]</f>
        <v>187.5</v>
      </c>
      <c r="S9" s="3">
        <f>MAX(0,(1-Table7[f1]*(Table36[maxTRpm1]-Table15[[#This Row],[rpm]])^2)*Table36[maxTEco])</f>
        <v>187.5</v>
      </c>
      <c r="T9" s="3">
        <f>MAX(0,(Table36[linearDown]*(1-Table7[f2Eco]*(Table15[[#This Row],[rpm]]-Table36[maxTRpm]))+(1-Table36[linearDown])*(1-Table7[f3Eco]*(Table15[[#This Row],[rpm]]-Table36[maxTRpm])^2))*Table36[maxTEco])</f>
        <v>254.62841386554624</v>
      </c>
      <c r="U9" s="3">
        <f>MAX(0,(Table36[maxPSEco]-Table7[f4Eco]*(Table15[[#This Row],[rpm]]-Table36[maxPRpm])^2)/1.36*9550/MAX(1,Table15[[#This Row],[rpm]]))</f>
        <v>601.89075630252103</v>
      </c>
      <c r="V9" s="3">
        <f>MAX(0,Table7[Nm2Eco]*MIN(Table36[ratedRpm]/MAX(1,Table15[[#This Row],[rpm]]),1-(MAX(0,Table15[[#This Row],[rpm]]-Table36[ratedRpm])/Table36[fadeOut])^Table36[fadeOutExp]))</f>
        <v>200.63025210084032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593.86554621848734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593.86554621848734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227.5</v>
      </c>
      <c r="C10" s="19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227.5</v>
      </c>
      <c r="E10" s="19"/>
      <c r="F10" s="3">
        <f>Table36[Factor]*IF(Table15[[#This Row],[manualData]]&gt;0,Table15[[#This Row],[manualData]],Table15[[#This Row],[rawData]])</f>
        <v>227.5</v>
      </c>
      <c r="G10" s="3">
        <f>Table36[Factor]*IF(Table15[[#This Row],[manDataEco]]&gt;0,Table15[[#This Row],[manDataEco]],Table15[[#This Row],[rawDataEco]])</f>
        <v>227.5</v>
      </c>
      <c r="H10" s="24">
        <f>1.36*Table15[[#This Row],[rpm]]*Table15[[#This Row],[motor]]/9550</f>
        <v>29.158115183246075</v>
      </c>
      <c r="I10" s="24">
        <f>1.36*Table15[[#This Row],[rpm]]*Table15[[#This Row],[motorEco]]/9550</f>
        <v>29.158115183246075</v>
      </c>
      <c r="J1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213.77961432506885</v>
      </c>
      <c r="K1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motorTorque="228" fuelUsageRatio="213.8"/&gt;</v>
      </c>
      <c r="L1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torque="0.91"/&gt;</v>
      </c>
      <c r="M10" s="3">
        <f>(1-(1-Table15[[#This Row],[rpm]]/Table36[idleRpm])^2)*Table7[idleT]</f>
        <v>172.19387755102039</v>
      </c>
      <c r="N10" s="3">
        <f>MAX(0,(1-Table7[f1]*(Table36[maxTRpm1]-Table15[[#This Row],[rpm]])^2)*Table36[maxT])</f>
        <v>227.5</v>
      </c>
      <c r="O10" s="3">
        <f>MAX(0,(Table36[linearDown]*(1-Table7[f2]*(Table15[[#This Row],[rpm]]-Table36[maxTRpm]))+(1-Table36[linearDown])*(1-Table7[f3]*(Table15[[#This Row],[rpm]]-Table36[maxTRpm])^2))*Table36[maxT])</f>
        <v>256.17121848739498</v>
      </c>
      <c r="P10" s="3">
        <f>MAX(0,(Table36[maxPS]-Table7[f4]*(Table15[[#This Row],[rpm]]-Table36[maxPRpm])^2)/1.36*9550/MAX(1,Table15[[#This Row],[rpm]]))</f>
        <v>468.13725490196077</v>
      </c>
      <c r="Q10" s="3">
        <f>MAX(0,Table7[Nm2]*MIN(Table36[ratedRpm]/MAX(1,Table15[[#This Row],[rpm]]),1-(MAX(0,Table15[[#This Row],[rpm]]-Table36[ratedRpm])/Table36[fadeOut])^Table36[fadeOutExp]))</f>
        <v>200.63025210084032</v>
      </c>
      <c r="R10" s="3">
        <f>(1-(1-Table15[[#This Row],[rpm]]/Table36[idleRpm])^2)*Table7[idleTEco]</f>
        <v>172.19387755102039</v>
      </c>
      <c r="S10" s="3">
        <f>MAX(0,(1-Table7[f1]*(Table36[maxTRpm1]-Table15[[#This Row],[rpm]])^2)*Table36[maxTEco])</f>
        <v>227.5</v>
      </c>
      <c r="T10" s="3">
        <f>MAX(0,(Table36[linearDown]*(1-Table7[f2Eco]*(Table15[[#This Row],[rpm]]-Table36[maxTRpm]))+(1-Table36[linearDown])*(1-Table7[f3Eco]*(Table15[[#This Row],[rpm]]-Table36[maxTRpm])^2))*Table36[maxTEco])</f>
        <v>256.17121848739498</v>
      </c>
      <c r="U10" s="3">
        <f>MAX(0,(Table36[maxPSEco]-Table7[f4Eco]*(Table15[[#This Row],[rpm]]-Table36[maxPRpm])^2)/1.36*9550/MAX(1,Table15[[#This Row],[rpm]]))</f>
        <v>468.13725490196077</v>
      </c>
      <c r="V10" s="3">
        <f>MAX(0,Table7[Nm2Eco]*MIN(Table36[ratedRpm]/MAX(1,Table15[[#This Row],[rpm]]),1-(MAX(0,Table15[[#This Row],[rpm]]-Table36[ratedRpm])/Table36[fadeOut])^Table36[fadeOutExp]))</f>
        <v>200.63025210084032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462.78711484593839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462.78711484593839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240</v>
      </c>
      <c r="C11" s="19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240</v>
      </c>
      <c r="E11" s="19"/>
      <c r="F11" s="3">
        <f>Table36[Factor]*IF(Table15[[#This Row],[manualData]]&gt;0,Table15[[#This Row],[manualData]],Table15[[#This Row],[rawData]])</f>
        <v>240</v>
      </c>
      <c r="G11" s="3">
        <f>Table36[Factor]*IF(Table15[[#This Row],[manDataEco]]&gt;0,Table15[[#This Row],[manDataEco]],Table15[[#This Row],[rawDataEco]])</f>
        <v>240</v>
      </c>
      <c r="H11" s="24">
        <f>1.36*Table15[[#This Row],[rpm]]*Table15[[#This Row],[motor]]/9550</f>
        <v>34.178010471204189</v>
      </c>
      <c r="I11" s="24">
        <f>1.36*Table15[[#This Row],[rpm]]*Table15[[#This Row],[motorEco]]/9550</f>
        <v>34.178010471204189</v>
      </c>
      <c r="J1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211.92837465564739</v>
      </c>
      <c r="K1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motorTorque="240" fuelUsageRatio="211.9"/&gt;</v>
      </c>
      <c r="L1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torque="0.96"/&gt;</v>
      </c>
      <c r="M11" s="3">
        <f>(1-(1-Table15[[#This Row],[rpm]]/Table36[idleRpm])^2)*Table7[idleT]</f>
        <v>153.06122448979593</v>
      </c>
      <c r="N11" s="3">
        <f>MAX(0,(1-Table7[f1]*(Table36[maxTRpm1]-Table15[[#This Row],[rpm]])^2)*Table36[maxT])</f>
        <v>240</v>
      </c>
      <c r="O11" s="3">
        <f>MAX(0,(Table36[linearDown]*(1-Table7[f2]*(Table15[[#This Row],[rpm]]-Table36[maxTRpm]))+(1-Table36[linearDown])*(1-Table7[f3]*(Table15[[#This Row],[rpm]]-Table36[maxTRpm])^2))*Table36[maxT])</f>
        <v>255.78551733193277</v>
      </c>
      <c r="P11" s="3">
        <f>MAX(0,(Table36[maxPS]-Table7[f4]*(Table15[[#This Row],[rpm]]-Table36[maxPRpm])^2)/1.36*9550/MAX(1,Table15[[#This Row],[rpm]]))</f>
        <v>421.3235294117647</v>
      </c>
      <c r="Q11" s="3">
        <f>MAX(0,Table7[Nm2]*MIN(Table36[ratedRpm]/MAX(1,Table15[[#This Row],[rpm]]),1-(MAX(0,Table15[[#This Row],[rpm]]-Table36[ratedRpm])/Table36[fadeOut])^Table36[fadeOutExp]))</f>
        <v>200.63025210084032</v>
      </c>
      <c r="R11" s="3">
        <f>(1-(1-Table15[[#This Row],[rpm]]/Table36[idleRpm])^2)*Table7[idleTEco]</f>
        <v>153.06122448979593</v>
      </c>
      <c r="S11" s="3">
        <f>MAX(0,(1-Table7[f1]*(Table36[maxTRpm1]-Table15[[#This Row],[rpm]])^2)*Table36[maxTEco])</f>
        <v>240</v>
      </c>
      <c r="T11" s="3">
        <f>MAX(0,(Table36[linearDown]*(1-Table7[f2Eco]*(Table15[[#This Row],[rpm]]-Table36[maxTRpm]))+(1-Table36[linearDown])*(1-Table7[f3Eco]*(Table15[[#This Row],[rpm]]-Table36[maxTRpm])^2))*Table36[maxTEco])</f>
        <v>255.78551733193277</v>
      </c>
      <c r="U11" s="3">
        <f>MAX(0,(Table36[maxPSEco]-Table7[f4Eco]*(Table15[[#This Row],[rpm]]-Table36[maxPRpm])^2)/1.36*9550/MAX(1,Table15[[#This Row],[rpm]]))</f>
        <v>421.3235294117647</v>
      </c>
      <c r="V11" s="3">
        <f>MAX(0,Table7[Nm2Eco]*MIN(Table36[ratedRpm]/MAX(1,Table15[[#This Row],[rpm]]),1-(MAX(0,Table15[[#This Row],[rpm]]-Table36[ratedRpm])/Table36[fadeOut])^Table36[fadeOutExp]))</f>
        <v>200.63025210084032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416.90966386554618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416.90966386554618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247.5</v>
      </c>
      <c r="C12" s="19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247.5</v>
      </c>
      <c r="E12" s="19"/>
      <c r="F12" s="3">
        <f>Table36[Factor]*IF(Table15[[#This Row],[manualData]]&gt;0,Table15[[#This Row],[manualData]],Table15[[#This Row],[rawData]])</f>
        <v>247.5</v>
      </c>
      <c r="G12" s="3">
        <f>Table36[Factor]*IF(Table15[[#This Row],[manDataEco]]&gt;0,Table15[[#This Row],[manDataEco]],Table15[[#This Row],[rawDataEco]])</f>
        <v>247.5</v>
      </c>
      <c r="H12" s="24">
        <f>1.36*Table15[[#This Row],[rpm]]*Table15[[#This Row],[motor]]/9550</f>
        <v>38.770680628272252</v>
      </c>
      <c r="I12" s="24">
        <f>1.36*Table15[[#This Row],[rpm]]*Table15[[#This Row],[motorEco]]/9550</f>
        <v>38.770680628272252</v>
      </c>
      <c r="J1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210.69421487603304</v>
      </c>
      <c r="K1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motorTorque="248" fuelUsageRatio="210.7"/&gt;</v>
      </c>
      <c r="L1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torque="0.99"/&gt;</v>
      </c>
      <c r="M12" s="3">
        <f>(1-(1-Table15[[#This Row],[rpm]]/Table36[idleRpm])^2)*Table7[idleT]</f>
        <v>126.27551020408164</v>
      </c>
      <c r="N12" s="3">
        <f>MAX(0,(1-Table7[f1]*(Table36[maxTRpm1]-Table15[[#This Row],[rpm]])^2)*Table36[maxT])</f>
        <v>247.5</v>
      </c>
      <c r="O12" s="3">
        <f>MAX(0,(Table36[linearDown]*(1-Table7[f2]*(Table15[[#This Row],[rpm]]-Table36[maxTRpm]))+(1-Table36[linearDown])*(1-Table7[f3]*(Table15[[#This Row],[rpm]]-Table36[maxTRpm])^2))*Table36[maxT])</f>
        <v>254.62841386554624</v>
      </c>
      <c r="P12" s="3">
        <f>MAX(0,(Table36[maxPS]-Table7[f4]*(Table15[[#This Row],[rpm]]-Table36[maxPRpm])^2)/1.36*9550/MAX(1,Table15[[#This Row],[rpm]]))</f>
        <v>383.02139037433153</v>
      </c>
      <c r="Q12" s="3">
        <f>MAX(0,Table7[Nm2]*MIN(Table36[ratedRpm]/MAX(1,Table15[[#This Row],[rpm]]),1-(MAX(0,Table15[[#This Row],[rpm]]-Table36[ratedRpm])/Table36[fadeOut])^Table36[fadeOutExp]))</f>
        <v>200.63025210084032</v>
      </c>
      <c r="R12" s="3">
        <f>(1-(1-Table15[[#This Row],[rpm]]/Table36[idleRpm])^2)*Table7[idleTEco]</f>
        <v>126.27551020408164</v>
      </c>
      <c r="S12" s="3">
        <f>MAX(0,(1-Table7[f1]*(Table36[maxTRpm1]-Table15[[#This Row],[rpm]])^2)*Table36[maxTEco])</f>
        <v>247.5</v>
      </c>
      <c r="T12" s="3">
        <f>MAX(0,(Table36[linearDown]*(1-Table7[f2Eco]*(Table15[[#This Row],[rpm]]-Table36[maxTRpm]))+(1-Table36[linearDown])*(1-Table7[f3Eco]*(Table15[[#This Row],[rpm]]-Table36[maxTRpm])^2))*Table36[maxTEco])</f>
        <v>254.62841386554624</v>
      </c>
      <c r="U12" s="3">
        <f>MAX(0,(Table36[maxPSEco]-Table7[f4Eco]*(Table15[[#This Row],[rpm]]-Table36[maxPRpm])^2)/1.36*9550/MAX(1,Table15[[#This Row],[rpm]]))</f>
        <v>383.02139037433153</v>
      </c>
      <c r="V12" s="3">
        <f>MAX(0,Table7[Nm2Eco]*MIN(Table36[ratedRpm]/MAX(1,Table15[[#This Row],[rpm]]),1-(MAX(0,Table15[[#This Row],[rpm]]-Table36[ratedRpm])/Table36[fadeOut])^Table36[fadeOutExp]))</f>
        <v>200.63025210084032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379.37356760886172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379.37356760886172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250</v>
      </c>
      <c r="C13" s="19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250</v>
      </c>
      <c r="E13" s="19"/>
      <c r="F13" s="3">
        <f>Table36[Factor]*IF(Table15[[#This Row],[manualData]]&gt;0,Table15[[#This Row],[manualData]],Table15[[#This Row],[rawData]])</f>
        <v>250</v>
      </c>
      <c r="G13" s="3">
        <f>Table36[Factor]*IF(Table15[[#This Row],[manDataEco]]&gt;0,Table15[[#This Row],[manDataEco]],Table15[[#This Row],[rawDataEco]])</f>
        <v>250</v>
      </c>
      <c r="H13" s="24">
        <f>1.36*Table15[[#This Row],[rpm]]*Table15[[#This Row],[motor]]/9550</f>
        <v>42.72251308900524</v>
      </c>
      <c r="I13" s="24">
        <f>1.36*Table15[[#This Row],[rpm]]*Table15[[#This Row],[motorEco]]/9550</f>
        <v>42.72251308900524</v>
      </c>
      <c r="J1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210.0771349862259</v>
      </c>
      <c r="K13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motorTorque="250" fuelUsageRatio="210.1"/&gt;</v>
      </c>
      <c r="L13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torque="1"/&gt;</v>
      </c>
      <c r="M13" s="3">
        <f>(1-(1-Table15[[#This Row],[rpm]]/Table36[idleRpm])^2)*Table7[idleT]</f>
        <v>91.836734693877574</v>
      </c>
      <c r="N13" s="3">
        <f>MAX(0,(1-Table7[f1]*(Table36[maxTRpm1]-Table15[[#This Row],[rpm]])^2)*Table36[maxT])</f>
        <v>250</v>
      </c>
      <c r="O13" s="3">
        <f>MAX(0,(Table36[linearDown]*(1-Table7[f2]*(Table15[[#This Row],[rpm]]-Table36[maxTRpm]))+(1-Table36[linearDown])*(1-Table7[f3]*(Table15[[#This Row],[rpm]]-Table36[maxTRpm])^2))*Table36[maxT])</f>
        <v>252.69990808823528</v>
      </c>
      <c r="P13" s="3">
        <f>MAX(0,(Table36[maxPS]-Table7[f4]*(Table15[[#This Row],[rpm]]-Table36[maxPRpm])^2)/1.36*9550/MAX(1,Table15[[#This Row],[rpm]]))</f>
        <v>351.10294117647061</v>
      </c>
      <c r="Q13" s="3">
        <f>MAX(0,Table7[Nm2]*MIN(Table36[ratedRpm]/MAX(1,Table15[[#This Row],[rpm]]),1-(MAX(0,Table15[[#This Row],[rpm]]-Table36[ratedRpm])/Table36[fadeOut])^Table36[fadeOutExp]))</f>
        <v>200.63025210084032</v>
      </c>
      <c r="R13" s="3">
        <f>(1-(1-Table15[[#This Row],[rpm]]/Table36[idleRpm])^2)*Table7[idleTEco]</f>
        <v>91.836734693877574</v>
      </c>
      <c r="S13" s="3">
        <f>MAX(0,(1-Table7[f1]*(Table36[maxTRpm1]-Table15[[#This Row],[rpm]])^2)*Table36[maxTEco])</f>
        <v>250</v>
      </c>
      <c r="T13" s="3">
        <f>MAX(0,(Table36[linearDown]*(1-Table7[f2Eco]*(Table15[[#This Row],[rpm]]-Table36[maxTRpm]))+(1-Table36[linearDown])*(1-Table7[f3Eco]*(Table15[[#This Row],[rpm]]-Table36[maxTRpm])^2))*Table36[maxTEco])</f>
        <v>252.69990808823528</v>
      </c>
      <c r="U13" s="3">
        <f>MAX(0,(Table36[maxPSEco]-Table7[f4Eco]*(Table15[[#This Row],[rpm]]-Table36[maxPRpm])^2)/1.36*9550/MAX(1,Table15[[#This Row],[rpm]]))</f>
        <v>351.10294117647061</v>
      </c>
      <c r="V13" s="3">
        <f>MAX(0,Table7[Nm2Eco]*MIN(Table36[ratedRpm]/MAX(1,Table15[[#This Row],[rpm]]),1-(MAX(0,Table15[[#This Row],[rpm]]-Table36[ratedRpm])/Table36[fadeOut])^Table36[fadeOutExp]))</f>
        <v>200.63025210084032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348.09348739495795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348.09348739495795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250</v>
      </c>
      <c r="C14" s="19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250</v>
      </c>
      <c r="E14" s="19"/>
      <c r="F14" s="3">
        <f>Table36[Factor]*IF(Table15[[#This Row],[manualData]]&gt;0,Table15[[#This Row],[manualData]],Table15[[#This Row],[rawData]])</f>
        <v>250</v>
      </c>
      <c r="G14" s="3">
        <f>Table36[Factor]*IF(Table15[[#This Row],[manDataEco]]&gt;0,Table15[[#This Row],[manDataEco]],Table15[[#This Row],[rawDataEco]])</f>
        <v>250</v>
      </c>
      <c r="H14" s="24">
        <f>1.36*Table15[[#This Row],[rpm]]*Table15[[#This Row],[motor]]/9550</f>
        <v>46.282722513089013</v>
      </c>
      <c r="I14" s="24">
        <f>1.36*Table15[[#This Row],[rpm]]*Table15[[#This Row],[motorEco]]/9550</f>
        <v>46.282722513089013</v>
      </c>
      <c r="J1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210.080738177624</v>
      </c>
      <c r="K14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motorTorque="250" fuelUsageRatio="210.1"/&gt;</v>
      </c>
      <c r="L14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torque="1"/&gt;</v>
      </c>
      <c r="M14" s="3">
        <f>(1-(1-Table15[[#This Row],[rpm]]/Table36[idleRpm])^2)*Table7[idleT]</f>
        <v>49.744897959183646</v>
      </c>
      <c r="N14" s="3">
        <f>MAX(0,(1-Table7[f1]*(Table36[maxTRpm1]-Table15[[#This Row],[rpm]])^2)*Table36[maxT])</f>
        <v>247.5</v>
      </c>
      <c r="O14" s="3">
        <f>MAX(0,(Table36[linearDown]*(1-Table7[f2]*(Table15[[#This Row],[rpm]]-Table36[maxTRpm]))+(1-Table36[linearDown])*(1-Table7[f3]*(Table15[[#This Row],[rpm]]-Table36[maxTRpm])^2))*Table36[maxT])</f>
        <v>250</v>
      </c>
      <c r="P14" s="3">
        <f>MAX(0,(Table36[maxPS]-Table7[f4]*(Table15[[#This Row],[rpm]]-Table36[maxPRpm])^2)/1.36*9550/MAX(1,Table15[[#This Row],[rpm]]))</f>
        <v>324.09502262443436</v>
      </c>
      <c r="Q14" s="3">
        <f>MAX(0,Table7[Nm2]*MIN(Table36[ratedRpm]/MAX(1,Table15[[#This Row],[rpm]]),1-(MAX(0,Table15[[#This Row],[rpm]]-Table36[ratedRpm])/Table36[fadeOut])^Table36[fadeOutExp]))</f>
        <v>200.63025210084032</v>
      </c>
      <c r="R14" s="3">
        <f>(1-(1-Table15[[#This Row],[rpm]]/Table36[idleRpm])^2)*Table7[idleTEco]</f>
        <v>49.744897959183646</v>
      </c>
      <c r="S14" s="3">
        <f>MAX(0,(1-Table7[f1]*(Table36[maxTRpm1]-Table15[[#This Row],[rpm]])^2)*Table36[maxTEco])</f>
        <v>247.5</v>
      </c>
      <c r="T14" s="3">
        <f>MAX(0,(Table36[linearDown]*(1-Table7[f2Eco]*(Table15[[#This Row],[rpm]]-Table36[maxTRpm]))+(1-Table36[linearDown])*(1-Table7[f3Eco]*(Table15[[#This Row],[rpm]]-Table36[maxTRpm])^2))*Table36[maxTEco])</f>
        <v>250</v>
      </c>
      <c r="U14" s="3">
        <f>MAX(0,(Table36[maxPSEco]-Table7[f4Eco]*(Table15[[#This Row],[rpm]]-Table36[maxPRpm])^2)/1.36*9550/MAX(1,Table15[[#This Row],[rpm]]))</f>
        <v>324.09502262443436</v>
      </c>
      <c r="V14" s="3">
        <f>MAX(0,Table7[Nm2Eco]*MIN(Table36[ratedRpm]/MAX(1,Table15[[#This Row],[rpm]]),1-(MAX(0,Table15[[#This Row],[rpm]]-Table36[ratedRpm])/Table36[fadeOut])^Table36[fadeOutExp]))</f>
        <v>200.63025210084032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321.62572721396248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321.62572721396248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246.52868960084035</v>
      </c>
      <c r="C15" s="19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246.52868960084035</v>
      </c>
      <c r="E15" s="19"/>
      <c r="F15" s="3">
        <f>Table36[Factor]*IF(Table15[[#This Row],[manualData]]&gt;0,Table15[[#This Row],[manualData]],Table15[[#This Row],[rawData]])</f>
        <v>246.52868960084035</v>
      </c>
      <c r="G15" s="3">
        <f>Table36[Factor]*IF(Table15[[#This Row],[manDataEco]]&gt;0,Table15[[#This Row],[manDataEco]],Table15[[#This Row],[rawDataEco]])</f>
        <v>246.52868960084035</v>
      </c>
      <c r="H15" s="24">
        <f>1.36*Table15[[#This Row],[rpm]]*Table15[[#This Row],[motor]]/9550</f>
        <v>49.150850785340317</v>
      </c>
      <c r="I15" s="24">
        <f>1.36*Table15[[#This Row],[rpm]]*Table15[[#This Row],[motorEco]]/9550</f>
        <v>49.150850785340317</v>
      </c>
      <c r="J1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210.72664359861591</v>
      </c>
      <c r="K15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motorTorque="247" fuelUsageRatio="210.7"/&gt;</v>
      </c>
      <c r="L15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torque="0.986"/&gt;</v>
      </c>
      <c r="M15" s="3">
        <f>(1-(1-Table15[[#This Row],[rpm]]/Table36[idleRpm])^2)*Table7[idleT]</f>
        <v>0</v>
      </c>
      <c r="N15" s="3">
        <f>MAX(0,(1-Table7[f1]*(Table36[maxTRpm1]-Table15[[#This Row],[rpm]])^2)*Table36[maxT])</f>
        <v>240</v>
      </c>
      <c r="O15" s="3">
        <f>MAX(0,(Table36[linearDown]*(1-Table7[f2]*(Table15[[#This Row],[rpm]]-Table36[maxTRpm]))+(1-Table36[linearDown])*(1-Table7[f3]*(Table15[[#This Row],[rpm]]-Table36[maxTRpm])^2))*Table36[maxT])</f>
        <v>246.52868960084035</v>
      </c>
      <c r="P15" s="3">
        <f>MAX(0,(Table36[maxPS]-Table7[f4]*(Table15[[#This Row],[rpm]]-Table36[maxPRpm])^2)/1.36*9550/MAX(1,Table15[[#This Row],[rpm]]))</f>
        <v>300.94537815126051</v>
      </c>
      <c r="Q15" s="3">
        <f>MAX(0,Table7[Nm2]*MIN(Table36[ratedRpm]/MAX(1,Table15[[#This Row],[rpm]]),1-(MAX(0,Table15[[#This Row],[rpm]]-Table36[ratedRpm])/Table36[fadeOut])^Table36[fadeOutExp]))</f>
        <v>200.63025210084032</v>
      </c>
      <c r="R15" s="3">
        <f>(1-(1-Table15[[#This Row],[rpm]]/Table36[idleRpm])^2)*Table7[idleTEco]</f>
        <v>0</v>
      </c>
      <c r="S15" s="3">
        <f>MAX(0,(1-Table7[f1]*(Table36[maxTRpm1]-Table15[[#This Row],[rpm]])^2)*Table36[maxTEco])</f>
        <v>240</v>
      </c>
      <c r="T15" s="3">
        <f>MAX(0,(Table36[linearDown]*(1-Table7[f2Eco]*(Table15[[#This Row],[rpm]]-Table36[maxTRpm]))+(1-Table36[linearDown])*(1-Table7[f3Eco]*(Table15[[#This Row],[rpm]]-Table36[maxTRpm])^2))*Table36[maxTEco])</f>
        <v>246.52868960084035</v>
      </c>
      <c r="U15" s="3">
        <f>MAX(0,(Table36[maxPSEco]-Table7[f4Eco]*(Table15[[#This Row],[rpm]]-Table36[maxPRpm])^2)/1.36*9550/MAX(1,Table15[[#This Row],[rpm]]))</f>
        <v>300.94537815126051</v>
      </c>
      <c r="V15" s="3">
        <f>MAX(0,Table7[Nm2Eco]*MIN(Table36[ratedRpm]/MAX(1,Table15[[#This Row],[rpm]]),1-(MAX(0,Table15[[#This Row],[rpm]]-Table36[ratedRpm])/Table36[fadeOut])^Table36[fadeOutExp]))</f>
        <v>200.63025210084032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298.93907563025215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298.93907563025215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242.2859768907563</v>
      </c>
      <c r="C16" s="19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242.2859768907563</v>
      </c>
      <c r="E16" s="19"/>
      <c r="F16" s="3">
        <f>Table36[Factor]*IF(Table15[[#This Row],[manualData]]&gt;0,Table15[[#This Row],[manualData]],Table15[[#This Row],[rawData]])</f>
        <v>242.2859768907563</v>
      </c>
      <c r="G16" s="3">
        <f>Table36[Factor]*IF(Table15[[#This Row],[manDataEco]]&gt;0,Table15[[#This Row],[manDataEco]],Table15[[#This Row],[rawDataEco]])</f>
        <v>242.2859768907563</v>
      </c>
      <c r="H16" s="24">
        <f>1.36*Table15[[#This Row],[rpm]]*Table15[[#This Row],[motor]]/9550</f>
        <v>51.755329094988788</v>
      </c>
      <c r="I16" s="24">
        <f>1.36*Table15[[#This Row],[rpm]]*Table15[[#This Row],[motorEco]]/9550</f>
        <v>51.755329094988788</v>
      </c>
      <c r="J1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212.01845444059975</v>
      </c>
      <c r="K16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motorTorque="242" fuelUsageRatio="212"/&gt;</v>
      </c>
      <c r="L16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torque="0.969"/&gt;</v>
      </c>
      <c r="M16" s="3">
        <f>(1-(1-Table15[[#This Row],[rpm]]/Table36[idleRpm])^2)*Table7[idleT]</f>
        <v>-57.39795918367345</v>
      </c>
      <c r="N16" s="3">
        <f>MAX(0,(1-Table7[f1]*(Table36[maxTRpm1]-Table15[[#This Row],[rpm]])^2)*Table36[maxT])</f>
        <v>227.5</v>
      </c>
      <c r="O16" s="3">
        <f>MAX(0,(Table36[linearDown]*(1-Table7[f2]*(Table15[[#This Row],[rpm]]-Table36[maxTRpm]))+(1-Table36[linearDown])*(1-Table7[f3]*(Table15[[#This Row],[rpm]]-Table36[maxTRpm])^2))*Table36[maxT])</f>
        <v>242.2859768907563</v>
      </c>
      <c r="P16" s="3">
        <f>MAX(0,(Table36[maxPS]-Table7[f4]*(Table15[[#This Row],[rpm]]-Table36[maxPRpm])^2)/1.36*9550/MAX(1,Table15[[#This Row],[rpm]]))</f>
        <v>280.88235294117646</v>
      </c>
      <c r="Q16" s="3">
        <f>MAX(0,Table7[Nm2]*MIN(Table36[ratedRpm]/MAX(1,Table15[[#This Row],[rpm]]),1-(MAX(0,Table15[[#This Row],[rpm]]-Table36[ratedRpm])/Table36[fadeOut])^Table36[fadeOutExp]))</f>
        <v>200.63025210084032</v>
      </c>
      <c r="R16" s="3">
        <f>(1-(1-Table15[[#This Row],[rpm]]/Table36[idleRpm])^2)*Table7[idleTEco]</f>
        <v>-57.39795918367345</v>
      </c>
      <c r="S16" s="3">
        <f>MAX(0,(1-Table7[f1]*(Table36[maxTRpm1]-Table15[[#This Row],[rpm]])^2)*Table36[maxTEco])</f>
        <v>227.5</v>
      </c>
      <c r="T16" s="3">
        <f>MAX(0,(Table36[linearDown]*(1-Table7[f2Eco]*(Table15[[#This Row],[rpm]]-Table36[maxTRpm]))+(1-Table36[linearDown])*(1-Table7[f3Eco]*(Table15[[#This Row],[rpm]]-Table36[maxTRpm])^2))*Table36[maxTEco])</f>
        <v>242.2859768907563</v>
      </c>
      <c r="U16" s="3">
        <f>MAX(0,(Table36[maxPSEco]-Table7[f4Eco]*(Table15[[#This Row],[rpm]]-Table36[maxPRpm])^2)/1.36*9550/MAX(1,Table15[[#This Row],[rpm]]))</f>
        <v>280.88235294117646</v>
      </c>
      <c r="V16" s="3">
        <f>MAX(0,Table7[Nm2Eco]*MIN(Table36[ratedRpm]/MAX(1,Table15[[#This Row],[rpm]]),1-(MAX(0,Table15[[#This Row],[rpm]]-Table36[ratedRpm])/Table36[fadeOut])^Table36[fadeOutExp]))</f>
        <v>200.63025210084032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279.27731092436971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279.27731092436971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237.27186186974788</v>
      </c>
      <c r="C17" s="19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237.27186186974788</v>
      </c>
      <c r="E17" s="19"/>
      <c r="F17" s="3">
        <f>Table36[Factor]*IF(Table15[[#This Row],[manualData]]&gt;0,Table15[[#This Row],[manualData]],Table15[[#This Row],[rawData]])</f>
        <v>237.27186186974788</v>
      </c>
      <c r="G17" s="3">
        <f>Table36[Factor]*IF(Table15[[#This Row],[manDataEco]]&gt;0,Table15[[#This Row],[manDataEco]],Table15[[#This Row],[rawDataEco]])</f>
        <v>237.27186186974788</v>
      </c>
      <c r="H17" s="24">
        <f>1.36*Table15[[#This Row],[rpm]]*Table15[[#This Row],[motor]]/9550</f>
        <v>54.063201196709045</v>
      </c>
      <c r="I17" s="24">
        <f>1.36*Table15[[#This Row],[rpm]]*Table15[[#This Row],[motorEco]]/9550</f>
        <v>54.063201196709045</v>
      </c>
      <c r="J1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213.95617070357554</v>
      </c>
      <c r="K1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motorTorque="237" fuelUsageRatio="214"/&gt;</v>
      </c>
      <c r="L1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torque="0.949"/&gt;</v>
      </c>
      <c r="M17" s="3">
        <f>(1-(1-Table15[[#This Row],[rpm]]/Table36[idleRpm])^2)*Table7[idleT]</f>
        <v>-122.44897959183666</v>
      </c>
      <c r="N17" s="3">
        <f>MAX(0,(1-Table7[f1]*(Table36[maxTRpm1]-Table15[[#This Row],[rpm]])^2)*Table36[maxT])</f>
        <v>210</v>
      </c>
      <c r="O17" s="3">
        <f>MAX(0,(Table36[linearDown]*(1-Table7[f2]*(Table15[[#This Row],[rpm]]-Table36[maxTRpm]))+(1-Table36[linearDown])*(1-Table7[f3]*(Table15[[#This Row],[rpm]]-Table36[maxTRpm])^2))*Table36[maxT])</f>
        <v>237.27186186974788</v>
      </c>
      <c r="P17" s="3">
        <f>MAX(0,(Table36[maxPS]-Table7[f4]*(Table15[[#This Row],[rpm]]-Table36[maxPRpm])^2)/1.36*9550/MAX(1,Table15[[#This Row],[rpm]]))</f>
        <v>263.32720588235293</v>
      </c>
      <c r="Q17" s="3">
        <f>MAX(0,Table7[Nm2]*MIN(Table36[ratedRpm]/MAX(1,Table15[[#This Row],[rpm]]),1-(MAX(0,Table15[[#This Row],[rpm]]-Table36[ratedRpm])/Table36[fadeOut])^Table36[fadeOutExp]))</f>
        <v>200.63025210084032</v>
      </c>
      <c r="R17" s="3">
        <f>(1-(1-Table15[[#This Row],[rpm]]/Table36[idleRpm])^2)*Table7[idleTEco]</f>
        <v>-122.44897959183666</v>
      </c>
      <c r="S17" s="3">
        <f>MAX(0,(1-Table7[f1]*(Table36[maxTRpm1]-Table15[[#This Row],[rpm]])^2)*Table36[maxTEco])</f>
        <v>210</v>
      </c>
      <c r="T17" s="3">
        <f>MAX(0,(Table36[linearDown]*(1-Table7[f2Eco]*(Table15[[#This Row],[rpm]]-Table36[maxTRpm]))+(1-Table36[linearDown])*(1-Table7[f3Eco]*(Table15[[#This Row],[rpm]]-Table36[maxTRpm])^2))*Table36[maxTEco])</f>
        <v>237.27186186974788</v>
      </c>
      <c r="U17" s="3">
        <f>MAX(0,(Table36[maxPSEco]-Table7[f4Eco]*(Table15[[#This Row],[rpm]]-Table36[maxPRpm])^2)/1.36*9550/MAX(1,Table15[[#This Row],[rpm]]))</f>
        <v>263.32720588235293</v>
      </c>
      <c r="V17" s="3">
        <f>MAX(0,Table7[Nm2Eco]*MIN(Table36[ratedRpm]/MAX(1,Table15[[#This Row],[rpm]]),1-(MAX(0,Table15[[#This Row],[rpm]]-Table36[ratedRpm])/Table36[fadeOut])^Table36[fadeOutExp]))</f>
        <v>200.63025210084032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262.0732668067227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262.0732668067227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231.48634453781511</v>
      </c>
      <c r="C18" s="19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231.48634453781511</v>
      </c>
      <c r="E18" s="19"/>
      <c r="F18" s="3">
        <f>Table36[Factor]*IF(Table15[[#This Row],[manualData]]&gt;0,Table15[[#This Row],[manualData]],Table15[[#This Row],[rawData]])</f>
        <v>231.48634453781511</v>
      </c>
      <c r="G18" s="3">
        <f>Table36[Factor]*IF(Table15[[#This Row],[manDataEco]]&gt;0,Table15[[#This Row],[manDataEco]],Table15[[#This Row],[rawDataEco]])</f>
        <v>231.48634453781511</v>
      </c>
      <c r="H18" s="24">
        <f>1.36*Table15[[#This Row],[rpm]]*Table15[[#This Row],[motor]]/9550</f>
        <v>56.041510845175765</v>
      </c>
      <c r="I18" s="24">
        <f>1.36*Table15[[#This Row],[rpm]]*Table15[[#This Row],[motorEco]]/9550</f>
        <v>56.041510845175765</v>
      </c>
      <c r="J1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216.53979238754326</v>
      </c>
      <c r="K1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motorTorque="231" fuelUsageRatio="216.5"/&gt;</v>
      </c>
      <c r="L1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torque="0.926"/&gt;</v>
      </c>
      <c r="M18" s="3">
        <f>(1-(1-Table15[[#This Row],[rpm]]/Table36[idleRpm])^2)*Table7[idleT]</f>
        <v>-195.15306122448973</v>
      </c>
      <c r="N18" s="3">
        <f>MAX(0,(1-Table7[f1]*(Table36[maxTRpm1]-Table15[[#This Row],[rpm]])^2)*Table36[maxT])</f>
        <v>187.5</v>
      </c>
      <c r="O18" s="3">
        <f>MAX(0,(Table36[linearDown]*(1-Table7[f2]*(Table15[[#This Row],[rpm]]-Table36[maxTRpm]))+(1-Table36[linearDown])*(1-Table7[f3]*(Table15[[#This Row],[rpm]]-Table36[maxTRpm])^2))*Table36[maxT])</f>
        <v>231.48634453781511</v>
      </c>
      <c r="P18" s="3">
        <f>MAX(0,(Table36[maxPS]-Table7[f4]*(Table15[[#This Row],[rpm]]-Table36[maxPRpm])^2)/1.36*9550/MAX(1,Table15[[#This Row],[rpm]]))</f>
        <v>247.83737024221452</v>
      </c>
      <c r="Q18" s="3">
        <f>MAX(0,Table7[Nm2]*MIN(Table36[ratedRpm]/MAX(1,Table15[[#This Row],[rpm]]),1-(MAX(0,Table15[[#This Row],[rpm]]-Table36[ratedRpm])/Table36[fadeOut])^Table36[fadeOutExp]))</f>
        <v>200.63025210084032</v>
      </c>
      <c r="R18" s="3">
        <f>(1-(1-Table15[[#This Row],[rpm]]/Table36[idleRpm])^2)*Table7[idleTEco]</f>
        <v>-195.15306122448973</v>
      </c>
      <c r="S18" s="3">
        <f>MAX(0,(1-Table7[f1]*(Table36[maxTRpm1]-Table15[[#This Row],[rpm]])^2)*Table36[maxTEco])</f>
        <v>187.5</v>
      </c>
      <c r="T18" s="3">
        <f>MAX(0,(Table36[linearDown]*(1-Table7[f2Eco]*(Table15[[#This Row],[rpm]]-Table36[maxTRpm]))+(1-Table36[linearDown])*(1-Table7[f3Eco]*(Table15[[#This Row],[rpm]]-Table36[maxTRpm])^2))*Table36[maxTEco])</f>
        <v>231.48634453781511</v>
      </c>
      <c r="U18" s="3">
        <f>MAX(0,(Table36[maxPSEco]-Table7[f4Eco]*(Table15[[#This Row],[rpm]]-Table36[maxPRpm])^2)/1.36*9550/MAX(1,Table15[[#This Row],[rpm]]))</f>
        <v>247.83737024221452</v>
      </c>
      <c r="V18" s="3">
        <f>MAX(0,Table7[Nm2Eco]*MIN(Table36[ratedRpm]/MAX(1,Table15[[#This Row],[rpm]]),1-(MAX(0,Table15[[#This Row],[rpm]]-Table36[ratedRpm])/Table36[fadeOut])^Table36[fadeOutExp]))</f>
        <v>200.63025210084032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246.89322787938701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246.89322787938701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224.92942489495798</v>
      </c>
      <c r="C19" s="19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224.92942489495798</v>
      </c>
      <c r="E19" s="19"/>
      <c r="F19" s="3">
        <f>Table36[Factor]*IF(Table15[[#This Row],[manualData]]&gt;0,Table15[[#This Row],[manualData]],Table15[[#This Row],[rawData]])</f>
        <v>224.92942489495798</v>
      </c>
      <c r="G19" s="3">
        <f>Table36[Factor]*IF(Table15[[#This Row],[manDataEco]]&gt;0,Table15[[#This Row],[manDataEco]],Table15[[#This Row],[rawDataEco]])</f>
        <v>224.92942489495798</v>
      </c>
      <c r="H19" s="24">
        <f>1.36*Table15[[#This Row],[rpm]]*Table15[[#This Row],[motor]]/9550</f>
        <v>57.657301795063574</v>
      </c>
      <c r="I19" s="24">
        <f>1.36*Table15[[#This Row],[rpm]]*Table15[[#This Row],[motorEco]]/9550</f>
        <v>57.657301795063574</v>
      </c>
      <c r="J1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219.76931949250289</v>
      </c>
      <c r="K1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motorTorque="225" fuelUsageRatio="219.8"/&gt;</v>
      </c>
      <c r="L1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torque="0.9"/&gt;</v>
      </c>
      <c r="M19" s="3">
        <f>(1-(1-Table15[[#This Row],[rpm]]/Table36[idleRpm])^2)*Table7[idleT]</f>
        <v>-275.51020408163276</v>
      </c>
      <c r="N19" s="3">
        <f>MAX(0,(1-Table7[f1]*(Table36[maxTRpm1]-Table15[[#This Row],[rpm]])^2)*Table36[maxT])</f>
        <v>160</v>
      </c>
      <c r="O19" s="3">
        <f>MAX(0,(Table36[linearDown]*(1-Table7[f2]*(Table15[[#This Row],[rpm]]-Table36[maxTRpm]))+(1-Table36[linearDown])*(1-Table7[f3]*(Table15[[#This Row],[rpm]]-Table36[maxTRpm])^2))*Table36[maxT])</f>
        <v>224.92942489495798</v>
      </c>
      <c r="P19" s="3">
        <f>MAX(0,(Table36[maxPS]-Table7[f4]*(Table15[[#This Row],[rpm]]-Table36[maxPRpm])^2)/1.36*9550/MAX(1,Table15[[#This Row],[rpm]]))</f>
        <v>234.06862745098039</v>
      </c>
      <c r="Q19" s="3">
        <f>MAX(0,Table7[Nm2]*MIN(Table36[ratedRpm]/MAX(1,Table15[[#This Row],[rpm]]),1-(MAX(0,Table15[[#This Row],[rpm]]-Table36[ratedRpm])/Table36[fadeOut])^Table36[fadeOutExp]))</f>
        <v>200.63025210084032</v>
      </c>
      <c r="R19" s="3">
        <f>(1-(1-Table15[[#This Row],[rpm]]/Table36[idleRpm])^2)*Table7[idleTEco]</f>
        <v>-275.51020408163276</v>
      </c>
      <c r="S19" s="3">
        <f>MAX(0,(1-Table7[f1]*(Table36[maxTRpm1]-Table15[[#This Row],[rpm]])^2)*Table36[maxTEco])</f>
        <v>160</v>
      </c>
      <c r="T19" s="3">
        <f>MAX(0,(Table36[linearDown]*(1-Table7[f2Eco]*(Table15[[#This Row],[rpm]]-Table36[maxTRpm]))+(1-Table36[linearDown])*(1-Table7[f3Eco]*(Table15[[#This Row],[rpm]]-Table36[maxTRpm])^2))*Table36[maxTEco])</f>
        <v>224.92942489495798</v>
      </c>
      <c r="U19" s="3">
        <f>MAX(0,(Table36[maxPSEco]-Table7[f4Eco]*(Table15[[#This Row],[rpm]]-Table36[maxPRpm])^2)/1.36*9550/MAX(1,Table15[[#This Row],[rpm]]))</f>
        <v>234.06862745098039</v>
      </c>
      <c r="V19" s="3">
        <f>MAX(0,Table7[Nm2Eco]*MIN(Table36[ratedRpm]/MAX(1,Table15[[#This Row],[rpm]]),1-(MAX(0,Table15[[#This Row],[rpm]]-Table36[ratedRpm])/Table36[fadeOut])^Table36[fadeOutExp]))</f>
        <v>200.63025210084032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233.39985994397759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233.39985994397759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221.36168920693277</v>
      </c>
      <c r="C20" s="19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221.36168920693277</v>
      </c>
      <c r="E20" s="19"/>
      <c r="F20" s="3">
        <f>Table36[Factor]*IF(Table15[[#This Row],[manualData]]&gt;0,Table15[[#This Row],[manualData]],Table15[[#This Row],[rawData]])</f>
        <v>221.36168920693277</v>
      </c>
      <c r="G20" s="3">
        <f>Table36[Factor]*IF(Table15[[#This Row],[manDataEco]]&gt;0,Table15[[#This Row],[manDataEco]],Table15[[#This Row],[rawDataEco]])</f>
        <v>221.36168920693277</v>
      </c>
      <c r="H20" s="24">
        <f>1.36*Table15[[#This Row],[rpm]]*Table15[[#This Row],[motor]]/9550</f>
        <v>58.318953931376214</v>
      </c>
      <c r="I20" s="24">
        <f>1.36*Table15[[#This Row],[rpm]]*Table15[[#This Row],[motorEco]]/9550</f>
        <v>58.318953931376214</v>
      </c>
      <c r="J2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221.62629757785467</v>
      </c>
      <c r="K2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motorTorque="221" fuelUsageRatio="221.6"/&gt;</v>
      </c>
      <c r="L2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torque="0.885"/&gt;</v>
      </c>
      <c r="M20" s="3">
        <f>(1-(1-Table15[[#This Row],[rpm]]/Table36[idleRpm])^2)*Table7[idleT]</f>
        <v>-318.55867346938766</v>
      </c>
      <c r="N20" s="3">
        <f>MAX(0,(1-Table7[f1]*(Table36[maxTRpm1]-Table15[[#This Row],[rpm]])^2)*Table36[maxT])</f>
        <v>144.375</v>
      </c>
      <c r="O20" s="3">
        <f>MAX(0,(Table36[linearDown]*(1-Table7[f2]*(Table15[[#This Row],[rpm]]-Table36[maxTRpm]))+(1-Table36[linearDown])*(1-Table7[f3]*(Table15[[#This Row],[rpm]]-Table36[maxTRpm])^2))*Table36[maxT])</f>
        <v>221.36168920693277</v>
      </c>
      <c r="P20" s="3">
        <f>MAX(0,(Table36[maxPS]-Table7[f4]*(Table15[[#This Row],[rpm]]-Table36[maxPRpm])^2)/1.36*9550/MAX(1,Table15[[#This Row],[rpm]]))</f>
        <v>227.74244833068363</v>
      </c>
      <c r="Q20" s="3">
        <f>MAX(0,Table7[Nm2]*MIN(Table36[ratedRpm]/MAX(1,Table15[[#This Row],[rpm]]),1-(MAX(0,Table15[[#This Row],[rpm]]-Table36[ratedRpm])/Table36[fadeOut])^Table36[fadeOutExp]))</f>
        <v>200.63025210084032</v>
      </c>
      <c r="R20" s="3">
        <f>(1-(1-Table15[[#This Row],[rpm]]/Table36[idleRpm])^2)*Table7[idleTEco]</f>
        <v>-318.55867346938766</v>
      </c>
      <c r="S20" s="3">
        <f>MAX(0,(1-Table7[f1]*(Table36[maxTRpm1]-Table15[[#This Row],[rpm]])^2)*Table36[maxTEco])</f>
        <v>144.375</v>
      </c>
      <c r="T20" s="3">
        <f>MAX(0,(Table36[linearDown]*(1-Table7[f2Eco]*(Table15[[#This Row],[rpm]]-Table36[maxTRpm]))+(1-Table36[linearDown])*(1-Table7[f3Eco]*(Table15[[#This Row],[rpm]]-Table36[maxTRpm])^2))*Table36[maxTEco])</f>
        <v>221.36168920693277</v>
      </c>
      <c r="U20" s="3">
        <f>MAX(0,(Table36[maxPSEco]-Table7[f4Eco]*(Table15[[#This Row],[rpm]]-Table36[maxPRpm])^2)/1.36*9550/MAX(1,Table15[[#This Row],[rpm]]))</f>
        <v>227.74244833068363</v>
      </c>
      <c r="V20" s="3">
        <f>MAX(0,Table7[Nm2Eco]*MIN(Table36[ratedRpm]/MAX(1,Table15[[#This Row],[rpm]]),1-(MAX(0,Table15[[#This Row],[rpm]]-Table36[ratedRpm])/Table36[fadeOut])^Table36[fadeOutExp]))</f>
        <v>200.63025210084032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227.20020440608675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227.20020440608675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217.60110294117646</v>
      </c>
      <c r="C21" s="19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217.60110294117646</v>
      </c>
      <c r="E21" s="19"/>
      <c r="F21" s="3">
        <f>Table36[Factor]*IF(Table15[[#This Row],[manualData]]&gt;0,Table15[[#This Row],[manualData]],Table15[[#This Row],[rawData]])</f>
        <v>217.60110294117646</v>
      </c>
      <c r="G21" s="3">
        <f>Table36[Factor]*IF(Table15[[#This Row],[manDataEco]]&gt;0,Table15[[#This Row],[manDataEco]],Table15[[#This Row],[rawDataEco]])</f>
        <v>217.60110294117646</v>
      </c>
      <c r="H21" s="24">
        <f>1.36*Table15[[#This Row],[rpm]]*Table15[[#This Row],[motor]]/9550</f>
        <v>58.877617801047123</v>
      </c>
      <c r="I21" s="24">
        <f>1.36*Table15[[#This Row],[rpm]]*Table15[[#This Row],[motorEco]]/9550</f>
        <v>58.877617801047123</v>
      </c>
      <c r="J2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223.64475201845443</v>
      </c>
      <c r="K2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motorTorque="218" fuelUsageRatio="223.6"/&gt;</v>
      </c>
      <c r="L2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torque="0.87"/&gt;</v>
      </c>
      <c r="M21" s="3">
        <f>(1-(1-Table15[[#This Row],[rpm]]/Table36[idleRpm])^2)*Table7[idleT]</f>
        <v>-363.52040816326542</v>
      </c>
      <c r="N21" s="3">
        <f>MAX(0,(1-Table7[f1]*(Table36[maxTRpm1]-Table15[[#This Row],[rpm]])^2)*Table36[maxT])</f>
        <v>127.5</v>
      </c>
      <c r="O21" s="3">
        <f>MAX(0,(Table36[linearDown]*(1-Table7[f2]*(Table15[[#This Row],[rpm]]-Table36[maxTRpm]))+(1-Table36[linearDown])*(1-Table7[f3]*(Table15[[#This Row],[rpm]]-Table36[maxTRpm])^2))*Table36[maxT])</f>
        <v>217.60110294117646</v>
      </c>
      <c r="P21" s="3">
        <f>MAX(0,(Table36[maxPS]-Table7[f4]*(Table15[[#This Row],[rpm]]-Table36[maxPRpm])^2)/1.36*9550/MAX(1,Table15[[#This Row],[rpm]]))</f>
        <v>221.74922600619195</v>
      </c>
      <c r="Q21" s="3">
        <f>MAX(0,Table7[Nm2]*MIN(Table36[ratedRpm]/MAX(1,Table15[[#This Row],[rpm]]),1-(MAX(0,Table15[[#This Row],[rpm]]-Table36[ratedRpm])/Table36[fadeOut])^Table36[fadeOutExp]))</f>
        <v>200.63025210084032</v>
      </c>
      <c r="R21" s="3">
        <f>(1-(1-Table15[[#This Row],[rpm]]/Table36[idleRpm])^2)*Table7[idleTEco]</f>
        <v>-363.52040816326542</v>
      </c>
      <c r="S21" s="3">
        <f>MAX(0,(1-Table7[f1]*(Table36[maxTRpm1]-Table15[[#This Row],[rpm]])^2)*Table36[maxTEco])</f>
        <v>127.5</v>
      </c>
      <c r="T21" s="3">
        <f>MAX(0,(Table36[linearDown]*(1-Table7[f2Eco]*(Table15[[#This Row],[rpm]]-Table36[maxTRpm]))+(1-Table36[linearDown])*(1-Table7[f3Eco]*(Table15[[#This Row],[rpm]]-Table36[maxTRpm])^2))*Table36[maxTEco])</f>
        <v>217.60110294117646</v>
      </c>
      <c r="U21" s="3">
        <f>MAX(0,(Table36[maxPSEco]-Table7[f4Eco]*(Table15[[#This Row],[rpm]]-Table36[maxPRpm])^2)/1.36*9550/MAX(1,Table15[[#This Row],[rpm]]))</f>
        <v>221.74922600619195</v>
      </c>
      <c r="V21" s="3">
        <f>MAX(0,Table7[Nm2Eco]*MIN(Table36[ratedRpm]/MAX(1,Table15[[#This Row],[rpm]]),1-(MAX(0,Table15[[#This Row],[rpm]]-Table36[ratedRpm])/Table36[fadeOut])^Table36[fadeOutExp]))</f>
        <v>200.63025210084032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221.32684652808493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221.32684652808493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213.6476660976891</v>
      </c>
      <c r="C22" s="19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213.6476660976891</v>
      </c>
      <c r="E22" s="19"/>
      <c r="F22" s="3">
        <f>Table36[Factor]*IF(Table15[[#This Row],[manualData]]&gt;0,Table15[[#This Row],[manualData]],Table15[[#This Row],[rawData]])</f>
        <v>213.6476660976891</v>
      </c>
      <c r="G22" s="3">
        <f>Table36[Factor]*IF(Table15[[#This Row],[manDataEco]]&gt;0,Table15[[#This Row],[manDataEco]],Table15[[#This Row],[rawDataEco]])</f>
        <v>213.6476660976891</v>
      </c>
      <c r="H22" s="24">
        <f>1.36*Table15[[#This Row],[rpm]]*Table15[[#This Row],[motor]]/9550</f>
        <v>59.329173873410625</v>
      </c>
      <c r="I22" s="24">
        <f>1.36*Table15[[#This Row],[rpm]]*Table15[[#This Row],[motorEco]]/9550</f>
        <v>59.329173873410625</v>
      </c>
      <c r="J2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225.82468281430218</v>
      </c>
      <c r="K2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motorTorque="214" fuelUsageRatio="225.8"/&gt;</v>
      </c>
      <c r="L2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torque="0.855"/&gt;</v>
      </c>
      <c r="M22" s="3">
        <f>(1-(1-Table15[[#This Row],[rpm]]/Table36[idleRpm])^2)*Table7[idleT]</f>
        <v>-410.39540816326524</v>
      </c>
      <c r="N22" s="3">
        <f>MAX(0,(1-Table7[f1]*(Table36[maxTRpm1]-Table15[[#This Row],[rpm]])^2)*Table36[maxT])</f>
        <v>109.375</v>
      </c>
      <c r="O22" s="3">
        <f>MAX(0,(Table36[linearDown]*(1-Table7[f2]*(Table15[[#This Row],[rpm]]-Table36[maxTRpm]))+(1-Table36[linearDown])*(1-Table7[f3]*(Table15[[#This Row],[rpm]]-Table36[maxTRpm])^2))*Table36[maxT])</f>
        <v>213.6476660976891</v>
      </c>
      <c r="P22" s="3">
        <f>MAX(0,(Table36[maxPS]-Table7[f4]*(Table15[[#This Row],[rpm]]-Table36[maxPRpm])^2)/1.36*9550/MAX(1,Table15[[#This Row],[rpm]]))</f>
        <v>216.06334841628959</v>
      </c>
      <c r="Q22" s="3">
        <f>MAX(0,Table7[Nm2]*MIN(Table36[ratedRpm]/MAX(1,Table15[[#This Row],[rpm]]),1-(MAX(0,Table15[[#This Row],[rpm]]-Table36[ratedRpm])/Table36[fadeOut])^Table36[fadeOutExp]))</f>
        <v>200.63025210084032</v>
      </c>
      <c r="R22" s="3">
        <f>(1-(1-Table15[[#This Row],[rpm]]/Table36[idleRpm])^2)*Table7[idleTEco]</f>
        <v>-410.39540816326524</v>
      </c>
      <c r="S22" s="3">
        <f>MAX(0,(1-Table7[f1]*(Table36[maxTRpm1]-Table15[[#This Row],[rpm]])^2)*Table36[maxTEco])</f>
        <v>109.375</v>
      </c>
      <c r="T22" s="3">
        <f>MAX(0,(Table36[linearDown]*(1-Table7[f2Eco]*(Table15[[#This Row],[rpm]]-Table36[maxTRpm]))+(1-Table36[linearDown])*(1-Table7[f3Eco]*(Table15[[#This Row],[rpm]]-Table36[maxTRpm])^2))*Table36[maxTEco])</f>
        <v>213.6476660976891</v>
      </c>
      <c r="U22" s="3">
        <f>MAX(0,(Table36[maxPSEco]-Table7[f4Eco]*(Table15[[#This Row],[rpm]]-Table36[maxPRpm])^2)/1.36*9550/MAX(1,Table15[[#This Row],[rpm]]))</f>
        <v>216.06334841628959</v>
      </c>
      <c r="V22" s="3">
        <f>MAX(0,Table7[Nm2Eco]*MIN(Table36[ratedRpm]/MAX(1,Table15[[#This Row],[rpm]]),1-(MAX(0,Table15[[#This Row],[rpm]]-Table36[ratedRpm])/Table36[fadeOut])^Table36[fadeOutExp]))</f>
        <v>200.63025210084032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215.75468648998063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215.75468648998063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209.50137867647055</v>
      </c>
      <c r="C23" s="19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209.50137867647055</v>
      </c>
      <c r="E23" s="19"/>
      <c r="F23" s="3">
        <f>Table36[Factor]*IF(Table15[[#This Row],[manualData]]&gt;0,Table15[[#This Row],[manualData]],Table15[[#This Row],[rawData]])</f>
        <v>209.50137867647055</v>
      </c>
      <c r="G23" s="3">
        <f>Table36[Factor]*IF(Table15[[#This Row],[manDataEco]]&gt;0,Table15[[#This Row],[manDataEco]],Table15[[#This Row],[rawDataEco]])</f>
        <v>209.50137867647055</v>
      </c>
      <c r="H23" s="24">
        <f>1.36*Table15[[#This Row],[rpm]]*Table15[[#This Row],[motor]]/9550</f>
        <v>59.669502617801037</v>
      </c>
      <c r="I23" s="24">
        <f>1.36*Table15[[#This Row],[rpm]]*Table15[[#This Row],[motorEco]]/9550</f>
        <v>59.669502617801037</v>
      </c>
      <c r="J2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228.1660899653979</v>
      </c>
      <c r="K23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motorTorque="210" fuelUsageRatio="228.2"/&gt;</v>
      </c>
      <c r="L23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torque="0.838"/&gt;</v>
      </c>
      <c r="M23" s="3">
        <f>(1-(1-Table15[[#This Row],[rpm]]/Table36[idleRpm])^2)*Table7[idleT]</f>
        <v>-459.18367346938777</v>
      </c>
      <c r="N23" s="3">
        <f>MAX(0,(1-Table7[f1]*(Table36[maxTRpm1]-Table15[[#This Row],[rpm]])^2)*Table36[maxT])</f>
        <v>90</v>
      </c>
      <c r="O23" s="3">
        <f>MAX(0,(Table36[linearDown]*(1-Table7[f2]*(Table15[[#This Row],[rpm]]-Table36[maxTRpm]))+(1-Table36[linearDown])*(1-Table7[f3]*(Table15[[#This Row],[rpm]]-Table36[maxTRpm])^2))*Table36[maxT])</f>
        <v>209.50137867647055</v>
      </c>
      <c r="P23" s="3">
        <f>MAX(0,(Table36[maxPS]-Table7[f4]*(Table15[[#This Row],[rpm]]-Table36[maxPRpm])^2)/1.36*9550/MAX(1,Table15[[#This Row],[rpm]]))</f>
        <v>210.66176470588235</v>
      </c>
      <c r="Q23" s="3">
        <f>MAX(0,Table7[Nm2]*MIN(Table36[ratedRpm]/MAX(1,Table15[[#This Row],[rpm]]),1-(MAX(0,Table15[[#This Row],[rpm]]-Table36[ratedRpm])/Table36[fadeOut])^Table36[fadeOutExp]))</f>
        <v>200.63025210084032</v>
      </c>
      <c r="R23" s="3">
        <f>(1-(1-Table15[[#This Row],[rpm]]/Table36[idleRpm])^2)*Table7[idleTEco]</f>
        <v>-459.18367346938777</v>
      </c>
      <c r="S23" s="3">
        <f>MAX(0,(1-Table7[f1]*(Table36[maxTRpm1]-Table15[[#This Row],[rpm]])^2)*Table36[maxTEco])</f>
        <v>90</v>
      </c>
      <c r="T23" s="3">
        <f>MAX(0,(Table36[linearDown]*(1-Table7[f2Eco]*(Table15[[#This Row],[rpm]]-Table36[maxTRpm]))+(1-Table36[linearDown])*(1-Table7[f3Eco]*(Table15[[#This Row],[rpm]]-Table36[maxTRpm])^2))*Table36[maxTEco])</f>
        <v>209.50137867647055</v>
      </c>
      <c r="U23" s="3">
        <f>MAX(0,(Table36[maxPSEco]-Table7[f4Eco]*(Table15[[#This Row],[rpm]]-Table36[maxPRpm])^2)/1.36*9550/MAX(1,Table15[[#This Row],[rpm]]))</f>
        <v>210.66176470588235</v>
      </c>
      <c r="V23" s="3">
        <f>MAX(0,Table7[Nm2Eco]*MIN(Table36[ratedRpm]/MAX(1,Table15[[#This Row],[rpm]]),1-(MAX(0,Table15[[#This Row],[rpm]]-Table36[ratedRpm])/Table36[fadeOut])^Table36[fadeOutExp]))</f>
        <v>200.63025210084032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210.46113445378148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210.46113445378148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205.16224067752097</v>
      </c>
      <c r="C24" s="19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205.16224067752097</v>
      </c>
      <c r="E24" s="19"/>
      <c r="F24" s="3">
        <f>Table36[Factor]*IF(Table15[[#This Row],[manualData]]&gt;0,Table15[[#This Row],[manualData]],Table15[[#This Row],[rawData]])</f>
        <v>205.16224067752097</v>
      </c>
      <c r="G24" s="3">
        <f>Table36[Factor]*IF(Table15[[#This Row],[manDataEco]]&gt;0,Table15[[#This Row],[manDataEco]],Table15[[#This Row],[rawDataEco]])</f>
        <v>205.16224067752097</v>
      </c>
      <c r="H24" s="24">
        <f>1.36*Table15[[#This Row],[rpm]]*Table15[[#This Row],[motor]]/9550</f>
        <v>59.894484503552725</v>
      </c>
      <c r="I24" s="24">
        <f>1.36*Table15[[#This Row],[rpm]]*Table15[[#This Row],[motorEco]]/9550</f>
        <v>59.894484503552725</v>
      </c>
      <c r="J2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230.66897347174162</v>
      </c>
      <c r="K24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motorTorque="205" fuelUsageRatio="230.7"/&gt;</v>
      </c>
      <c r="L24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torque="0.821"/&gt;</v>
      </c>
      <c r="M24" s="3">
        <f>(1-(1-Table15[[#This Row],[rpm]]/Table36[idleRpm])^2)*Table7[idleT]</f>
        <v>-509.88520408163254</v>
      </c>
      <c r="N24" s="3">
        <f>MAX(0,(1-Table7[f1]*(Table36[maxTRpm1]-Table15[[#This Row],[rpm]])^2)*Table36[maxT])</f>
        <v>69.375000000000014</v>
      </c>
      <c r="O24" s="3">
        <f>MAX(0,(Table36[linearDown]*(1-Table7[f2]*(Table15[[#This Row],[rpm]]-Table36[maxTRpm]))+(1-Table36[linearDown])*(1-Table7[f3]*(Table15[[#This Row],[rpm]]-Table36[maxTRpm])^2))*Table36[maxT])</f>
        <v>205.16224067752097</v>
      </c>
      <c r="P24" s="3">
        <f>MAX(0,(Table36[maxPS]-Table7[f4]*(Table15[[#This Row],[rpm]]-Table36[maxPRpm])^2)/1.36*9550/MAX(1,Table15[[#This Row],[rpm]]))</f>
        <v>205.52367288378767</v>
      </c>
      <c r="Q24" s="3">
        <f>MAX(0,Table7[Nm2]*MIN(Table36[ratedRpm]/MAX(1,Table15[[#This Row],[rpm]]),1-(MAX(0,Table15[[#This Row],[rpm]]-Table36[ratedRpm])/Table36[fadeOut])^Table36[fadeOutExp]))</f>
        <v>200.63025210084032</v>
      </c>
      <c r="R24" s="3">
        <f>(1-(1-Table15[[#This Row],[rpm]]/Table36[idleRpm])^2)*Table7[idleTEco]</f>
        <v>-509.88520408163254</v>
      </c>
      <c r="S24" s="3">
        <f>MAX(0,(1-Table7[f1]*(Table36[maxTRpm1]-Table15[[#This Row],[rpm]])^2)*Table36[maxTEco])</f>
        <v>69.375000000000014</v>
      </c>
      <c r="T24" s="3">
        <f>MAX(0,(Table36[linearDown]*(1-Table7[f2Eco]*(Table15[[#This Row],[rpm]]-Table36[maxTRpm]))+(1-Table36[linearDown])*(1-Table7[f3Eco]*(Table15[[#This Row],[rpm]]-Table36[maxTRpm])^2))*Table36[maxTEco])</f>
        <v>205.16224067752097</v>
      </c>
      <c r="U24" s="3">
        <f>MAX(0,(Table36[maxPSEco]-Table7[f4Eco]*(Table15[[#This Row],[rpm]]-Table36[maxPRpm])^2)/1.36*9550/MAX(1,Table15[[#This Row],[rpm]]))</f>
        <v>205.52367288378767</v>
      </c>
      <c r="V24" s="3">
        <f>MAX(0,Table7[Nm2Eco]*MIN(Table36[ratedRpm]/MAX(1,Table15[[#This Row],[rpm]]),1-(MAX(0,Table15[[#This Row],[rpm]]-Table36[ratedRpm])/Table36[fadeOut])^Table36[fadeOutExp]))</f>
        <v>200.63025210084032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205.42580446812872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205.42580446812872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200.63025210084032</v>
      </c>
      <c r="C25" s="19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200.63025210084032</v>
      </c>
      <c r="E25" s="19"/>
      <c r="F25" s="3">
        <f>Table36[Factor]*IF(Table15[[#This Row],[manualData]]&gt;0,Table15[[#This Row],[manualData]],Table15[[#This Row],[rawData]])</f>
        <v>200.63025210084032</v>
      </c>
      <c r="G25" s="3">
        <f>Table36[Factor]*IF(Table15[[#This Row],[manDataEco]]&gt;0,Table15[[#This Row],[manDataEco]],Table15[[#This Row],[rawDataEco]])</f>
        <v>200.63025210084032</v>
      </c>
      <c r="H25" s="24">
        <f>1.36*Table15[[#This Row],[rpm]]*Table15[[#This Row],[motor]]/9550</f>
        <v>60</v>
      </c>
      <c r="I25" s="24">
        <f>1.36*Table15[[#This Row],[rpm]]*Table15[[#This Row],[motorEco]]/9550</f>
        <v>60</v>
      </c>
      <c r="J2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233.33333333333331</v>
      </c>
      <c r="K25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motorTorque="201" fuelUsageRatio="233.3"/&gt;</v>
      </c>
      <c r="L25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torque="0.803"/&gt;</v>
      </c>
      <c r="M25" s="3">
        <f>(1-(1-Table15[[#This Row],[rpm]]/Table36[idleRpm])^2)*Table7[idleT]</f>
        <v>-562.5</v>
      </c>
      <c r="N25" s="3">
        <f>MAX(0,(1-Table7[f1]*(Table36[maxTRpm1]-Table15[[#This Row],[rpm]])^2)*Table36[maxT])</f>
        <v>47.500000000000014</v>
      </c>
      <c r="O25" s="3">
        <f>MAX(0,(Table36[linearDown]*(1-Table7[f2]*(Table15[[#This Row],[rpm]]-Table36[maxTRpm]))+(1-Table36[linearDown])*(1-Table7[f3]*(Table15[[#This Row],[rpm]]-Table36[maxTRpm])^2))*Table36[maxT])</f>
        <v>200.63025210084032</v>
      </c>
      <c r="P25" s="3">
        <f>MAX(0,(Table36[maxPS]-Table7[f4]*(Table15[[#This Row],[rpm]]-Table36[maxPRpm])^2)/1.36*9550/MAX(1,Table15[[#This Row],[rpm]]))</f>
        <v>200.63025210084032</v>
      </c>
      <c r="Q25" s="3">
        <f>MAX(0,Table7[Nm2]*MIN(Table36[ratedRpm]/MAX(1,Table15[[#This Row],[rpm]]),1-(MAX(0,Table15[[#This Row],[rpm]]-Table36[ratedRpm])/Table36[fadeOut])^Table36[fadeOutExp]))</f>
        <v>200.63025210084032</v>
      </c>
      <c r="R25" s="3">
        <f>(1-(1-Table15[[#This Row],[rpm]]/Table36[idleRpm])^2)*Table7[idleTEco]</f>
        <v>-562.5</v>
      </c>
      <c r="S25" s="3">
        <f>MAX(0,(1-Table7[f1]*(Table36[maxTRpm1]-Table15[[#This Row],[rpm]])^2)*Table36[maxTEco])</f>
        <v>47.500000000000014</v>
      </c>
      <c r="T25" s="3">
        <f>MAX(0,(Table36[linearDown]*(1-Table7[f2Eco]*(Table15[[#This Row],[rpm]]-Table36[maxTRpm]))+(1-Table36[linearDown])*(1-Table7[f3Eco]*(Table15[[#This Row],[rpm]]-Table36[maxTRpm])^2))*Table36[maxTEco])</f>
        <v>200.63025210084032</v>
      </c>
      <c r="U25" s="3">
        <f>MAX(0,(Table36[maxPSEco]-Table7[f4Eco]*(Table15[[#This Row],[rpm]]-Table36[maxPRpm])^2)/1.36*9550/MAX(1,Table15[[#This Row],[rpm]]))</f>
        <v>200.63025210084032</v>
      </c>
      <c r="V25" s="3">
        <f>MAX(0,Table7[Nm2Eco]*MIN(Table36[ratedRpm]/MAX(1,Table15[[#This Row],[rpm]]),1-(MAX(0,Table15[[#This Row],[rpm]]-Table36[ratedRpm])/Table36[fadeOut])^Table36[fadeOutExp]))</f>
        <v>200.63025210084032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200.63025210084032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200.63025210084032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182.47005165099489</v>
      </c>
      <c r="C26" s="19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182.47005165099489</v>
      </c>
      <c r="E26" s="19"/>
      <c r="F26" s="3">
        <f>Table36[Factor]*IF(Table15[[#This Row],[manualData]]&gt;0,Table15[[#This Row],[manualData]],Table15[[#This Row],[rawData]])</f>
        <v>182.47005165099489</v>
      </c>
      <c r="G26" s="3">
        <f>Table36[Factor]*IF(Table15[[#This Row],[manDataEco]]&gt;0,Table15[[#This Row],[manDataEco]],Table15[[#This Row],[rawDataEco]])</f>
        <v>182.47005165099489</v>
      </c>
      <c r="H26" s="24">
        <f>1.36*Table15[[#This Row],[rpm]]*Table15[[#This Row],[motor]]/9550</f>
        <v>55.868317385079479</v>
      </c>
      <c r="I26" s="24">
        <f>1.36*Table15[[#This Row],[rpm]]*Table15[[#This Row],[motorEco]]/9550</f>
        <v>55.868317385079479</v>
      </c>
      <c r="J2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262.66413347401533</v>
      </c>
      <c r="K26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motorTorque="182" fuelUsageRatio="262.7"/&gt;</v>
      </c>
      <c r="L26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torque="0.73"/&gt;</v>
      </c>
      <c r="M26" s="3">
        <f>(1-(1-Table15[[#This Row],[rpm]]/Table36[idleRpm])^2)*Table7[idleT]</f>
        <v>-617.02806122448987</v>
      </c>
      <c r="N26" s="3">
        <f>MAX(0,(1-Table7[f1]*(Table36[maxTRpm1]-Table15[[#This Row],[rpm]])^2)*Table36[maxT])</f>
        <v>24.375000000000007</v>
      </c>
      <c r="O26" s="3">
        <f>MAX(0,(Table36[linearDown]*(1-Table7[f2]*(Table15[[#This Row],[rpm]]-Table36[maxTRpm]))+(1-Table36[linearDown])*(1-Table7[f3]*(Table15[[#This Row],[rpm]]-Table36[maxTRpm])^2))*Table36[maxT])</f>
        <v>195.90541294642856</v>
      </c>
      <c r="P26" s="3">
        <f>MAX(0,(Table36[maxPS]-Table7[f4]*(Table15[[#This Row],[rpm]]-Table36[maxPRpm])^2)/1.36*9550/MAX(1,Table15[[#This Row],[rpm]]))</f>
        <v>195.96443228454172</v>
      </c>
      <c r="Q26" s="3">
        <f>MAX(0,Table7[Nm2]*MIN(Table36[ratedRpm]/MAX(1,Table15[[#This Row],[rpm]]),1-(MAX(0,Table15[[#This Row],[rpm]]-Table36[ratedRpm])/Table36[fadeOut])^Table36[fadeOutExp]))</f>
        <v>182.47005165099489</v>
      </c>
      <c r="R26" s="3">
        <f>(1-(1-Table15[[#This Row],[rpm]]/Table36[idleRpm])^2)*Table7[idleTEco]</f>
        <v>-617.02806122448987</v>
      </c>
      <c r="S26" s="3">
        <f>MAX(0,(1-Table7[f1]*(Table36[maxTRpm1]-Table15[[#This Row],[rpm]])^2)*Table36[maxTEco])</f>
        <v>24.375000000000007</v>
      </c>
      <c r="T26" s="3">
        <f>MAX(0,(Table36[linearDown]*(1-Table7[f2Eco]*(Table15[[#This Row],[rpm]]-Table36[maxTRpm]))+(1-Table36[linearDown])*(1-Table7[f3Eco]*(Table15[[#This Row],[rpm]]-Table36[maxTRpm])^2))*Table36[maxTEco])</f>
        <v>195.90541294642856</v>
      </c>
      <c r="U26" s="3">
        <f>MAX(0,(Table36[maxPSEco]-Table7[f4Eco]*(Table15[[#This Row],[rpm]]-Table36[maxPRpm])^2)/1.36*9550/MAX(1,Table15[[#This Row],[rpm]]))</f>
        <v>195.96443228454172</v>
      </c>
      <c r="V26" s="3">
        <f>MAX(0,Table7[Nm2Eco]*MIN(Table36[ratedRpm]/MAX(1,Table15[[#This Row],[rpm]]),1-(MAX(0,Table15[[#This Row],[rpm]]-Table36[ratedRpm])/Table36[fadeOut])^Table36[fadeOutExp]))</f>
        <v>182.47005165099489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195.96443228454172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195.96443228454172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117.18788256822482</v>
      </c>
      <c r="C27" s="19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117.18788256822482</v>
      </c>
      <c r="E27" s="19"/>
      <c r="F27" s="3">
        <f>Table36[Factor]*IF(Table15[[#This Row],[manualData]]&gt;0,Table15[[#This Row],[manualData]],Table15[[#This Row],[rawData]])</f>
        <v>117.18788256822482</v>
      </c>
      <c r="G27" s="3">
        <f>Table36[Factor]*IF(Table15[[#This Row],[manDataEco]]&gt;0,Table15[[#This Row],[manDataEco]],Table15[[#This Row],[rawDataEco]])</f>
        <v>117.18788256822482</v>
      </c>
      <c r="H27" s="3">
        <f>1.36*Table15[[#This Row],[rpm]]*Table15[[#This Row],[motor]]/9550</f>
        <v>36.714779543887822</v>
      </c>
      <c r="I27" s="3">
        <f>1.36*Table15[[#This Row],[rpm]]*Table15[[#This Row],[motorEco]]/9550</f>
        <v>36.714779543887822</v>
      </c>
      <c r="J2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418.49847815952091</v>
      </c>
      <c r="K2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motorTorque="117" fuelUsageRatio="418.5"/&gt;</v>
      </c>
      <c r="L2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torque="0.469"/&gt;</v>
      </c>
      <c r="M27" s="3">
        <f>(1-(1-Table15[[#This Row],[rpm]]/Table36[idleRpm])^2)*Table7[idleT]</f>
        <v>-673.46938775510193</v>
      </c>
      <c r="N27" s="3">
        <f>MAX(0,(1-Table7[f1]*(Table36[maxTRpm1]-Table15[[#This Row],[rpm]])^2)*Table36[maxT])</f>
        <v>0</v>
      </c>
      <c r="O27" s="3">
        <f>MAX(0,(Table36[linearDown]*(1-Table7[f2]*(Table15[[#This Row],[rpm]]-Table36[maxTRpm]))+(1-Table36[linearDown])*(1-Table7[f3]*(Table15[[#This Row],[rpm]]-Table36[maxTRpm])^2))*Table36[maxT])</f>
        <v>190.98772321428569</v>
      </c>
      <c r="P27" s="3">
        <f>MAX(0,(Table36[maxPS]-Table7[f4]*(Table15[[#This Row],[rpm]]-Table36[maxPRpm])^2)/1.36*9550/MAX(1,Table15[[#This Row],[rpm]]))</f>
        <v>191.51069518716577</v>
      </c>
      <c r="Q27" s="3">
        <f>MAX(0,Table7[Nm2]*MIN(Table36[ratedRpm]/MAX(1,Table15[[#This Row],[rpm]]),1-(MAX(0,Table15[[#This Row],[rpm]]-Table36[ratedRpm])/Table36[fadeOut])^Table36[fadeOutExp]))</f>
        <v>117.18788256822482</v>
      </c>
      <c r="R27" s="3">
        <f>(1-(1-Table15[[#This Row],[rpm]]/Table36[idleRpm])^2)*Table7[idleTEco]</f>
        <v>-673.46938775510193</v>
      </c>
      <c r="S27" s="3">
        <f>MAX(0,(1-Table7[f1]*(Table36[maxTRpm1]-Table15[[#This Row],[rpm]])^2)*Table36[maxTEco])</f>
        <v>0</v>
      </c>
      <c r="T27" s="3">
        <f>MAX(0,(Table36[linearDown]*(1-Table7[f2Eco]*(Table15[[#This Row],[rpm]]-Table36[maxTRpm]))+(1-Table36[linearDown])*(1-Table7[f3Eco]*(Table15[[#This Row],[rpm]]-Table36[maxTRpm])^2))*Table36[maxTEco])</f>
        <v>190.98772321428569</v>
      </c>
      <c r="U27" s="3">
        <f>MAX(0,(Table36[maxPSEco]-Table7[f4Eco]*(Table15[[#This Row],[rpm]]-Table36[maxPRpm])^2)/1.36*9550/MAX(1,Table15[[#This Row],[rpm]]))</f>
        <v>191.51069518716577</v>
      </c>
      <c r="V27" s="3">
        <f>MAX(0,Table7[Nm2Eco]*MIN(Table36[ratedRpm]/MAX(1,Table15[[#This Row],[rpm]]),1-(MAX(0,Table15[[#This Row],[rpm]]-Table36[ratedRpm])/Table36[fadeOut])^Table36[fadeOutExp]))</f>
        <v>117.18788256822482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191.51069518716577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191.51069518716577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19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19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fuelUsageRatio="0"/&gt;</v>
      </c>
      <c r="L2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-731.82397959183686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185.87718290441174</v>
      </c>
      <c r="P28" s="3">
        <f>MAX(0,(Table36[maxPS]-Table7[f4]*(Table15[[#This Row],[rpm]]-Table36[maxPRpm])^2)/1.36*9550/MAX(1,Table15[[#This Row],[rpm]]))</f>
        <v>187.25490196078431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-731.82397959183686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185.87718290441174</v>
      </c>
      <c r="U28" s="3">
        <f>MAX(0,(Table36[maxPSEco]-Table7[f4Eco]*(Table15[[#This Row],[rpm]]-Table36[maxPRpm])^2)/1.36*9550/MAX(1,Table15[[#This Row],[rpm]]))</f>
        <v>187.25490196078431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187.25490196078431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187.25490196078431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19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19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fuelUsageRatio="0"/&gt;</v>
      </c>
      <c r="L2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-792.09183673469374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180.57379201680669</v>
      </c>
      <c r="P29" s="3">
        <f>MAX(0,(Table36[maxPS]-Table7[f4]*(Table15[[#This Row],[rpm]]-Table36[maxPRpm])^2)/1.36*9550/MAX(1,Table15[[#This Row],[rpm]]))</f>
        <v>183.18414322250638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-792.09183673469374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180.57379201680669</v>
      </c>
      <c r="U29" s="3">
        <f>MAX(0,(Table36[maxPSEco]-Table7[f4Eco]*(Table15[[#This Row],[rpm]]-Table36[maxPRpm])^2)/1.36*9550/MAX(1,Table15[[#This Row],[rpm]]))</f>
        <v>183.18414322250638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183.18414322250638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183.18414322250638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9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9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-854.27295918367361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175.07755055147055</v>
      </c>
      <c r="P30" s="3">
        <f>MAX(0,(Table36[maxPS]-Table7[f4]*(Table15[[#This Row],[rpm]]-Table36[maxPRpm])^2)/1.36*9550/MAX(1,Table15[[#This Row],[rpm]]))</f>
        <v>179.28660826032541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-854.27295918367361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175.07755055147055</v>
      </c>
      <c r="U30" s="3">
        <f>MAX(0,(Table36[maxPSEco]-Table7[f4Eco]*(Table15[[#This Row],[rpm]]-Table36[maxPRpm])^2)/1.36*9550/MAX(1,Table15[[#This Row],[rpm]]))</f>
        <v>179.28660826032541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179.28660826032541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179.28660826032541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9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9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-918.36734693877531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169.38845850840335</v>
      </c>
      <c r="P31" s="3">
        <f>MAX(0,(Table36[maxPS]-Table7[f4]*(Table15[[#This Row],[rpm]]-Table36[maxPRpm])^2)/1.36*9550/MAX(1,Table15[[#This Row],[rpm]]))</f>
        <v>175.5514705882353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-918.36734693877531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169.38845850840335</v>
      </c>
      <c r="U31" s="3">
        <f>MAX(0,(Table36[maxPSEco]-Table7[f4Eco]*(Table15[[#This Row],[rpm]]-Table36[maxPRpm])^2)/1.36*9550/MAX(1,Table15[[#This Row],[rpm]]))</f>
        <v>175.5514705882353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175.5514705882353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175.5514705882353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9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9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-984.375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163.50651588760502</v>
      </c>
      <c r="P32" s="3">
        <f>MAX(0,(Table36[maxPS]-Table7[f4]*(Table15[[#This Row],[rpm]]-Table36[maxPRpm])^2)/1.36*9550/MAX(1,Table15[[#This Row],[rpm]]))</f>
        <v>171.968787515006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-984.375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163.50651588760502</v>
      </c>
      <c r="U32" s="3">
        <f>MAX(0,(Table36[maxPSEco]-Table7[f4Eco]*(Table15[[#This Row],[rpm]]-Table36[maxPRpm])^2)/1.36*9550/MAX(1,Table15[[#This Row],[rpm]]))</f>
        <v>171.968787515006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171.968787515006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171.968787515006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9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9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-1052.2959183673472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157.43172268907563</v>
      </c>
      <c r="P33" s="3">
        <f>MAX(0,(Table36[maxPS]-Table7[f4]*(Table15[[#This Row],[rpm]]-Table36[maxPRpm])^2)/1.36*9550/MAX(1,Table15[[#This Row],[rpm]]))</f>
        <v>168.52941176470588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-1052.2959183673472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157.43172268907563</v>
      </c>
      <c r="U33" s="3">
        <f>MAX(0,(Table36[maxPSEco]-Table7[f4Eco]*(Table15[[#This Row],[rpm]]-Table36[maxPRpm])^2)/1.36*9550/MAX(1,Table15[[#This Row],[rpm]]))</f>
        <v>168.52941176470588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168.52941176470588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168.52941176470588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9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9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-1122.1301020408164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151.16407891281511</v>
      </c>
      <c r="P34" s="3">
        <f>MAX(0,(Table36[maxPS]-Table7[f4]*(Table15[[#This Row],[rpm]]-Table36[maxPRpm])^2)/1.36*9550/MAX(1,Table15[[#This Row],[rpm]]))</f>
        <v>165.2249134948097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-1122.1301020408164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151.16407891281511</v>
      </c>
      <c r="U34" s="3">
        <f>MAX(0,(Table36[maxPSEco]-Table7[f4Eco]*(Table15[[#This Row],[rpm]]-Table36[maxPRpm])^2)/1.36*9550/MAX(1,Table15[[#This Row],[rpm]]))</f>
        <v>165.2249134948097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165.2249134948097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165.2249134948097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9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9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-1193.8775510204084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144.70358455882351</v>
      </c>
      <c r="P35" s="3">
        <f>MAX(0,(Table36[maxPS]-Table7[f4]*(Table15[[#This Row],[rpm]]-Table36[maxPRpm])^2)/1.36*9550/MAX(1,Table15[[#This Row],[rpm]]))</f>
        <v>162.04751131221718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-1193.8775510204084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144.70358455882351</v>
      </c>
      <c r="U35" s="3">
        <f>MAX(0,(Table36[maxPSEco]-Table7[f4Eco]*(Table15[[#This Row],[rpm]]-Table36[maxPRpm])^2)/1.36*9550/MAX(1,Table15[[#This Row],[rpm]]))</f>
        <v>162.04751131221718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162.04751131221718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162.04751131221718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9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9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-1267.5382653061224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138.05023962710084</v>
      </c>
      <c r="P36" s="3">
        <f>MAX(0,(Table36[maxPS]-Table7[f4]*(Table15[[#This Row],[rpm]]-Table36[maxPRpm])^2)/1.36*9550/MAX(1,Table15[[#This Row],[rpm]]))</f>
        <v>158.99001109877912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-1267.5382653061224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138.05023962710084</v>
      </c>
      <c r="U36" s="3">
        <f>MAX(0,(Table36[maxPSEco]-Table7[f4Eco]*(Table15[[#This Row],[rpm]]-Table36[maxPRpm])^2)/1.36*9550/MAX(1,Table15[[#This Row],[rpm]]))</f>
        <v>158.99001109877912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158.99001109877912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158.99001109877912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9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9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-1420.5994897959181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124.16499803046214</v>
      </c>
      <c r="P37" s="3">
        <f>MAX(0,(Table36[maxPS]-Table7[f4]*(Table15[[#This Row],[rpm]]-Table36[maxPRpm])^2)/1.36*9550/MAX(1,Table15[[#This Row],[rpm]]))</f>
        <v>153.20855614973263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-1420.5994897959181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124.16499803046214</v>
      </c>
      <c r="U37" s="3">
        <f>MAX(0,(Table36[maxPSEco]-Table7[f4Eco]*(Table15[[#This Row],[rpm]]-Table36[maxPRpm])^2)/1.36*9550/MAX(1,Table15[[#This Row],[rpm]]))</f>
        <v>153.20855614973263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153.20855614973263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153.20855614973263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9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9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-1836.7346938775506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86.077008928571402</v>
      </c>
      <c r="P38" s="3">
        <f>MAX(0,(Table36[maxPS]-Table7[f4]*(Table15[[#This Row],[rpm]]-Table36[maxPRpm])^2)/1.36*9550/MAX(1,Table15[[#This Row],[rpm]]))</f>
        <v>140.44117647058823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-1836.7346938775506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86.077008928571402</v>
      </c>
      <c r="U38" s="3">
        <f>MAX(0,(Table36[maxPSEco]-Table7[f4Eco]*(Table15[[#This Row],[rpm]]-Table36[maxPRpm])^2)/1.36*9550/MAX(1,Table15[[#This Row],[rpm]]))</f>
        <v>140.44117647058823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140.44117647058823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140.44117647058823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9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9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-2300.7015306122453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43.167755383403311</v>
      </c>
      <c r="P39" s="3">
        <f>MAX(0,(Table36[maxPS]-Table7[f4]*(Table15[[#This Row],[rpm]]-Table36[maxPRpm])^2)/1.36*9550/MAX(1,Table15[[#This Row],[rpm]]))</f>
        <v>129.63800904977376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-2300.7015306122453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43.167755383403311</v>
      </c>
      <c r="U39" s="3">
        <f>MAX(0,(Table36[maxPSEco]-Table7[f4Eco]*(Table15[[#This Row],[rpm]]-Table36[maxPRpm])^2)/1.36*9550/MAX(1,Table15[[#This Row],[rpm]]))</f>
        <v>129.63800904977376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129.63800904977376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129.63800904977376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9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9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-2812.5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120.3781512605042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-2812.5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120.3781512605042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120.3781512605042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120.3781512605042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9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9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-3372.1301020408155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112.35294117647058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-3372.1301020408155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112.35294117647058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112.35294117647058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112.35294117647058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9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9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-3979.5918367346944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105.33088235294117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-3979.5918367346944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105.33088235294117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105.33088235294117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105.33088235294117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9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9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-4634.8852040816319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99.134948096885807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-4634.8852040816319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99.134948096885807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99.134948096885807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99.134948096885807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9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9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-5338.0102040816337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93.627450980392155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-5338.0102040816337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93.627450980392155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93.627450980392155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93.627450980392155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9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9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-6088.966836734694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88.699690402476776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-6088.966836734694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88.699690402476776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88.699690402476776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88.699690402476776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9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9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-6887.7551020408173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84.264705882352942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-6887.7551020408173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84.264705882352942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84.264705882352942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84.264705882352942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9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9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-7734.375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80.252100840336126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-7734.375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80.252100840336126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80.252100840336126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80.252100840336126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9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9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-8628.8265306122448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76.604278074866315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-8628.8265306122448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76.604278074866315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76.604278074866315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76.604278074866315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9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9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-9571.1096938775499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73.273657289002557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-9571.1096938775499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73.273657289002557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73.273657289002557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73.273657289002557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9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9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-10561.224489795917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70.220588235294116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-10561.224489795917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70.220588235294116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70.220588235294116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70.220588235294116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9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9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-11599.170918367348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67.411764705882348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-11599.170918367348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67.411764705882348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67.411764705882348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67.411764705882348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9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9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-12684.948979591838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64.819004524886878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-12684.948979591838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64.819004524886878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64.819004524886878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64.819004524886878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9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9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-13818.558673469388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62.41830065359477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-13818.558673469388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62.41830065359477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62.41830065359477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62.41830065359477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9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9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-15000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60.189075630252098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-15000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60.189075630252098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60.189075630252098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60.189075630252098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9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9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-16229.272959183676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58.113590263691684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-16229.272959183676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58.113590263691684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58.113590263691684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58.113590263691684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9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9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-17506.377551020407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56.17647058823529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-17506.377551020407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56.17647058823529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56.17647058823529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56.17647058823529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9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9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-18831.313775510203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54.364326375711578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-18831.313775510203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54.364326375711578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54.364326375711578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54.364326375711578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9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9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-20204.081632653062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52.665441176470587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-20204.081632653062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52.665441176470587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52.665441176470587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52.665441176470587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9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9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-21624.681122448983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51.069518716577541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-21624.681122448983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51.069518716577541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51.069518716577541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51.069518716577541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9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9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-23093.112244897959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49.567474048442904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-23093.112244897959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49.567474048442904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49.567474048442904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49.567474048442904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9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9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-24609.375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48.15126050420168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-24609.375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48.15126050420168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48.15126050420168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48.15126050420168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9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9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-26173.469387755104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46.813725490196077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-26173.469387755104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46.813725490196077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46.813725490196077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46.813725490196077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7" t="s">
        <v>18</v>
      </c>
      <c r="B1" s="38" t="s">
        <v>23</v>
      </c>
      <c r="C1" s="38" t="s">
        <v>8</v>
      </c>
      <c r="D1" s="38" t="s">
        <v>10</v>
      </c>
      <c r="E1" s="38" t="s">
        <v>22</v>
      </c>
      <c r="F1" s="38" t="s">
        <v>12</v>
      </c>
      <c r="G1" s="39" t="s">
        <v>13</v>
      </c>
      <c r="H1" s="44" t="s">
        <v>14</v>
      </c>
      <c r="I1" s="44" t="s">
        <v>27</v>
      </c>
      <c r="K1" s="35" t="s">
        <v>19</v>
      </c>
      <c r="L1" s="35" t="s">
        <v>20</v>
      </c>
    </row>
    <row r="2" spans="1:12" x14ac:dyDescent="0.25">
      <c r="A2" s="40">
        <v>1900</v>
      </c>
      <c r="B2" s="41">
        <v>396</v>
      </c>
      <c r="C2" s="42">
        <v>2100</v>
      </c>
      <c r="D2" s="43">
        <v>390</v>
      </c>
      <c r="E2" s="40">
        <v>1450</v>
      </c>
      <c r="F2" s="41">
        <v>1450</v>
      </c>
      <c r="G2" s="41">
        <v>1538</v>
      </c>
      <c r="H2" s="26">
        <v>800</v>
      </c>
      <c r="I2" s="45">
        <v>1.0900000000000001</v>
      </c>
      <c r="K2" s="36">
        <f>Table2[maxPS]/1.36*9550/Table2[maxPRpm]</f>
        <v>1463.5448916408668</v>
      </c>
      <c r="L2" s="36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2017-05-04T07:15:30Z</dcterms:modified>
</cp:coreProperties>
</file>