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LOAN RECON" sheetId="1" r:id="rId1"/>
  </sheets>
  <externalReferences>
    <externalReference r:id="rId2"/>
  </externalReferences>
  <definedNames>
    <definedName name="_xlnm.Print_Area" localSheetId="0">'LOAN RECON'!$A$1:$J$99</definedName>
  </definedNames>
  <calcPr calcId="145621"/>
</workbook>
</file>

<file path=xl/calcChain.xml><?xml version="1.0" encoding="utf-8"?>
<calcChain xmlns="http://schemas.openxmlformats.org/spreadsheetml/2006/main">
  <c r="A34" i="1" l="1"/>
  <c r="A67" i="1" s="1"/>
  <c r="G16" i="1"/>
  <c r="I16" i="1"/>
  <c r="F85" i="1"/>
  <c r="C73" i="1"/>
  <c r="H23" i="1"/>
  <c r="G98" i="1"/>
  <c r="D89" i="1"/>
  <c r="D52" i="1"/>
  <c r="G60" i="1"/>
  <c r="D73" i="1"/>
  <c r="G50" i="1"/>
  <c r="D24" i="1"/>
  <c r="I25" i="1"/>
  <c r="D11" i="1"/>
  <c r="G57" i="1"/>
  <c r="E23" i="1"/>
  <c r="J10" i="1"/>
  <c r="E7" i="1"/>
  <c r="E6" i="1"/>
  <c r="F51" i="1"/>
  <c r="G84" i="1"/>
  <c r="C76" i="1"/>
  <c r="C86" i="1"/>
  <c r="C89" i="1"/>
  <c r="H58" i="1"/>
  <c r="I7" i="1"/>
  <c r="F10" i="1"/>
  <c r="C65" i="1"/>
  <c r="J20" i="1"/>
  <c r="I52" i="1"/>
  <c r="C53" i="1"/>
  <c r="D6" i="1"/>
  <c r="C7" i="1"/>
  <c r="D50" i="1"/>
  <c r="I59" i="1"/>
  <c r="C52" i="1"/>
  <c r="D77" i="1"/>
  <c r="E90" i="1"/>
  <c r="C18" i="1"/>
  <c r="G59" i="1"/>
  <c r="H24" i="1"/>
  <c r="C91" i="1"/>
  <c r="E52" i="1"/>
  <c r="J7" i="1"/>
  <c r="C98" i="1"/>
  <c r="G83" i="1"/>
  <c r="D58" i="1"/>
  <c r="H50" i="1"/>
  <c r="G56" i="1"/>
  <c r="H17" i="1"/>
  <c r="D98" i="1"/>
  <c r="E53" i="1"/>
  <c r="C59" i="1"/>
  <c r="F25" i="1"/>
  <c r="E84" i="1"/>
  <c r="D23" i="1"/>
  <c r="H11" i="1"/>
  <c r="I32" i="1"/>
  <c r="D27" i="1"/>
  <c r="E60" i="1"/>
  <c r="D82" i="1"/>
  <c r="F50" i="1"/>
  <c r="C39" i="1"/>
  <c r="G11" i="1"/>
  <c r="J6" i="1"/>
  <c r="D92" i="1"/>
  <c r="F65" i="1"/>
  <c r="C93" i="1"/>
  <c r="I60" i="1"/>
  <c r="E51" i="1"/>
  <c r="C77" i="1"/>
  <c r="F60" i="1"/>
  <c r="J23" i="1"/>
  <c r="J32" i="1"/>
  <c r="H57" i="1"/>
  <c r="I20" i="1"/>
  <c r="C57" i="1"/>
  <c r="C90" i="1"/>
  <c r="H56" i="1"/>
  <c r="D10" i="1"/>
  <c r="C72" i="1"/>
  <c r="G53" i="1"/>
  <c r="J17" i="1"/>
  <c r="H52" i="1"/>
  <c r="C85" i="1"/>
  <c r="H49" i="1"/>
  <c r="G72" i="1"/>
  <c r="E73" i="1"/>
  <c r="I57" i="1"/>
  <c r="E20" i="1"/>
  <c r="I56" i="1"/>
  <c r="G58" i="1"/>
  <c r="F44" i="1"/>
  <c r="I53" i="1"/>
  <c r="D56" i="1"/>
  <c r="F98" i="1"/>
  <c r="F72" i="1"/>
  <c r="H26" i="1"/>
  <c r="E10" i="1"/>
  <c r="I11" i="1"/>
  <c r="E26" i="1"/>
  <c r="G18" i="1"/>
  <c r="J24" i="1"/>
  <c r="G89" i="1"/>
  <c r="J16" i="1"/>
  <c r="F56" i="1"/>
  <c r="H25" i="1"/>
  <c r="H6" i="1"/>
  <c r="I24" i="1"/>
  <c r="E72" i="1"/>
  <c r="F49" i="1"/>
  <c r="F43" i="1"/>
  <c r="F7" i="1"/>
  <c r="I65" i="1"/>
  <c r="D43" i="1"/>
  <c r="F93" i="1"/>
  <c r="I44" i="1"/>
  <c r="G76" i="1"/>
  <c r="D53" i="1"/>
  <c r="F52" i="1"/>
  <c r="G7" i="1"/>
  <c r="D59" i="1"/>
  <c r="C40" i="1"/>
  <c r="D57" i="1"/>
  <c r="F24" i="1"/>
  <c r="C27" i="1"/>
  <c r="E89" i="1"/>
  <c r="I58" i="1"/>
  <c r="F20" i="1"/>
  <c r="D20" i="1"/>
  <c r="H18" i="1"/>
  <c r="E83" i="1"/>
  <c r="E98" i="1"/>
  <c r="F89" i="1"/>
  <c r="I6" i="1"/>
  <c r="J18" i="1"/>
  <c r="J11" i="1"/>
  <c r="I27" i="1"/>
  <c r="I10" i="1"/>
  <c r="H43" i="1"/>
  <c r="J25" i="1"/>
  <c r="C6" i="1"/>
  <c r="D19" i="1"/>
  <c r="I39" i="1"/>
  <c r="G19" i="1"/>
  <c r="G17" i="1"/>
  <c r="F39" i="1"/>
  <c r="I49" i="1"/>
  <c r="I43" i="1"/>
  <c r="H53" i="1"/>
  <c r="F23" i="1"/>
  <c r="E50" i="1"/>
  <c r="F11" i="1"/>
  <c r="J26" i="1"/>
  <c r="H19" i="1"/>
  <c r="E27" i="1"/>
  <c r="D90" i="1"/>
  <c r="E43" i="1"/>
  <c r="J19" i="1"/>
  <c r="C43" i="1"/>
  <c r="F59" i="1"/>
  <c r="G82" i="1"/>
  <c r="E49" i="1"/>
  <c r="G6" i="1"/>
  <c r="D85" i="1"/>
  <c r="F92" i="1"/>
  <c r="C56" i="1"/>
  <c r="G86" i="1"/>
  <c r="G91" i="1"/>
  <c r="D40" i="1"/>
  <c r="E76" i="1"/>
  <c r="D84" i="1"/>
  <c r="F53" i="1"/>
  <c r="F76" i="1"/>
  <c r="E19" i="1"/>
  <c r="H10" i="1"/>
  <c r="F82" i="1"/>
  <c r="G51" i="1"/>
  <c r="C19" i="1"/>
  <c r="G90" i="1"/>
  <c r="I50" i="1"/>
  <c r="D51" i="1"/>
  <c r="C32" i="1"/>
  <c r="D76" i="1"/>
  <c r="H32" i="1"/>
  <c r="F16" i="1"/>
  <c r="F84" i="1"/>
  <c r="F18" i="1"/>
  <c r="E58" i="1"/>
  <c r="F17" i="1"/>
  <c r="G73" i="1"/>
  <c r="G52" i="1"/>
  <c r="H60" i="1"/>
  <c r="G32" i="1"/>
  <c r="J27" i="1"/>
  <c r="C23" i="1"/>
  <c r="G27" i="1"/>
  <c r="C10" i="1"/>
  <c r="F86" i="1"/>
  <c r="D72" i="1"/>
  <c r="F26" i="1"/>
  <c r="F32" i="1"/>
  <c r="F57" i="1"/>
  <c r="E82" i="1"/>
  <c r="C49" i="1"/>
  <c r="F90" i="1"/>
  <c r="C58" i="1"/>
  <c r="D17" i="1"/>
  <c r="E39" i="1"/>
  <c r="E44" i="1"/>
  <c r="I51" i="1"/>
  <c r="E18" i="1"/>
  <c r="C51" i="1"/>
  <c r="E17" i="1"/>
  <c r="E57" i="1"/>
  <c r="C44" i="1"/>
  <c r="G77" i="1"/>
  <c r="D7" i="1"/>
  <c r="E65" i="1"/>
  <c r="E59" i="1"/>
  <c r="I26" i="1"/>
  <c r="F83" i="1"/>
  <c r="E92" i="1"/>
  <c r="C20" i="1"/>
  <c r="E32" i="1"/>
  <c r="E16" i="1"/>
  <c r="G65" i="1"/>
  <c r="D44" i="1"/>
  <c r="E24" i="1"/>
  <c r="D60" i="1"/>
  <c r="F27" i="1"/>
  <c r="D93" i="1"/>
  <c r="G26" i="1"/>
  <c r="G10" i="1"/>
  <c r="H39" i="1"/>
  <c r="F19" i="1"/>
  <c r="H44" i="1"/>
  <c r="H20" i="1"/>
  <c r="C60" i="1"/>
  <c r="D91" i="1"/>
  <c r="C50" i="1"/>
  <c r="D49" i="1"/>
  <c r="G93" i="1"/>
  <c r="F40" i="1"/>
  <c r="C83" i="1"/>
  <c r="H51" i="1"/>
  <c r="C25" i="1"/>
  <c r="G44" i="1"/>
  <c r="D32" i="1"/>
  <c r="G92" i="1"/>
  <c r="E11" i="1"/>
  <c r="E56" i="1"/>
  <c r="C24" i="1"/>
  <c r="E93" i="1"/>
  <c r="G20" i="1"/>
  <c r="H59" i="1"/>
  <c r="G49" i="1"/>
  <c r="G24" i="1"/>
  <c r="G25" i="1"/>
  <c r="D83" i="1"/>
  <c r="C16" i="1"/>
  <c r="E91" i="1"/>
  <c r="E86" i="1"/>
  <c r="D86" i="1"/>
  <c r="I17" i="1"/>
  <c r="C82" i="1"/>
  <c r="C84" i="1"/>
  <c r="I23" i="1"/>
  <c r="H27" i="1"/>
  <c r="C11" i="1"/>
  <c r="D39" i="1"/>
  <c r="F73" i="1"/>
  <c r="E85" i="1"/>
  <c r="C17" i="1"/>
  <c r="I19" i="1"/>
  <c r="E25" i="1"/>
  <c r="G40" i="1"/>
  <c r="G85" i="1"/>
  <c r="C26" i="1"/>
  <c r="H7" i="1"/>
  <c r="D65" i="1"/>
  <c r="G43" i="1"/>
  <c r="E40" i="1"/>
  <c r="I18" i="1"/>
  <c r="H65" i="1"/>
  <c r="E77" i="1"/>
  <c r="D18" i="1"/>
  <c r="D26" i="1"/>
  <c r="G23" i="1"/>
  <c r="F58" i="1"/>
  <c r="F91" i="1"/>
  <c r="G39" i="1"/>
  <c r="H16" i="1"/>
  <c r="D16" i="1"/>
  <c r="D25" i="1"/>
  <c r="C92" i="1"/>
  <c r="F77" i="1"/>
  <c r="F6" i="1"/>
  <c r="G74" i="1" l="1"/>
  <c r="I21" i="1"/>
  <c r="J28" i="1"/>
  <c r="G87" i="1"/>
  <c r="C74" i="1"/>
  <c r="E87" i="1"/>
  <c r="C28" i="1"/>
  <c r="D28" i="1"/>
  <c r="C61" i="1"/>
  <c r="I28" i="1"/>
  <c r="D78" i="1"/>
  <c r="J21" i="1"/>
  <c r="I41" i="1"/>
  <c r="H45" i="1"/>
  <c r="F12" i="1"/>
  <c r="F74" i="1"/>
  <c r="D12" i="1"/>
  <c r="F28" i="1"/>
  <c r="F21" i="1"/>
  <c r="H12" i="1"/>
  <c r="D74" i="1"/>
  <c r="C78" i="1"/>
  <c r="G94" i="1"/>
  <c r="E21" i="1"/>
  <c r="C41" i="1"/>
  <c r="F8" i="1"/>
  <c r="C54" i="1"/>
  <c r="J12" i="1"/>
  <c r="G78" i="1"/>
  <c r="F78" i="1"/>
  <c r="G28" i="1"/>
  <c r="E28" i="1"/>
  <c r="G45" i="1"/>
  <c r="I54" i="1"/>
  <c r="H21" i="1"/>
  <c r="F45" i="1"/>
  <c r="E61" i="1"/>
  <c r="G61" i="1"/>
  <c r="C12" i="1"/>
  <c r="E74" i="1"/>
  <c r="C8" i="1"/>
  <c r="G12" i="1"/>
  <c r="E8" i="1"/>
  <c r="H28" i="1"/>
  <c r="G21" i="1"/>
  <c r="F94" i="1"/>
  <c r="C94" i="1"/>
  <c r="J8" i="1"/>
  <c r="I8" i="1"/>
  <c r="D87" i="1"/>
  <c r="E12" i="1"/>
  <c r="D41" i="1"/>
  <c r="F87" i="1"/>
  <c r="D8" i="1"/>
  <c r="E94" i="1"/>
  <c r="I61" i="1"/>
  <c r="E54" i="1"/>
  <c r="E45" i="1"/>
  <c r="D61" i="1"/>
  <c r="D21" i="1"/>
  <c r="F61" i="1"/>
  <c r="E78" i="1"/>
  <c r="H61" i="1"/>
  <c r="H41" i="1"/>
  <c r="G41" i="1"/>
  <c r="G8" i="1"/>
  <c r="G54" i="1"/>
  <c r="F41" i="1"/>
  <c r="H54" i="1"/>
  <c r="E41" i="1"/>
  <c r="D54" i="1"/>
  <c r="D94" i="1"/>
  <c r="C87" i="1"/>
  <c r="F54" i="1"/>
  <c r="H8" i="1"/>
  <c r="I45" i="1"/>
  <c r="I12" i="1"/>
  <c r="D45" i="1"/>
  <c r="C21" i="1"/>
  <c r="C30" i="1" s="1"/>
  <c r="C45" i="1"/>
  <c r="F47" i="1" l="1"/>
  <c r="J14" i="1"/>
  <c r="D30" i="1"/>
  <c r="G14" i="1"/>
  <c r="D63" i="1"/>
  <c r="G47" i="1"/>
  <c r="E47" i="1"/>
  <c r="F63" i="1"/>
  <c r="D14" i="1"/>
  <c r="G63" i="1"/>
  <c r="C63" i="1"/>
  <c r="E63" i="1"/>
  <c r="F14" i="1"/>
  <c r="C96" i="1"/>
  <c r="H47" i="1"/>
  <c r="D47" i="1"/>
  <c r="E80" i="1"/>
  <c r="F80" i="1"/>
  <c r="J30" i="1"/>
  <c r="G96" i="1"/>
  <c r="H63" i="1"/>
  <c r="F96" i="1"/>
  <c r="G30" i="1"/>
  <c r="C14" i="1"/>
  <c r="C33" i="1" s="1"/>
  <c r="D80" i="1"/>
  <c r="E30" i="1"/>
  <c r="H14" i="1"/>
  <c r="E14" i="1"/>
  <c r="H30" i="1"/>
  <c r="F30" i="1"/>
  <c r="D96" i="1"/>
  <c r="I63" i="1"/>
  <c r="E96" i="1"/>
  <c r="I30" i="1"/>
  <c r="I14" i="1"/>
  <c r="C47" i="1"/>
  <c r="I47" i="1"/>
  <c r="C80" i="1"/>
  <c r="G80" i="1"/>
  <c r="D33" i="1" l="1"/>
  <c r="F66" i="1"/>
  <c r="G66" i="1"/>
  <c r="J33" i="1"/>
  <c r="D66" i="1"/>
  <c r="G33" i="1"/>
  <c r="E66" i="1"/>
  <c r="F33" i="1"/>
  <c r="C99" i="1"/>
  <c r="C66" i="1"/>
  <c r="H66" i="1"/>
  <c r="F99" i="1"/>
  <c r="D99" i="1"/>
  <c r="E99" i="1"/>
  <c r="G99" i="1"/>
  <c r="E33" i="1"/>
  <c r="I33" i="1"/>
  <c r="I66" i="1"/>
  <c r="H33" i="1"/>
</calcChain>
</file>

<file path=xl/comments1.xml><?xml version="1.0" encoding="utf-8"?>
<comments xmlns="http://schemas.openxmlformats.org/spreadsheetml/2006/main">
  <authors>
    <author>Nur Izzati Iman Binti Che  Ani</author>
  </authors>
  <commentList>
    <comment ref="E58" authorId="0">
      <text>
        <r>
          <rPr>
            <sz val="9"/>
            <color indexed="81"/>
            <rFont val="Tahoma"/>
            <family val="2"/>
          </rPr>
          <t xml:space="preserve">
To exclude BSTRD04 = RM25.44</t>
        </r>
      </text>
    </comment>
  </commentList>
</comments>
</file>

<file path=xl/sharedStrings.xml><?xml version="1.0" encoding="utf-8"?>
<sst xmlns="http://schemas.openxmlformats.org/spreadsheetml/2006/main" count="79" uniqueCount="40">
  <si>
    <t>CODA</t>
  </si>
  <si>
    <t>Financing payable</t>
  </si>
  <si>
    <t>MIDF DFD COV</t>
  </si>
  <si>
    <t xml:space="preserve"> </t>
  </si>
  <si>
    <t>MITI COV SLS</t>
  </si>
  <si>
    <t>MIDF DFD SPI</t>
  </si>
  <si>
    <t>MITI SPI SLS</t>
  </si>
  <si>
    <t>Sub-total</t>
  </si>
  <si>
    <t>GSF MITI COV</t>
  </si>
  <si>
    <t>GSF MIDA COV</t>
  </si>
  <si>
    <t>GSF SME COV</t>
  </si>
  <si>
    <t>GSF MTDE COV</t>
  </si>
  <si>
    <t>GSF MGTC COV</t>
  </si>
  <si>
    <t>GSF MITI SPI</t>
  </si>
  <si>
    <t>GSF MIDA SPI</t>
  </si>
  <si>
    <t>GSF SME SPI</t>
  </si>
  <si>
    <t>GSF MTDE SPI</t>
  </si>
  <si>
    <t>GSF BCF SPI</t>
  </si>
  <si>
    <t>BIOTECH</t>
  </si>
  <si>
    <t>Total</t>
  </si>
  <si>
    <t>Staff Loan</t>
  </si>
  <si>
    <t>Collective impairment</t>
  </si>
  <si>
    <r>
      <rPr>
        <b/>
        <sz val="11"/>
        <color rgb="FFFF0000"/>
        <rFont val="Calibri"/>
        <family val="2"/>
      </rPr>
      <t>RTCBAL</t>
    </r>
    <r>
      <rPr>
        <b/>
        <sz val="11"/>
        <color indexed="8"/>
        <rFont val="Calibri"/>
        <family val="2"/>
      </rPr>
      <t xml:space="preserve"> - RTC / Unassign Credit</t>
    </r>
  </si>
  <si>
    <r>
      <rPr>
        <b/>
        <sz val="11"/>
        <color indexed="10"/>
        <rFont val="Calibri"/>
        <family val="2"/>
      </rPr>
      <t>FAR 20%</t>
    </r>
    <r>
      <rPr>
        <b/>
        <sz val="11"/>
        <color indexed="8"/>
        <rFont val="Calibri"/>
        <family val="2"/>
      </rPr>
      <t xml:space="preserve"> - Trade Receivables</t>
    </r>
  </si>
  <si>
    <r>
      <rPr>
        <b/>
        <sz val="11"/>
        <color indexed="10"/>
        <rFont val="Calibri"/>
        <family val="2"/>
      </rPr>
      <t>UPFRONTAYBAL</t>
    </r>
    <r>
      <rPr>
        <b/>
        <sz val="11"/>
        <color indexed="8"/>
        <rFont val="Calibri"/>
        <family val="2"/>
      </rPr>
      <t xml:space="preserve"> - Upfront payment</t>
    </r>
  </si>
  <si>
    <r>
      <rPr>
        <b/>
        <sz val="11"/>
        <color indexed="10"/>
        <rFont val="Calibri"/>
        <family val="2"/>
      </rPr>
      <t>ADVANCEAMT</t>
    </r>
    <r>
      <rPr>
        <b/>
        <sz val="11"/>
        <color indexed="8"/>
        <rFont val="Calibri"/>
        <family val="2"/>
      </rPr>
      <t xml:space="preserve"> - Advance and prepayment</t>
    </r>
  </si>
  <si>
    <r>
      <rPr>
        <b/>
        <sz val="11"/>
        <color indexed="10"/>
        <rFont val="Calibri"/>
        <family val="2"/>
      </rPr>
      <t>GRSBAL</t>
    </r>
    <r>
      <rPr>
        <b/>
        <sz val="11"/>
        <color indexed="8"/>
        <rFont val="Calibri"/>
        <family val="2"/>
      </rPr>
      <t xml:space="preserve"> - Gross balance</t>
    </r>
  </si>
  <si>
    <r>
      <rPr>
        <b/>
        <sz val="11"/>
        <color indexed="10"/>
        <rFont val="Calibri"/>
        <family val="2"/>
      </rPr>
      <t>UNEARN</t>
    </r>
    <r>
      <rPr>
        <b/>
        <sz val="11"/>
        <color indexed="8"/>
        <rFont val="Calibri"/>
        <family val="2"/>
      </rPr>
      <t xml:space="preserve"> - Unearned interest</t>
    </r>
  </si>
  <si>
    <t>Contra</t>
  </si>
  <si>
    <t>RC MBB Clearing</t>
  </si>
  <si>
    <t>Inter-branch @ miscellaneous clearing</t>
  </si>
  <si>
    <t>I miscellaneous clearing</t>
  </si>
  <si>
    <t>Stamp duty</t>
  </si>
  <si>
    <r>
      <rPr>
        <b/>
        <sz val="11"/>
        <color indexed="10"/>
        <rFont val="Calibri"/>
        <family val="2"/>
      </rPr>
      <t>SP/IAIMPAIRMENT</t>
    </r>
    <r>
      <rPr>
        <b/>
        <sz val="11"/>
        <color indexed="8"/>
        <rFont val="Calibri"/>
        <family val="2"/>
      </rPr>
      <t xml:space="preserve"> - Specific provision</t>
    </r>
  </si>
  <si>
    <r>
      <rPr>
        <b/>
        <sz val="11"/>
        <color rgb="FFFF0000"/>
        <rFont val="Calibri"/>
        <family val="2"/>
      </rPr>
      <t xml:space="preserve"> PREPAYMENT BALANCE</t>
    </r>
    <r>
      <rPr>
        <b/>
        <sz val="11"/>
        <color indexed="8"/>
        <rFont val="Calibri"/>
        <family val="2"/>
      </rPr>
      <t xml:space="preserve"> - Loan Creditor @ Prepayment</t>
    </r>
  </si>
  <si>
    <t>Security deposit</t>
  </si>
  <si>
    <t>Revolving credit</t>
  </si>
  <si>
    <r>
      <rPr>
        <b/>
        <sz val="11"/>
        <color rgb="FFFF0000"/>
        <rFont val="Calibri"/>
        <family val="2"/>
      </rPr>
      <t>GRSIIS + ODIIIS</t>
    </r>
    <r>
      <rPr>
        <b/>
        <sz val="11"/>
        <color indexed="8"/>
        <rFont val="Calibri"/>
        <family val="2"/>
      </rPr>
      <t xml:space="preserve"> - Interest in suspense</t>
    </r>
  </si>
  <si>
    <r>
      <rPr>
        <b/>
        <sz val="11"/>
        <color indexed="10"/>
        <rFont val="Calibri"/>
        <family val="2"/>
      </rPr>
      <t>CAPIIIS</t>
    </r>
    <r>
      <rPr>
        <b/>
        <sz val="11"/>
        <color indexed="8"/>
        <rFont val="Calibri"/>
        <family val="2"/>
      </rPr>
      <t xml:space="preserve"> - Cap interest in suspense</t>
    </r>
  </si>
  <si>
    <t>Loan reconciliation as at 31 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</si>
</sst>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0;[Red]\(#,##0.00\)"/>
    <numFmt numFmtId="165" formatCode="_(* #,##0.00_);_(* \(#,##0.00\);_(* &quot;-&quot;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indexed="8"/>
      <name val="Tahoma"/>
      <family val="2"/>
    </font>
    <font>
      <b/>
      <sz val="24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color theme="0" tint="-0.499984740745262"/>
      <name val="Calibri"/>
      <family val="2"/>
      <scheme val="minor"/>
    </font>
    <font>
      <sz val="10"/>
      <name val="Tahoma"/>
      <family val="2"/>
    </font>
    <font>
      <sz val="10"/>
      <color indexed="8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9" fillId="0" borderId="0"/>
  </cellStyleXfs>
  <cellXfs count="8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quotePrefix="1" applyFill="1" applyBorder="1"/>
    <xf numFmtId="0" fontId="6" fillId="2" borderId="0" xfId="0" applyFont="1" applyFill="1"/>
    <xf numFmtId="0" fontId="7" fillId="2" borderId="1" xfId="0" applyFont="1" applyFill="1" applyBorder="1" applyAlignment="1">
      <alignment horizontal="center"/>
    </xf>
    <xf numFmtId="0" fontId="8" fillId="2" borderId="0" xfId="0" applyFont="1" applyFill="1"/>
    <xf numFmtId="0" fontId="8" fillId="0" borderId="0" xfId="0" applyFont="1"/>
    <xf numFmtId="0" fontId="2" fillId="2" borderId="0" xfId="0" applyFont="1" applyFill="1"/>
    <xf numFmtId="0" fontId="2" fillId="2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0" fillId="2" borderId="3" xfId="0" applyFill="1" applyBorder="1"/>
    <xf numFmtId="0" fontId="12" fillId="2" borderId="4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0" fillId="2" borderId="4" xfId="0" applyFill="1" applyBorder="1"/>
    <xf numFmtId="43" fontId="13" fillId="0" borderId="3" xfId="1" applyFont="1" applyFill="1" applyBorder="1" applyAlignment="1">
      <alignment horizontal="right" vertical="center"/>
    </xf>
    <xf numFmtId="43" fontId="13" fillId="0" borderId="4" xfId="1" applyFont="1" applyFill="1" applyBorder="1" applyAlignment="1">
      <alignment horizontal="right" vertical="center"/>
    </xf>
    <xf numFmtId="43" fontId="13" fillId="0" borderId="0" xfId="1" applyFont="1" applyFill="1" applyAlignment="1">
      <alignment horizontal="right" vertical="center"/>
    </xf>
    <xf numFmtId="43" fontId="1" fillId="2" borderId="0" xfId="1" applyFont="1" applyFill="1"/>
    <xf numFmtId="43" fontId="0" fillId="2" borderId="0" xfId="0" applyNumberFormat="1" applyFill="1"/>
    <xf numFmtId="43" fontId="13" fillId="2" borderId="5" xfId="1" applyFont="1" applyFill="1" applyBorder="1" applyAlignment="1">
      <alignment horizontal="right" vertical="center"/>
    </xf>
    <xf numFmtId="43" fontId="13" fillId="2" borderId="6" xfId="1" applyFont="1" applyFill="1" applyBorder="1" applyAlignment="1">
      <alignment horizontal="right" vertical="center"/>
    </xf>
    <xf numFmtId="43" fontId="0" fillId="2" borderId="4" xfId="1" applyFont="1" applyFill="1" applyBorder="1"/>
    <xf numFmtId="43" fontId="13" fillId="2" borderId="4" xfId="1" applyFont="1" applyFill="1" applyBorder="1" applyAlignment="1">
      <alignment horizontal="right" vertical="center"/>
    </xf>
    <xf numFmtId="164" fontId="14" fillId="2" borderId="0" xfId="0" applyNumberFormat="1" applyFont="1" applyFill="1" applyAlignment="1">
      <alignment horizontal="right"/>
    </xf>
    <xf numFmtId="43" fontId="13" fillId="2" borderId="7" xfId="1" applyFont="1" applyFill="1" applyBorder="1" applyAlignment="1">
      <alignment horizontal="right" vertical="center"/>
    </xf>
    <xf numFmtId="43" fontId="13" fillId="2" borderId="8" xfId="1" applyFont="1" applyFill="1" applyBorder="1" applyAlignment="1">
      <alignment horizontal="right" vertical="center"/>
    </xf>
    <xf numFmtId="43" fontId="0" fillId="2" borderId="5" xfId="1" applyFont="1" applyFill="1" applyBorder="1"/>
    <xf numFmtId="43" fontId="0" fillId="2" borderId="9" xfId="1" applyFont="1" applyFill="1" applyBorder="1"/>
    <xf numFmtId="0" fontId="15" fillId="2" borderId="0" xfId="0" applyFont="1" applyFill="1"/>
    <xf numFmtId="43" fontId="16" fillId="2" borderId="10" xfId="1" applyFont="1" applyFill="1" applyBorder="1"/>
    <xf numFmtId="43" fontId="16" fillId="2" borderId="11" xfId="1" applyFont="1" applyFill="1" applyBorder="1"/>
    <xf numFmtId="43" fontId="17" fillId="2" borderId="4" xfId="1" applyFont="1" applyFill="1" applyBorder="1"/>
    <xf numFmtId="43" fontId="17" fillId="2" borderId="9" xfId="1" applyFont="1" applyFill="1" applyBorder="1"/>
    <xf numFmtId="43" fontId="13" fillId="2" borderId="9" xfId="1" applyFont="1" applyFill="1" applyBorder="1" applyAlignment="1">
      <alignment horizontal="right" vertical="center"/>
    </xf>
    <xf numFmtId="43" fontId="13" fillId="2" borderId="3" xfId="1" applyFont="1" applyFill="1" applyBorder="1" applyAlignment="1">
      <alignment horizontal="right" vertical="center"/>
    </xf>
    <xf numFmtId="43" fontId="13" fillId="2" borderId="0" xfId="1" applyFont="1" applyFill="1" applyAlignment="1">
      <alignment horizontal="right" vertical="center"/>
    </xf>
    <xf numFmtId="164" fontId="0" fillId="2" borderId="0" xfId="0" applyNumberFormat="1" applyFill="1"/>
    <xf numFmtId="0" fontId="18" fillId="2" borderId="0" xfId="0" applyFont="1" applyFill="1"/>
    <xf numFmtId="43" fontId="13" fillId="2" borderId="0" xfId="1" applyFont="1" applyFill="1" applyBorder="1" applyAlignment="1">
      <alignment horizontal="right" vertical="center"/>
    </xf>
    <xf numFmtId="43" fontId="2" fillId="2" borderId="12" xfId="1" applyFont="1" applyFill="1" applyBorder="1"/>
    <xf numFmtId="43" fontId="2" fillId="2" borderId="11" xfId="1" applyFont="1" applyFill="1" applyBorder="1"/>
    <xf numFmtId="0" fontId="10" fillId="2" borderId="2" xfId="0" applyFont="1" applyFill="1" applyBorder="1" applyAlignment="1">
      <alignment horizontal="center" vertical="top" wrapText="1"/>
    </xf>
    <xf numFmtId="0" fontId="12" fillId="2" borderId="6" xfId="0" applyFont="1" applyFill="1" applyBorder="1" applyAlignment="1">
      <alignment horizontal="center"/>
    </xf>
    <xf numFmtId="165" fontId="13" fillId="2" borderId="3" xfId="1" applyNumberFormat="1" applyFont="1" applyFill="1" applyBorder="1" applyAlignment="1">
      <alignment horizontal="right" vertical="center"/>
    </xf>
    <xf numFmtId="165" fontId="13" fillId="2" borderId="4" xfId="1" applyNumberFormat="1" applyFont="1" applyFill="1" applyBorder="1" applyAlignment="1">
      <alignment horizontal="right" vertical="center"/>
    </xf>
    <xf numFmtId="165" fontId="13" fillId="2" borderId="0" xfId="1" applyNumberFormat="1" applyFont="1" applyFill="1" applyAlignment="1">
      <alignment horizontal="right" vertical="center"/>
    </xf>
    <xf numFmtId="165" fontId="13" fillId="2" borderId="5" xfId="1" applyNumberFormat="1" applyFont="1" applyFill="1" applyBorder="1" applyAlignment="1">
      <alignment horizontal="right" vertical="center"/>
    </xf>
    <xf numFmtId="165" fontId="13" fillId="2" borderId="13" xfId="1" applyNumberFormat="1" applyFont="1" applyFill="1" applyBorder="1" applyAlignment="1">
      <alignment horizontal="right" vertical="center"/>
    </xf>
    <xf numFmtId="165" fontId="13" fillId="2" borderId="7" xfId="1" applyNumberFormat="1" applyFont="1" applyFill="1" applyBorder="1" applyAlignment="1">
      <alignment horizontal="right" vertical="center"/>
    </xf>
    <xf numFmtId="165" fontId="13" fillId="2" borderId="6" xfId="1" applyNumberFormat="1" applyFont="1" applyFill="1" applyBorder="1" applyAlignment="1">
      <alignment horizontal="right" vertical="center"/>
    </xf>
    <xf numFmtId="165" fontId="13" fillId="2" borderId="14" xfId="1" applyNumberFormat="1" applyFont="1" applyFill="1" applyBorder="1" applyAlignment="1">
      <alignment horizontal="right" vertical="center"/>
    </xf>
    <xf numFmtId="165" fontId="13" fillId="2" borderId="15" xfId="1" applyNumberFormat="1" applyFont="1" applyFill="1" applyBorder="1" applyAlignment="1">
      <alignment horizontal="right" vertical="center"/>
    </xf>
    <xf numFmtId="165" fontId="13" fillId="2" borderId="0" xfId="1" applyNumberFormat="1" applyFont="1" applyFill="1" applyBorder="1" applyAlignment="1">
      <alignment horizontal="right" vertical="center"/>
    </xf>
    <xf numFmtId="165" fontId="13" fillId="2" borderId="8" xfId="1" applyNumberFormat="1" applyFont="1" applyFill="1" applyBorder="1" applyAlignment="1">
      <alignment horizontal="right" vertical="center"/>
    </xf>
    <xf numFmtId="0" fontId="0" fillId="2" borderId="5" xfId="0" applyFill="1" applyBorder="1"/>
    <xf numFmtId="0" fontId="0" fillId="2" borderId="9" xfId="0" applyFill="1" applyBorder="1"/>
    <xf numFmtId="165" fontId="16" fillId="2" borderId="10" xfId="0" applyNumberFormat="1" applyFont="1" applyFill="1" applyBorder="1"/>
    <xf numFmtId="165" fontId="16" fillId="2" borderId="11" xfId="0" applyNumberFormat="1" applyFont="1" applyFill="1" applyBorder="1"/>
    <xf numFmtId="165" fontId="16" fillId="2" borderId="12" xfId="0" applyNumberFormat="1" applyFont="1" applyFill="1" applyBorder="1"/>
    <xf numFmtId="165" fontId="16" fillId="2" borderId="16" xfId="0" applyNumberFormat="1" applyFont="1" applyFill="1" applyBorder="1"/>
    <xf numFmtId="165" fontId="17" fillId="2" borderId="4" xfId="0" applyNumberFormat="1" applyFont="1" applyFill="1" applyBorder="1"/>
    <xf numFmtId="165" fontId="17" fillId="2" borderId="0" xfId="0" applyNumberFormat="1" applyFont="1" applyFill="1" applyBorder="1"/>
    <xf numFmtId="165" fontId="17" fillId="2" borderId="9" xfId="0" applyNumberFormat="1" applyFont="1" applyFill="1" applyBorder="1"/>
    <xf numFmtId="165" fontId="13" fillId="2" borderId="9" xfId="1" applyNumberFormat="1" applyFont="1" applyFill="1" applyBorder="1" applyAlignment="1">
      <alignment horizontal="right" vertical="center"/>
    </xf>
    <xf numFmtId="165" fontId="0" fillId="2" borderId="4" xfId="0" applyNumberFormat="1" applyFill="1" applyBorder="1"/>
    <xf numFmtId="165" fontId="0" fillId="2" borderId="3" xfId="0" applyNumberFormat="1" applyFill="1" applyBorder="1"/>
    <xf numFmtId="165" fontId="0" fillId="2" borderId="0" xfId="0" applyNumberFormat="1" applyFill="1" applyBorder="1"/>
    <xf numFmtId="165" fontId="17" fillId="2" borderId="3" xfId="0" applyNumberFormat="1" applyFont="1" applyFill="1" applyBorder="1"/>
    <xf numFmtId="43" fontId="2" fillId="2" borderId="16" xfId="1" applyFont="1" applyFill="1" applyBorder="1"/>
    <xf numFmtId="0" fontId="21" fillId="2" borderId="2" xfId="0" applyFont="1" applyFill="1" applyBorder="1" applyAlignment="1">
      <alignment horizontal="center" vertical="top" wrapText="1"/>
    </xf>
    <xf numFmtId="0" fontId="0" fillId="0" borderId="0" xfId="0" applyFill="1"/>
    <xf numFmtId="165" fontId="0" fillId="2" borderId="0" xfId="0" applyNumberFormat="1" applyFill="1"/>
    <xf numFmtId="0" fontId="5" fillId="2" borderId="0" xfId="0" applyFont="1" applyFill="1" applyBorder="1" applyAlignment="1">
      <alignment horizontal="right" vertical="top"/>
    </xf>
  </cellXfs>
  <cellStyles count="3">
    <cellStyle name="Comma" xfId="1" builtinId="3"/>
    <cellStyle name="Normal" xfId="0" builtinId="0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CODA/CODA-Office/AddIns/CODA2Office_browseRepor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CODA_browseDataValueByCod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:BK100"/>
  <sheetViews>
    <sheetView tabSelected="1" view="pageBreakPreview" zoomScaleNormal="100" zoomScaleSheetLayoutView="100" workbookViewId="0">
      <selection activeCell="G18" sqref="F16:G18"/>
    </sheetView>
  </sheetViews>
  <sheetFormatPr defaultRowHeight="15" x14ac:dyDescent="0.25"/>
  <cols>
    <col min="1" max="1" width="2.7109375" customWidth="1"/>
    <col min="2" max="2" width="14.5703125" customWidth="1"/>
    <col min="3" max="3" width="16.5703125" customWidth="1"/>
    <col min="4" max="4" width="15.140625" bestFit="1" customWidth="1"/>
    <col min="5" max="5" width="14.85546875" customWidth="1"/>
    <col min="6" max="6" width="16" customWidth="1"/>
    <col min="7" max="7" width="16" bestFit="1" customWidth="1"/>
    <col min="8" max="8" width="17.7109375" customWidth="1"/>
    <col min="9" max="9" width="15.7109375" customWidth="1"/>
    <col min="10" max="10" width="15.140625" customWidth="1"/>
    <col min="12" max="12" width="13.28515625" bestFit="1" customWidth="1"/>
    <col min="14" max="14" width="10.5703125" bestFit="1" customWidth="1"/>
    <col min="17" max="17" width="12.85546875" customWidth="1"/>
    <col min="242" max="242" width="2.7109375" customWidth="1"/>
    <col min="243" max="243" width="12.42578125" customWidth="1"/>
    <col min="244" max="245" width="14.7109375" customWidth="1"/>
    <col min="246" max="246" width="13.42578125" customWidth="1"/>
    <col min="247" max="247" width="13.7109375" customWidth="1"/>
    <col min="248" max="248" width="13.28515625" customWidth="1"/>
    <col min="249" max="249" width="9.7109375" customWidth="1"/>
    <col min="250" max="250" width="12.5703125" customWidth="1"/>
    <col min="251" max="251" width="12.28515625" customWidth="1"/>
    <col min="252" max="252" width="9.7109375" customWidth="1"/>
    <col min="253" max="253" width="13.28515625" customWidth="1"/>
    <col min="254" max="254" width="12.7109375" bestFit="1" customWidth="1"/>
    <col min="255" max="255" width="11.42578125" customWidth="1"/>
    <col min="256" max="256" width="15.42578125" customWidth="1"/>
    <col min="257" max="257" width="12.5703125" customWidth="1"/>
    <col min="258" max="258" width="12.28515625" customWidth="1"/>
    <col min="259" max="259" width="9.7109375" customWidth="1"/>
    <col min="260" max="261" width="11.7109375" customWidth="1"/>
    <col min="262" max="262" width="9.7109375" customWidth="1"/>
    <col min="263" max="263" width="13.5703125" customWidth="1"/>
    <col min="264" max="265" width="12.5703125" customWidth="1"/>
    <col min="266" max="266" width="12.85546875" customWidth="1"/>
    <col min="268" max="268" width="13.28515625" bestFit="1" customWidth="1"/>
    <col min="270" max="270" width="10.5703125" bestFit="1" customWidth="1"/>
    <col min="273" max="273" width="12.85546875" customWidth="1"/>
    <col min="498" max="498" width="2.7109375" customWidth="1"/>
    <col min="499" max="499" width="12.42578125" customWidth="1"/>
    <col min="500" max="501" width="14.7109375" customWidth="1"/>
    <col min="502" max="502" width="13.42578125" customWidth="1"/>
    <col min="503" max="503" width="13.7109375" customWidth="1"/>
    <col min="504" max="504" width="13.28515625" customWidth="1"/>
    <col min="505" max="505" width="9.7109375" customWidth="1"/>
    <col min="506" max="506" width="12.5703125" customWidth="1"/>
    <col min="507" max="507" width="12.28515625" customWidth="1"/>
    <col min="508" max="508" width="9.7109375" customWidth="1"/>
    <col min="509" max="509" width="13.28515625" customWidth="1"/>
    <col min="510" max="510" width="12.7109375" bestFit="1" customWidth="1"/>
    <col min="511" max="511" width="11.42578125" customWidth="1"/>
    <col min="512" max="512" width="15.42578125" customWidth="1"/>
    <col min="513" max="513" width="12.5703125" customWidth="1"/>
    <col min="514" max="514" width="12.28515625" customWidth="1"/>
    <col min="515" max="515" width="9.7109375" customWidth="1"/>
    <col min="516" max="517" width="11.7109375" customWidth="1"/>
    <col min="518" max="518" width="9.7109375" customWidth="1"/>
    <col min="519" max="519" width="13.5703125" customWidth="1"/>
    <col min="520" max="521" width="12.5703125" customWidth="1"/>
    <col min="522" max="522" width="12.85546875" customWidth="1"/>
    <col min="524" max="524" width="13.28515625" bestFit="1" customWidth="1"/>
    <col min="526" max="526" width="10.5703125" bestFit="1" customWidth="1"/>
    <col min="529" max="529" width="12.85546875" customWidth="1"/>
    <col min="754" max="754" width="2.7109375" customWidth="1"/>
    <col min="755" max="755" width="12.42578125" customWidth="1"/>
    <col min="756" max="757" width="14.7109375" customWidth="1"/>
    <col min="758" max="758" width="13.42578125" customWidth="1"/>
    <col min="759" max="759" width="13.7109375" customWidth="1"/>
    <col min="760" max="760" width="13.28515625" customWidth="1"/>
    <col min="761" max="761" width="9.7109375" customWidth="1"/>
    <col min="762" max="762" width="12.5703125" customWidth="1"/>
    <col min="763" max="763" width="12.28515625" customWidth="1"/>
    <col min="764" max="764" width="9.7109375" customWidth="1"/>
    <col min="765" max="765" width="13.28515625" customWidth="1"/>
    <col min="766" max="766" width="12.7109375" bestFit="1" customWidth="1"/>
    <col min="767" max="767" width="11.42578125" customWidth="1"/>
    <col min="768" max="768" width="15.42578125" customWidth="1"/>
    <col min="769" max="769" width="12.5703125" customWidth="1"/>
    <col min="770" max="770" width="12.28515625" customWidth="1"/>
    <col min="771" max="771" width="9.7109375" customWidth="1"/>
    <col min="772" max="773" width="11.7109375" customWidth="1"/>
    <col min="774" max="774" width="9.7109375" customWidth="1"/>
    <col min="775" max="775" width="13.5703125" customWidth="1"/>
    <col min="776" max="777" width="12.5703125" customWidth="1"/>
    <col min="778" max="778" width="12.85546875" customWidth="1"/>
    <col min="780" max="780" width="13.28515625" bestFit="1" customWidth="1"/>
    <col min="782" max="782" width="10.5703125" bestFit="1" customWidth="1"/>
    <col min="785" max="785" width="12.85546875" customWidth="1"/>
    <col min="1010" max="1010" width="2.7109375" customWidth="1"/>
    <col min="1011" max="1011" width="12.42578125" customWidth="1"/>
    <col min="1012" max="1013" width="14.7109375" customWidth="1"/>
    <col min="1014" max="1014" width="13.42578125" customWidth="1"/>
    <col min="1015" max="1015" width="13.7109375" customWidth="1"/>
    <col min="1016" max="1016" width="13.28515625" customWidth="1"/>
    <col min="1017" max="1017" width="9.7109375" customWidth="1"/>
    <col min="1018" max="1018" width="12.5703125" customWidth="1"/>
    <col min="1019" max="1019" width="12.28515625" customWidth="1"/>
    <col min="1020" max="1020" width="9.7109375" customWidth="1"/>
    <col min="1021" max="1021" width="13.28515625" customWidth="1"/>
    <col min="1022" max="1022" width="12.7109375" bestFit="1" customWidth="1"/>
    <col min="1023" max="1023" width="11.42578125" customWidth="1"/>
    <col min="1024" max="1024" width="15.42578125" customWidth="1"/>
    <col min="1025" max="1025" width="12.5703125" customWidth="1"/>
    <col min="1026" max="1026" width="12.28515625" customWidth="1"/>
    <col min="1027" max="1027" width="9.7109375" customWidth="1"/>
    <col min="1028" max="1029" width="11.7109375" customWidth="1"/>
    <col min="1030" max="1030" width="9.7109375" customWidth="1"/>
    <col min="1031" max="1031" width="13.5703125" customWidth="1"/>
    <col min="1032" max="1033" width="12.5703125" customWidth="1"/>
    <col min="1034" max="1034" width="12.85546875" customWidth="1"/>
    <col min="1036" max="1036" width="13.28515625" bestFit="1" customWidth="1"/>
    <col min="1038" max="1038" width="10.5703125" bestFit="1" customWidth="1"/>
    <col min="1041" max="1041" width="12.85546875" customWidth="1"/>
    <col min="1266" max="1266" width="2.7109375" customWidth="1"/>
    <col min="1267" max="1267" width="12.42578125" customWidth="1"/>
    <col min="1268" max="1269" width="14.7109375" customWidth="1"/>
    <col min="1270" max="1270" width="13.42578125" customWidth="1"/>
    <col min="1271" max="1271" width="13.7109375" customWidth="1"/>
    <col min="1272" max="1272" width="13.28515625" customWidth="1"/>
    <col min="1273" max="1273" width="9.7109375" customWidth="1"/>
    <col min="1274" max="1274" width="12.5703125" customWidth="1"/>
    <col min="1275" max="1275" width="12.28515625" customWidth="1"/>
    <col min="1276" max="1276" width="9.7109375" customWidth="1"/>
    <col min="1277" max="1277" width="13.28515625" customWidth="1"/>
    <col min="1278" max="1278" width="12.7109375" bestFit="1" customWidth="1"/>
    <col min="1279" max="1279" width="11.42578125" customWidth="1"/>
    <col min="1280" max="1280" width="15.42578125" customWidth="1"/>
    <col min="1281" max="1281" width="12.5703125" customWidth="1"/>
    <col min="1282" max="1282" width="12.28515625" customWidth="1"/>
    <col min="1283" max="1283" width="9.7109375" customWidth="1"/>
    <col min="1284" max="1285" width="11.7109375" customWidth="1"/>
    <col min="1286" max="1286" width="9.7109375" customWidth="1"/>
    <col min="1287" max="1287" width="13.5703125" customWidth="1"/>
    <col min="1288" max="1289" width="12.5703125" customWidth="1"/>
    <col min="1290" max="1290" width="12.85546875" customWidth="1"/>
    <col min="1292" max="1292" width="13.28515625" bestFit="1" customWidth="1"/>
    <col min="1294" max="1294" width="10.5703125" bestFit="1" customWidth="1"/>
    <col min="1297" max="1297" width="12.85546875" customWidth="1"/>
    <col min="1522" max="1522" width="2.7109375" customWidth="1"/>
    <col min="1523" max="1523" width="12.42578125" customWidth="1"/>
    <col min="1524" max="1525" width="14.7109375" customWidth="1"/>
    <col min="1526" max="1526" width="13.42578125" customWidth="1"/>
    <col min="1527" max="1527" width="13.7109375" customWidth="1"/>
    <col min="1528" max="1528" width="13.28515625" customWidth="1"/>
    <col min="1529" max="1529" width="9.7109375" customWidth="1"/>
    <col min="1530" max="1530" width="12.5703125" customWidth="1"/>
    <col min="1531" max="1531" width="12.28515625" customWidth="1"/>
    <col min="1532" max="1532" width="9.7109375" customWidth="1"/>
    <col min="1533" max="1533" width="13.28515625" customWidth="1"/>
    <col min="1534" max="1534" width="12.7109375" bestFit="1" customWidth="1"/>
    <col min="1535" max="1535" width="11.42578125" customWidth="1"/>
    <col min="1536" max="1536" width="15.42578125" customWidth="1"/>
    <col min="1537" max="1537" width="12.5703125" customWidth="1"/>
    <col min="1538" max="1538" width="12.28515625" customWidth="1"/>
    <col min="1539" max="1539" width="9.7109375" customWidth="1"/>
    <col min="1540" max="1541" width="11.7109375" customWidth="1"/>
    <col min="1542" max="1542" width="9.7109375" customWidth="1"/>
    <col min="1543" max="1543" width="13.5703125" customWidth="1"/>
    <col min="1544" max="1545" width="12.5703125" customWidth="1"/>
    <col min="1546" max="1546" width="12.85546875" customWidth="1"/>
    <col min="1548" max="1548" width="13.28515625" bestFit="1" customWidth="1"/>
    <col min="1550" max="1550" width="10.5703125" bestFit="1" customWidth="1"/>
    <col min="1553" max="1553" width="12.85546875" customWidth="1"/>
    <col min="1778" max="1778" width="2.7109375" customWidth="1"/>
    <col min="1779" max="1779" width="12.42578125" customWidth="1"/>
    <col min="1780" max="1781" width="14.7109375" customWidth="1"/>
    <col min="1782" max="1782" width="13.42578125" customWidth="1"/>
    <col min="1783" max="1783" width="13.7109375" customWidth="1"/>
    <col min="1784" max="1784" width="13.28515625" customWidth="1"/>
    <col min="1785" max="1785" width="9.7109375" customWidth="1"/>
    <col min="1786" max="1786" width="12.5703125" customWidth="1"/>
    <col min="1787" max="1787" width="12.28515625" customWidth="1"/>
    <col min="1788" max="1788" width="9.7109375" customWidth="1"/>
    <col min="1789" max="1789" width="13.28515625" customWidth="1"/>
    <col min="1790" max="1790" width="12.7109375" bestFit="1" customWidth="1"/>
    <col min="1791" max="1791" width="11.42578125" customWidth="1"/>
    <col min="1792" max="1792" width="15.42578125" customWidth="1"/>
    <col min="1793" max="1793" width="12.5703125" customWidth="1"/>
    <col min="1794" max="1794" width="12.28515625" customWidth="1"/>
    <col min="1795" max="1795" width="9.7109375" customWidth="1"/>
    <col min="1796" max="1797" width="11.7109375" customWidth="1"/>
    <col min="1798" max="1798" width="9.7109375" customWidth="1"/>
    <col min="1799" max="1799" width="13.5703125" customWidth="1"/>
    <col min="1800" max="1801" width="12.5703125" customWidth="1"/>
    <col min="1802" max="1802" width="12.85546875" customWidth="1"/>
    <col min="1804" max="1804" width="13.28515625" bestFit="1" customWidth="1"/>
    <col min="1806" max="1806" width="10.5703125" bestFit="1" customWidth="1"/>
    <col min="1809" max="1809" width="12.85546875" customWidth="1"/>
    <col min="2034" max="2034" width="2.7109375" customWidth="1"/>
    <col min="2035" max="2035" width="12.42578125" customWidth="1"/>
    <col min="2036" max="2037" width="14.7109375" customWidth="1"/>
    <col min="2038" max="2038" width="13.42578125" customWidth="1"/>
    <col min="2039" max="2039" width="13.7109375" customWidth="1"/>
    <col min="2040" max="2040" width="13.28515625" customWidth="1"/>
    <col min="2041" max="2041" width="9.7109375" customWidth="1"/>
    <col min="2042" max="2042" width="12.5703125" customWidth="1"/>
    <col min="2043" max="2043" width="12.28515625" customWidth="1"/>
    <col min="2044" max="2044" width="9.7109375" customWidth="1"/>
    <col min="2045" max="2045" width="13.28515625" customWidth="1"/>
    <col min="2046" max="2046" width="12.7109375" bestFit="1" customWidth="1"/>
    <col min="2047" max="2047" width="11.42578125" customWidth="1"/>
    <col min="2048" max="2048" width="15.42578125" customWidth="1"/>
    <col min="2049" max="2049" width="12.5703125" customWidth="1"/>
    <col min="2050" max="2050" width="12.28515625" customWidth="1"/>
    <col min="2051" max="2051" width="9.7109375" customWidth="1"/>
    <col min="2052" max="2053" width="11.7109375" customWidth="1"/>
    <col min="2054" max="2054" width="9.7109375" customWidth="1"/>
    <col min="2055" max="2055" width="13.5703125" customWidth="1"/>
    <col min="2056" max="2057" width="12.5703125" customWidth="1"/>
    <col min="2058" max="2058" width="12.85546875" customWidth="1"/>
    <col min="2060" max="2060" width="13.28515625" bestFit="1" customWidth="1"/>
    <col min="2062" max="2062" width="10.5703125" bestFit="1" customWidth="1"/>
    <col min="2065" max="2065" width="12.85546875" customWidth="1"/>
    <col min="2290" max="2290" width="2.7109375" customWidth="1"/>
    <col min="2291" max="2291" width="12.42578125" customWidth="1"/>
    <col min="2292" max="2293" width="14.7109375" customWidth="1"/>
    <col min="2294" max="2294" width="13.42578125" customWidth="1"/>
    <col min="2295" max="2295" width="13.7109375" customWidth="1"/>
    <col min="2296" max="2296" width="13.28515625" customWidth="1"/>
    <col min="2297" max="2297" width="9.7109375" customWidth="1"/>
    <col min="2298" max="2298" width="12.5703125" customWidth="1"/>
    <col min="2299" max="2299" width="12.28515625" customWidth="1"/>
    <col min="2300" max="2300" width="9.7109375" customWidth="1"/>
    <col min="2301" max="2301" width="13.28515625" customWidth="1"/>
    <col min="2302" max="2302" width="12.7109375" bestFit="1" customWidth="1"/>
    <col min="2303" max="2303" width="11.42578125" customWidth="1"/>
    <col min="2304" max="2304" width="15.42578125" customWidth="1"/>
    <col min="2305" max="2305" width="12.5703125" customWidth="1"/>
    <col min="2306" max="2306" width="12.28515625" customWidth="1"/>
    <col min="2307" max="2307" width="9.7109375" customWidth="1"/>
    <col min="2308" max="2309" width="11.7109375" customWidth="1"/>
    <col min="2310" max="2310" width="9.7109375" customWidth="1"/>
    <col min="2311" max="2311" width="13.5703125" customWidth="1"/>
    <col min="2312" max="2313" width="12.5703125" customWidth="1"/>
    <col min="2314" max="2314" width="12.85546875" customWidth="1"/>
    <col min="2316" max="2316" width="13.28515625" bestFit="1" customWidth="1"/>
    <col min="2318" max="2318" width="10.5703125" bestFit="1" customWidth="1"/>
    <col min="2321" max="2321" width="12.85546875" customWidth="1"/>
    <col min="2546" max="2546" width="2.7109375" customWidth="1"/>
    <col min="2547" max="2547" width="12.42578125" customWidth="1"/>
    <col min="2548" max="2549" width="14.7109375" customWidth="1"/>
    <col min="2550" max="2550" width="13.42578125" customWidth="1"/>
    <col min="2551" max="2551" width="13.7109375" customWidth="1"/>
    <col min="2552" max="2552" width="13.28515625" customWidth="1"/>
    <col min="2553" max="2553" width="9.7109375" customWidth="1"/>
    <col min="2554" max="2554" width="12.5703125" customWidth="1"/>
    <col min="2555" max="2555" width="12.28515625" customWidth="1"/>
    <col min="2556" max="2556" width="9.7109375" customWidth="1"/>
    <col min="2557" max="2557" width="13.28515625" customWidth="1"/>
    <col min="2558" max="2558" width="12.7109375" bestFit="1" customWidth="1"/>
    <col min="2559" max="2559" width="11.42578125" customWidth="1"/>
    <col min="2560" max="2560" width="15.42578125" customWidth="1"/>
    <col min="2561" max="2561" width="12.5703125" customWidth="1"/>
    <col min="2562" max="2562" width="12.28515625" customWidth="1"/>
    <col min="2563" max="2563" width="9.7109375" customWidth="1"/>
    <col min="2564" max="2565" width="11.7109375" customWidth="1"/>
    <col min="2566" max="2566" width="9.7109375" customWidth="1"/>
    <col min="2567" max="2567" width="13.5703125" customWidth="1"/>
    <col min="2568" max="2569" width="12.5703125" customWidth="1"/>
    <col min="2570" max="2570" width="12.85546875" customWidth="1"/>
    <col min="2572" max="2572" width="13.28515625" bestFit="1" customWidth="1"/>
    <col min="2574" max="2574" width="10.5703125" bestFit="1" customWidth="1"/>
    <col min="2577" max="2577" width="12.85546875" customWidth="1"/>
    <col min="2802" max="2802" width="2.7109375" customWidth="1"/>
    <col min="2803" max="2803" width="12.42578125" customWidth="1"/>
    <col min="2804" max="2805" width="14.7109375" customWidth="1"/>
    <col min="2806" max="2806" width="13.42578125" customWidth="1"/>
    <col min="2807" max="2807" width="13.7109375" customWidth="1"/>
    <col min="2808" max="2808" width="13.28515625" customWidth="1"/>
    <col min="2809" max="2809" width="9.7109375" customWidth="1"/>
    <col min="2810" max="2810" width="12.5703125" customWidth="1"/>
    <col min="2811" max="2811" width="12.28515625" customWidth="1"/>
    <col min="2812" max="2812" width="9.7109375" customWidth="1"/>
    <col min="2813" max="2813" width="13.28515625" customWidth="1"/>
    <col min="2814" max="2814" width="12.7109375" bestFit="1" customWidth="1"/>
    <col min="2815" max="2815" width="11.42578125" customWidth="1"/>
    <col min="2816" max="2816" width="15.42578125" customWidth="1"/>
    <col min="2817" max="2817" width="12.5703125" customWidth="1"/>
    <col min="2818" max="2818" width="12.28515625" customWidth="1"/>
    <col min="2819" max="2819" width="9.7109375" customWidth="1"/>
    <col min="2820" max="2821" width="11.7109375" customWidth="1"/>
    <col min="2822" max="2822" width="9.7109375" customWidth="1"/>
    <col min="2823" max="2823" width="13.5703125" customWidth="1"/>
    <col min="2824" max="2825" width="12.5703125" customWidth="1"/>
    <col min="2826" max="2826" width="12.85546875" customWidth="1"/>
    <col min="2828" max="2828" width="13.28515625" bestFit="1" customWidth="1"/>
    <col min="2830" max="2830" width="10.5703125" bestFit="1" customWidth="1"/>
    <col min="2833" max="2833" width="12.85546875" customWidth="1"/>
    <col min="3058" max="3058" width="2.7109375" customWidth="1"/>
    <col min="3059" max="3059" width="12.42578125" customWidth="1"/>
    <col min="3060" max="3061" width="14.7109375" customWidth="1"/>
    <col min="3062" max="3062" width="13.42578125" customWidth="1"/>
    <col min="3063" max="3063" width="13.7109375" customWidth="1"/>
    <col min="3064" max="3064" width="13.28515625" customWidth="1"/>
    <col min="3065" max="3065" width="9.7109375" customWidth="1"/>
    <col min="3066" max="3066" width="12.5703125" customWidth="1"/>
    <col min="3067" max="3067" width="12.28515625" customWidth="1"/>
    <col min="3068" max="3068" width="9.7109375" customWidth="1"/>
    <col min="3069" max="3069" width="13.28515625" customWidth="1"/>
    <col min="3070" max="3070" width="12.7109375" bestFit="1" customWidth="1"/>
    <col min="3071" max="3071" width="11.42578125" customWidth="1"/>
    <col min="3072" max="3072" width="15.42578125" customWidth="1"/>
    <col min="3073" max="3073" width="12.5703125" customWidth="1"/>
    <col min="3074" max="3074" width="12.28515625" customWidth="1"/>
    <col min="3075" max="3075" width="9.7109375" customWidth="1"/>
    <col min="3076" max="3077" width="11.7109375" customWidth="1"/>
    <col min="3078" max="3078" width="9.7109375" customWidth="1"/>
    <col min="3079" max="3079" width="13.5703125" customWidth="1"/>
    <col min="3080" max="3081" width="12.5703125" customWidth="1"/>
    <col min="3082" max="3082" width="12.85546875" customWidth="1"/>
    <col min="3084" max="3084" width="13.28515625" bestFit="1" customWidth="1"/>
    <col min="3086" max="3086" width="10.5703125" bestFit="1" customWidth="1"/>
    <col min="3089" max="3089" width="12.85546875" customWidth="1"/>
    <col min="3314" max="3314" width="2.7109375" customWidth="1"/>
    <col min="3315" max="3315" width="12.42578125" customWidth="1"/>
    <col min="3316" max="3317" width="14.7109375" customWidth="1"/>
    <col min="3318" max="3318" width="13.42578125" customWidth="1"/>
    <col min="3319" max="3319" width="13.7109375" customWidth="1"/>
    <col min="3320" max="3320" width="13.28515625" customWidth="1"/>
    <col min="3321" max="3321" width="9.7109375" customWidth="1"/>
    <col min="3322" max="3322" width="12.5703125" customWidth="1"/>
    <col min="3323" max="3323" width="12.28515625" customWidth="1"/>
    <col min="3324" max="3324" width="9.7109375" customWidth="1"/>
    <col min="3325" max="3325" width="13.28515625" customWidth="1"/>
    <col min="3326" max="3326" width="12.7109375" bestFit="1" customWidth="1"/>
    <col min="3327" max="3327" width="11.42578125" customWidth="1"/>
    <col min="3328" max="3328" width="15.42578125" customWidth="1"/>
    <col min="3329" max="3329" width="12.5703125" customWidth="1"/>
    <col min="3330" max="3330" width="12.28515625" customWidth="1"/>
    <col min="3331" max="3331" width="9.7109375" customWidth="1"/>
    <col min="3332" max="3333" width="11.7109375" customWidth="1"/>
    <col min="3334" max="3334" width="9.7109375" customWidth="1"/>
    <col min="3335" max="3335" width="13.5703125" customWidth="1"/>
    <col min="3336" max="3337" width="12.5703125" customWidth="1"/>
    <col min="3338" max="3338" width="12.85546875" customWidth="1"/>
    <col min="3340" max="3340" width="13.28515625" bestFit="1" customWidth="1"/>
    <col min="3342" max="3342" width="10.5703125" bestFit="1" customWidth="1"/>
    <col min="3345" max="3345" width="12.85546875" customWidth="1"/>
    <col min="3570" max="3570" width="2.7109375" customWidth="1"/>
    <col min="3571" max="3571" width="12.42578125" customWidth="1"/>
    <col min="3572" max="3573" width="14.7109375" customWidth="1"/>
    <col min="3574" max="3574" width="13.42578125" customWidth="1"/>
    <col min="3575" max="3575" width="13.7109375" customWidth="1"/>
    <col min="3576" max="3576" width="13.28515625" customWidth="1"/>
    <col min="3577" max="3577" width="9.7109375" customWidth="1"/>
    <col min="3578" max="3578" width="12.5703125" customWidth="1"/>
    <col min="3579" max="3579" width="12.28515625" customWidth="1"/>
    <col min="3580" max="3580" width="9.7109375" customWidth="1"/>
    <col min="3581" max="3581" width="13.28515625" customWidth="1"/>
    <col min="3582" max="3582" width="12.7109375" bestFit="1" customWidth="1"/>
    <col min="3583" max="3583" width="11.42578125" customWidth="1"/>
    <col min="3584" max="3584" width="15.42578125" customWidth="1"/>
    <col min="3585" max="3585" width="12.5703125" customWidth="1"/>
    <col min="3586" max="3586" width="12.28515625" customWidth="1"/>
    <col min="3587" max="3587" width="9.7109375" customWidth="1"/>
    <col min="3588" max="3589" width="11.7109375" customWidth="1"/>
    <col min="3590" max="3590" width="9.7109375" customWidth="1"/>
    <col min="3591" max="3591" width="13.5703125" customWidth="1"/>
    <col min="3592" max="3593" width="12.5703125" customWidth="1"/>
    <col min="3594" max="3594" width="12.85546875" customWidth="1"/>
    <col min="3596" max="3596" width="13.28515625" bestFit="1" customWidth="1"/>
    <col min="3598" max="3598" width="10.5703125" bestFit="1" customWidth="1"/>
    <col min="3601" max="3601" width="12.85546875" customWidth="1"/>
    <col min="3826" max="3826" width="2.7109375" customWidth="1"/>
    <col min="3827" max="3827" width="12.42578125" customWidth="1"/>
    <col min="3828" max="3829" width="14.7109375" customWidth="1"/>
    <col min="3830" max="3830" width="13.42578125" customWidth="1"/>
    <col min="3831" max="3831" width="13.7109375" customWidth="1"/>
    <col min="3832" max="3832" width="13.28515625" customWidth="1"/>
    <col min="3833" max="3833" width="9.7109375" customWidth="1"/>
    <col min="3834" max="3834" width="12.5703125" customWidth="1"/>
    <col min="3835" max="3835" width="12.28515625" customWidth="1"/>
    <col min="3836" max="3836" width="9.7109375" customWidth="1"/>
    <col min="3837" max="3837" width="13.28515625" customWidth="1"/>
    <col min="3838" max="3838" width="12.7109375" bestFit="1" customWidth="1"/>
    <col min="3839" max="3839" width="11.42578125" customWidth="1"/>
    <col min="3840" max="3840" width="15.42578125" customWidth="1"/>
    <col min="3841" max="3841" width="12.5703125" customWidth="1"/>
    <col min="3842" max="3842" width="12.28515625" customWidth="1"/>
    <col min="3843" max="3843" width="9.7109375" customWidth="1"/>
    <col min="3844" max="3845" width="11.7109375" customWidth="1"/>
    <col min="3846" max="3846" width="9.7109375" customWidth="1"/>
    <col min="3847" max="3847" width="13.5703125" customWidth="1"/>
    <col min="3848" max="3849" width="12.5703125" customWidth="1"/>
    <col min="3850" max="3850" width="12.85546875" customWidth="1"/>
    <col min="3852" max="3852" width="13.28515625" bestFit="1" customWidth="1"/>
    <col min="3854" max="3854" width="10.5703125" bestFit="1" customWidth="1"/>
    <col min="3857" max="3857" width="12.85546875" customWidth="1"/>
    <col min="4082" max="4082" width="2.7109375" customWidth="1"/>
    <col min="4083" max="4083" width="12.42578125" customWidth="1"/>
    <col min="4084" max="4085" width="14.7109375" customWidth="1"/>
    <col min="4086" max="4086" width="13.42578125" customWidth="1"/>
    <col min="4087" max="4087" width="13.7109375" customWidth="1"/>
    <col min="4088" max="4088" width="13.28515625" customWidth="1"/>
    <col min="4089" max="4089" width="9.7109375" customWidth="1"/>
    <col min="4090" max="4090" width="12.5703125" customWidth="1"/>
    <col min="4091" max="4091" width="12.28515625" customWidth="1"/>
    <col min="4092" max="4092" width="9.7109375" customWidth="1"/>
    <col min="4093" max="4093" width="13.28515625" customWidth="1"/>
    <col min="4094" max="4094" width="12.7109375" bestFit="1" customWidth="1"/>
    <col min="4095" max="4095" width="11.42578125" customWidth="1"/>
    <col min="4096" max="4096" width="15.42578125" customWidth="1"/>
    <col min="4097" max="4097" width="12.5703125" customWidth="1"/>
    <col min="4098" max="4098" width="12.28515625" customWidth="1"/>
    <col min="4099" max="4099" width="9.7109375" customWidth="1"/>
    <col min="4100" max="4101" width="11.7109375" customWidth="1"/>
    <col min="4102" max="4102" width="9.7109375" customWidth="1"/>
    <col min="4103" max="4103" width="13.5703125" customWidth="1"/>
    <col min="4104" max="4105" width="12.5703125" customWidth="1"/>
    <col min="4106" max="4106" width="12.85546875" customWidth="1"/>
    <col min="4108" max="4108" width="13.28515625" bestFit="1" customWidth="1"/>
    <col min="4110" max="4110" width="10.5703125" bestFit="1" customWidth="1"/>
    <col min="4113" max="4113" width="12.85546875" customWidth="1"/>
    <col min="4338" max="4338" width="2.7109375" customWidth="1"/>
    <col min="4339" max="4339" width="12.42578125" customWidth="1"/>
    <col min="4340" max="4341" width="14.7109375" customWidth="1"/>
    <col min="4342" max="4342" width="13.42578125" customWidth="1"/>
    <col min="4343" max="4343" width="13.7109375" customWidth="1"/>
    <col min="4344" max="4344" width="13.28515625" customWidth="1"/>
    <col min="4345" max="4345" width="9.7109375" customWidth="1"/>
    <col min="4346" max="4346" width="12.5703125" customWidth="1"/>
    <col min="4347" max="4347" width="12.28515625" customWidth="1"/>
    <col min="4348" max="4348" width="9.7109375" customWidth="1"/>
    <col min="4349" max="4349" width="13.28515625" customWidth="1"/>
    <col min="4350" max="4350" width="12.7109375" bestFit="1" customWidth="1"/>
    <col min="4351" max="4351" width="11.42578125" customWidth="1"/>
    <col min="4352" max="4352" width="15.42578125" customWidth="1"/>
    <col min="4353" max="4353" width="12.5703125" customWidth="1"/>
    <col min="4354" max="4354" width="12.28515625" customWidth="1"/>
    <col min="4355" max="4355" width="9.7109375" customWidth="1"/>
    <col min="4356" max="4357" width="11.7109375" customWidth="1"/>
    <col min="4358" max="4358" width="9.7109375" customWidth="1"/>
    <col min="4359" max="4359" width="13.5703125" customWidth="1"/>
    <col min="4360" max="4361" width="12.5703125" customWidth="1"/>
    <col min="4362" max="4362" width="12.85546875" customWidth="1"/>
    <col min="4364" max="4364" width="13.28515625" bestFit="1" customWidth="1"/>
    <col min="4366" max="4366" width="10.5703125" bestFit="1" customWidth="1"/>
    <col min="4369" max="4369" width="12.85546875" customWidth="1"/>
    <col min="4594" max="4594" width="2.7109375" customWidth="1"/>
    <col min="4595" max="4595" width="12.42578125" customWidth="1"/>
    <col min="4596" max="4597" width="14.7109375" customWidth="1"/>
    <col min="4598" max="4598" width="13.42578125" customWidth="1"/>
    <col min="4599" max="4599" width="13.7109375" customWidth="1"/>
    <col min="4600" max="4600" width="13.28515625" customWidth="1"/>
    <col min="4601" max="4601" width="9.7109375" customWidth="1"/>
    <col min="4602" max="4602" width="12.5703125" customWidth="1"/>
    <col min="4603" max="4603" width="12.28515625" customWidth="1"/>
    <col min="4604" max="4604" width="9.7109375" customWidth="1"/>
    <col min="4605" max="4605" width="13.28515625" customWidth="1"/>
    <col min="4606" max="4606" width="12.7109375" bestFit="1" customWidth="1"/>
    <col min="4607" max="4607" width="11.42578125" customWidth="1"/>
    <col min="4608" max="4608" width="15.42578125" customWidth="1"/>
    <col min="4609" max="4609" width="12.5703125" customWidth="1"/>
    <col min="4610" max="4610" width="12.28515625" customWidth="1"/>
    <col min="4611" max="4611" width="9.7109375" customWidth="1"/>
    <col min="4612" max="4613" width="11.7109375" customWidth="1"/>
    <col min="4614" max="4614" width="9.7109375" customWidth="1"/>
    <col min="4615" max="4615" width="13.5703125" customWidth="1"/>
    <col min="4616" max="4617" width="12.5703125" customWidth="1"/>
    <col min="4618" max="4618" width="12.85546875" customWidth="1"/>
    <col min="4620" max="4620" width="13.28515625" bestFit="1" customWidth="1"/>
    <col min="4622" max="4622" width="10.5703125" bestFit="1" customWidth="1"/>
    <col min="4625" max="4625" width="12.85546875" customWidth="1"/>
    <col min="4850" max="4850" width="2.7109375" customWidth="1"/>
    <col min="4851" max="4851" width="12.42578125" customWidth="1"/>
    <col min="4852" max="4853" width="14.7109375" customWidth="1"/>
    <col min="4854" max="4854" width="13.42578125" customWidth="1"/>
    <col min="4855" max="4855" width="13.7109375" customWidth="1"/>
    <col min="4856" max="4856" width="13.28515625" customWidth="1"/>
    <col min="4857" max="4857" width="9.7109375" customWidth="1"/>
    <col min="4858" max="4858" width="12.5703125" customWidth="1"/>
    <col min="4859" max="4859" width="12.28515625" customWidth="1"/>
    <col min="4860" max="4860" width="9.7109375" customWidth="1"/>
    <col min="4861" max="4861" width="13.28515625" customWidth="1"/>
    <col min="4862" max="4862" width="12.7109375" bestFit="1" customWidth="1"/>
    <col min="4863" max="4863" width="11.42578125" customWidth="1"/>
    <col min="4864" max="4864" width="15.42578125" customWidth="1"/>
    <col min="4865" max="4865" width="12.5703125" customWidth="1"/>
    <col min="4866" max="4866" width="12.28515625" customWidth="1"/>
    <col min="4867" max="4867" width="9.7109375" customWidth="1"/>
    <col min="4868" max="4869" width="11.7109375" customWidth="1"/>
    <col min="4870" max="4870" width="9.7109375" customWidth="1"/>
    <col min="4871" max="4871" width="13.5703125" customWidth="1"/>
    <col min="4872" max="4873" width="12.5703125" customWidth="1"/>
    <col min="4874" max="4874" width="12.85546875" customWidth="1"/>
    <col min="4876" max="4876" width="13.28515625" bestFit="1" customWidth="1"/>
    <col min="4878" max="4878" width="10.5703125" bestFit="1" customWidth="1"/>
    <col min="4881" max="4881" width="12.85546875" customWidth="1"/>
    <col min="5106" max="5106" width="2.7109375" customWidth="1"/>
    <col min="5107" max="5107" width="12.42578125" customWidth="1"/>
    <col min="5108" max="5109" width="14.7109375" customWidth="1"/>
    <col min="5110" max="5110" width="13.42578125" customWidth="1"/>
    <col min="5111" max="5111" width="13.7109375" customWidth="1"/>
    <col min="5112" max="5112" width="13.28515625" customWidth="1"/>
    <col min="5113" max="5113" width="9.7109375" customWidth="1"/>
    <col min="5114" max="5114" width="12.5703125" customWidth="1"/>
    <col min="5115" max="5115" width="12.28515625" customWidth="1"/>
    <col min="5116" max="5116" width="9.7109375" customWidth="1"/>
    <col min="5117" max="5117" width="13.28515625" customWidth="1"/>
    <col min="5118" max="5118" width="12.7109375" bestFit="1" customWidth="1"/>
    <col min="5119" max="5119" width="11.42578125" customWidth="1"/>
    <col min="5120" max="5120" width="15.42578125" customWidth="1"/>
    <col min="5121" max="5121" width="12.5703125" customWidth="1"/>
    <col min="5122" max="5122" width="12.28515625" customWidth="1"/>
    <col min="5123" max="5123" width="9.7109375" customWidth="1"/>
    <col min="5124" max="5125" width="11.7109375" customWidth="1"/>
    <col min="5126" max="5126" width="9.7109375" customWidth="1"/>
    <col min="5127" max="5127" width="13.5703125" customWidth="1"/>
    <col min="5128" max="5129" width="12.5703125" customWidth="1"/>
    <col min="5130" max="5130" width="12.85546875" customWidth="1"/>
    <col min="5132" max="5132" width="13.28515625" bestFit="1" customWidth="1"/>
    <col min="5134" max="5134" width="10.5703125" bestFit="1" customWidth="1"/>
    <col min="5137" max="5137" width="12.85546875" customWidth="1"/>
    <col min="5362" max="5362" width="2.7109375" customWidth="1"/>
    <col min="5363" max="5363" width="12.42578125" customWidth="1"/>
    <col min="5364" max="5365" width="14.7109375" customWidth="1"/>
    <col min="5366" max="5366" width="13.42578125" customWidth="1"/>
    <col min="5367" max="5367" width="13.7109375" customWidth="1"/>
    <col min="5368" max="5368" width="13.28515625" customWidth="1"/>
    <col min="5369" max="5369" width="9.7109375" customWidth="1"/>
    <col min="5370" max="5370" width="12.5703125" customWidth="1"/>
    <col min="5371" max="5371" width="12.28515625" customWidth="1"/>
    <col min="5372" max="5372" width="9.7109375" customWidth="1"/>
    <col min="5373" max="5373" width="13.28515625" customWidth="1"/>
    <col min="5374" max="5374" width="12.7109375" bestFit="1" customWidth="1"/>
    <col min="5375" max="5375" width="11.42578125" customWidth="1"/>
    <col min="5376" max="5376" width="15.42578125" customWidth="1"/>
    <col min="5377" max="5377" width="12.5703125" customWidth="1"/>
    <col min="5378" max="5378" width="12.28515625" customWidth="1"/>
    <col min="5379" max="5379" width="9.7109375" customWidth="1"/>
    <col min="5380" max="5381" width="11.7109375" customWidth="1"/>
    <col min="5382" max="5382" width="9.7109375" customWidth="1"/>
    <col min="5383" max="5383" width="13.5703125" customWidth="1"/>
    <col min="5384" max="5385" width="12.5703125" customWidth="1"/>
    <col min="5386" max="5386" width="12.85546875" customWidth="1"/>
    <col min="5388" max="5388" width="13.28515625" bestFit="1" customWidth="1"/>
    <col min="5390" max="5390" width="10.5703125" bestFit="1" customWidth="1"/>
    <col min="5393" max="5393" width="12.85546875" customWidth="1"/>
    <col min="5618" max="5618" width="2.7109375" customWidth="1"/>
    <col min="5619" max="5619" width="12.42578125" customWidth="1"/>
    <col min="5620" max="5621" width="14.7109375" customWidth="1"/>
    <col min="5622" max="5622" width="13.42578125" customWidth="1"/>
    <col min="5623" max="5623" width="13.7109375" customWidth="1"/>
    <col min="5624" max="5624" width="13.28515625" customWidth="1"/>
    <col min="5625" max="5625" width="9.7109375" customWidth="1"/>
    <col min="5626" max="5626" width="12.5703125" customWidth="1"/>
    <col min="5627" max="5627" width="12.28515625" customWidth="1"/>
    <col min="5628" max="5628" width="9.7109375" customWidth="1"/>
    <col min="5629" max="5629" width="13.28515625" customWidth="1"/>
    <col min="5630" max="5630" width="12.7109375" bestFit="1" customWidth="1"/>
    <col min="5631" max="5631" width="11.42578125" customWidth="1"/>
    <col min="5632" max="5632" width="15.42578125" customWidth="1"/>
    <col min="5633" max="5633" width="12.5703125" customWidth="1"/>
    <col min="5634" max="5634" width="12.28515625" customWidth="1"/>
    <col min="5635" max="5635" width="9.7109375" customWidth="1"/>
    <col min="5636" max="5637" width="11.7109375" customWidth="1"/>
    <col min="5638" max="5638" width="9.7109375" customWidth="1"/>
    <col min="5639" max="5639" width="13.5703125" customWidth="1"/>
    <col min="5640" max="5641" width="12.5703125" customWidth="1"/>
    <col min="5642" max="5642" width="12.85546875" customWidth="1"/>
    <col min="5644" max="5644" width="13.28515625" bestFit="1" customWidth="1"/>
    <col min="5646" max="5646" width="10.5703125" bestFit="1" customWidth="1"/>
    <col min="5649" max="5649" width="12.85546875" customWidth="1"/>
    <col min="5874" max="5874" width="2.7109375" customWidth="1"/>
    <col min="5875" max="5875" width="12.42578125" customWidth="1"/>
    <col min="5876" max="5877" width="14.7109375" customWidth="1"/>
    <col min="5878" max="5878" width="13.42578125" customWidth="1"/>
    <col min="5879" max="5879" width="13.7109375" customWidth="1"/>
    <col min="5880" max="5880" width="13.28515625" customWidth="1"/>
    <col min="5881" max="5881" width="9.7109375" customWidth="1"/>
    <col min="5882" max="5882" width="12.5703125" customWidth="1"/>
    <col min="5883" max="5883" width="12.28515625" customWidth="1"/>
    <col min="5884" max="5884" width="9.7109375" customWidth="1"/>
    <col min="5885" max="5885" width="13.28515625" customWidth="1"/>
    <col min="5886" max="5886" width="12.7109375" bestFit="1" customWidth="1"/>
    <col min="5887" max="5887" width="11.42578125" customWidth="1"/>
    <col min="5888" max="5888" width="15.42578125" customWidth="1"/>
    <col min="5889" max="5889" width="12.5703125" customWidth="1"/>
    <col min="5890" max="5890" width="12.28515625" customWidth="1"/>
    <col min="5891" max="5891" width="9.7109375" customWidth="1"/>
    <col min="5892" max="5893" width="11.7109375" customWidth="1"/>
    <col min="5894" max="5894" width="9.7109375" customWidth="1"/>
    <col min="5895" max="5895" width="13.5703125" customWidth="1"/>
    <col min="5896" max="5897" width="12.5703125" customWidth="1"/>
    <col min="5898" max="5898" width="12.85546875" customWidth="1"/>
    <col min="5900" max="5900" width="13.28515625" bestFit="1" customWidth="1"/>
    <col min="5902" max="5902" width="10.5703125" bestFit="1" customWidth="1"/>
    <col min="5905" max="5905" width="12.85546875" customWidth="1"/>
    <col min="6130" max="6130" width="2.7109375" customWidth="1"/>
    <col min="6131" max="6131" width="12.42578125" customWidth="1"/>
    <col min="6132" max="6133" width="14.7109375" customWidth="1"/>
    <col min="6134" max="6134" width="13.42578125" customWidth="1"/>
    <col min="6135" max="6135" width="13.7109375" customWidth="1"/>
    <col min="6136" max="6136" width="13.28515625" customWidth="1"/>
    <col min="6137" max="6137" width="9.7109375" customWidth="1"/>
    <col min="6138" max="6138" width="12.5703125" customWidth="1"/>
    <col min="6139" max="6139" width="12.28515625" customWidth="1"/>
    <col min="6140" max="6140" width="9.7109375" customWidth="1"/>
    <col min="6141" max="6141" width="13.28515625" customWidth="1"/>
    <col min="6142" max="6142" width="12.7109375" bestFit="1" customWidth="1"/>
    <col min="6143" max="6143" width="11.42578125" customWidth="1"/>
    <col min="6144" max="6144" width="15.42578125" customWidth="1"/>
    <col min="6145" max="6145" width="12.5703125" customWidth="1"/>
    <col min="6146" max="6146" width="12.28515625" customWidth="1"/>
    <col min="6147" max="6147" width="9.7109375" customWidth="1"/>
    <col min="6148" max="6149" width="11.7109375" customWidth="1"/>
    <col min="6150" max="6150" width="9.7109375" customWidth="1"/>
    <col min="6151" max="6151" width="13.5703125" customWidth="1"/>
    <col min="6152" max="6153" width="12.5703125" customWidth="1"/>
    <col min="6154" max="6154" width="12.85546875" customWidth="1"/>
    <col min="6156" max="6156" width="13.28515625" bestFit="1" customWidth="1"/>
    <col min="6158" max="6158" width="10.5703125" bestFit="1" customWidth="1"/>
    <col min="6161" max="6161" width="12.85546875" customWidth="1"/>
    <col min="6386" max="6386" width="2.7109375" customWidth="1"/>
    <col min="6387" max="6387" width="12.42578125" customWidth="1"/>
    <col min="6388" max="6389" width="14.7109375" customWidth="1"/>
    <col min="6390" max="6390" width="13.42578125" customWidth="1"/>
    <col min="6391" max="6391" width="13.7109375" customWidth="1"/>
    <col min="6392" max="6392" width="13.28515625" customWidth="1"/>
    <col min="6393" max="6393" width="9.7109375" customWidth="1"/>
    <col min="6394" max="6394" width="12.5703125" customWidth="1"/>
    <col min="6395" max="6395" width="12.28515625" customWidth="1"/>
    <col min="6396" max="6396" width="9.7109375" customWidth="1"/>
    <col min="6397" max="6397" width="13.28515625" customWidth="1"/>
    <col min="6398" max="6398" width="12.7109375" bestFit="1" customWidth="1"/>
    <col min="6399" max="6399" width="11.42578125" customWidth="1"/>
    <col min="6400" max="6400" width="15.42578125" customWidth="1"/>
    <col min="6401" max="6401" width="12.5703125" customWidth="1"/>
    <col min="6402" max="6402" width="12.28515625" customWidth="1"/>
    <col min="6403" max="6403" width="9.7109375" customWidth="1"/>
    <col min="6404" max="6405" width="11.7109375" customWidth="1"/>
    <col min="6406" max="6406" width="9.7109375" customWidth="1"/>
    <col min="6407" max="6407" width="13.5703125" customWidth="1"/>
    <col min="6408" max="6409" width="12.5703125" customWidth="1"/>
    <col min="6410" max="6410" width="12.85546875" customWidth="1"/>
    <col min="6412" max="6412" width="13.28515625" bestFit="1" customWidth="1"/>
    <col min="6414" max="6414" width="10.5703125" bestFit="1" customWidth="1"/>
    <col min="6417" max="6417" width="12.85546875" customWidth="1"/>
    <col min="6642" max="6642" width="2.7109375" customWidth="1"/>
    <col min="6643" max="6643" width="12.42578125" customWidth="1"/>
    <col min="6644" max="6645" width="14.7109375" customWidth="1"/>
    <col min="6646" max="6646" width="13.42578125" customWidth="1"/>
    <col min="6647" max="6647" width="13.7109375" customWidth="1"/>
    <col min="6648" max="6648" width="13.28515625" customWidth="1"/>
    <col min="6649" max="6649" width="9.7109375" customWidth="1"/>
    <col min="6650" max="6650" width="12.5703125" customWidth="1"/>
    <col min="6651" max="6651" width="12.28515625" customWidth="1"/>
    <col min="6652" max="6652" width="9.7109375" customWidth="1"/>
    <col min="6653" max="6653" width="13.28515625" customWidth="1"/>
    <col min="6654" max="6654" width="12.7109375" bestFit="1" customWidth="1"/>
    <col min="6655" max="6655" width="11.42578125" customWidth="1"/>
    <col min="6656" max="6656" width="15.42578125" customWidth="1"/>
    <col min="6657" max="6657" width="12.5703125" customWidth="1"/>
    <col min="6658" max="6658" width="12.28515625" customWidth="1"/>
    <col min="6659" max="6659" width="9.7109375" customWidth="1"/>
    <col min="6660" max="6661" width="11.7109375" customWidth="1"/>
    <col min="6662" max="6662" width="9.7109375" customWidth="1"/>
    <col min="6663" max="6663" width="13.5703125" customWidth="1"/>
    <col min="6664" max="6665" width="12.5703125" customWidth="1"/>
    <col min="6666" max="6666" width="12.85546875" customWidth="1"/>
    <col min="6668" max="6668" width="13.28515625" bestFit="1" customWidth="1"/>
    <col min="6670" max="6670" width="10.5703125" bestFit="1" customWidth="1"/>
    <col min="6673" max="6673" width="12.85546875" customWidth="1"/>
    <col min="6898" max="6898" width="2.7109375" customWidth="1"/>
    <col min="6899" max="6899" width="12.42578125" customWidth="1"/>
    <col min="6900" max="6901" width="14.7109375" customWidth="1"/>
    <col min="6902" max="6902" width="13.42578125" customWidth="1"/>
    <col min="6903" max="6903" width="13.7109375" customWidth="1"/>
    <col min="6904" max="6904" width="13.28515625" customWidth="1"/>
    <col min="6905" max="6905" width="9.7109375" customWidth="1"/>
    <col min="6906" max="6906" width="12.5703125" customWidth="1"/>
    <col min="6907" max="6907" width="12.28515625" customWidth="1"/>
    <col min="6908" max="6908" width="9.7109375" customWidth="1"/>
    <col min="6909" max="6909" width="13.28515625" customWidth="1"/>
    <col min="6910" max="6910" width="12.7109375" bestFit="1" customWidth="1"/>
    <col min="6911" max="6911" width="11.42578125" customWidth="1"/>
    <col min="6912" max="6912" width="15.42578125" customWidth="1"/>
    <col min="6913" max="6913" width="12.5703125" customWidth="1"/>
    <col min="6914" max="6914" width="12.28515625" customWidth="1"/>
    <col min="6915" max="6915" width="9.7109375" customWidth="1"/>
    <col min="6916" max="6917" width="11.7109375" customWidth="1"/>
    <col min="6918" max="6918" width="9.7109375" customWidth="1"/>
    <col min="6919" max="6919" width="13.5703125" customWidth="1"/>
    <col min="6920" max="6921" width="12.5703125" customWidth="1"/>
    <col min="6922" max="6922" width="12.85546875" customWidth="1"/>
    <col min="6924" max="6924" width="13.28515625" bestFit="1" customWidth="1"/>
    <col min="6926" max="6926" width="10.5703125" bestFit="1" customWidth="1"/>
    <col min="6929" max="6929" width="12.85546875" customWidth="1"/>
    <col min="7154" max="7154" width="2.7109375" customWidth="1"/>
    <col min="7155" max="7155" width="12.42578125" customWidth="1"/>
    <col min="7156" max="7157" width="14.7109375" customWidth="1"/>
    <col min="7158" max="7158" width="13.42578125" customWidth="1"/>
    <col min="7159" max="7159" width="13.7109375" customWidth="1"/>
    <col min="7160" max="7160" width="13.28515625" customWidth="1"/>
    <col min="7161" max="7161" width="9.7109375" customWidth="1"/>
    <col min="7162" max="7162" width="12.5703125" customWidth="1"/>
    <col min="7163" max="7163" width="12.28515625" customWidth="1"/>
    <col min="7164" max="7164" width="9.7109375" customWidth="1"/>
    <col min="7165" max="7165" width="13.28515625" customWidth="1"/>
    <col min="7166" max="7166" width="12.7109375" bestFit="1" customWidth="1"/>
    <col min="7167" max="7167" width="11.42578125" customWidth="1"/>
    <col min="7168" max="7168" width="15.42578125" customWidth="1"/>
    <col min="7169" max="7169" width="12.5703125" customWidth="1"/>
    <col min="7170" max="7170" width="12.28515625" customWidth="1"/>
    <col min="7171" max="7171" width="9.7109375" customWidth="1"/>
    <col min="7172" max="7173" width="11.7109375" customWidth="1"/>
    <col min="7174" max="7174" width="9.7109375" customWidth="1"/>
    <col min="7175" max="7175" width="13.5703125" customWidth="1"/>
    <col min="7176" max="7177" width="12.5703125" customWidth="1"/>
    <col min="7178" max="7178" width="12.85546875" customWidth="1"/>
    <col min="7180" max="7180" width="13.28515625" bestFit="1" customWidth="1"/>
    <col min="7182" max="7182" width="10.5703125" bestFit="1" customWidth="1"/>
    <col min="7185" max="7185" width="12.85546875" customWidth="1"/>
    <col min="7410" max="7410" width="2.7109375" customWidth="1"/>
    <col min="7411" max="7411" width="12.42578125" customWidth="1"/>
    <col min="7412" max="7413" width="14.7109375" customWidth="1"/>
    <col min="7414" max="7414" width="13.42578125" customWidth="1"/>
    <col min="7415" max="7415" width="13.7109375" customWidth="1"/>
    <col min="7416" max="7416" width="13.28515625" customWidth="1"/>
    <col min="7417" max="7417" width="9.7109375" customWidth="1"/>
    <col min="7418" max="7418" width="12.5703125" customWidth="1"/>
    <col min="7419" max="7419" width="12.28515625" customWidth="1"/>
    <col min="7420" max="7420" width="9.7109375" customWidth="1"/>
    <col min="7421" max="7421" width="13.28515625" customWidth="1"/>
    <col min="7422" max="7422" width="12.7109375" bestFit="1" customWidth="1"/>
    <col min="7423" max="7423" width="11.42578125" customWidth="1"/>
    <col min="7424" max="7424" width="15.42578125" customWidth="1"/>
    <col min="7425" max="7425" width="12.5703125" customWidth="1"/>
    <col min="7426" max="7426" width="12.28515625" customWidth="1"/>
    <col min="7427" max="7427" width="9.7109375" customWidth="1"/>
    <col min="7428" max="7429" width="11.7109375" customWidth="1"/>
    <col min="7430" max="7430" width="9.7109375" customWidth="1"/>
    <col min="7431" max="7431" width="13.5703125" customWidth="1"/>
    <col min="7432" max="7433" width="12.5703125" customWidth="1"/>
    <col min="7434" max="7434" width="12.85546875" customWidth="1"/>
    <col min="7436" max="7436" width="13.28515625" bestFit="1" customWidth="1"/>
    <col min="7438" max="7438" width="10.5703125" bestFit="1" customWidth="1"/>
    <col min="7441" max="7441" width="12.85546875" customWidth="1"/>
    <col min="7666" max="7666" width="2.7109375" customWidth="1"/>
    <col min="7667" max="7667" width="12.42578125" customWidth="1"/>
    <col min="7668" max="7669" width="14.7109375" customWidth="1"/>
    <col min="7670" max="7670" width="13.42578125" customWidth="1"/>
    <col min="7671" max="7671" width="13.7109375" customWidth="1"/>
    <col min="7672" max="7672" width="13.28515625" customWidth="1"/>
    <col min="7673" max="7673" width="9.7109375" customWidth="1"/>
    <col min="7674" max="7674" width="12.5703125" customWidth="1"/>
    <col min="7675" max="7675" width="12.28515625" customWidth="1"/>
    <col min="7676" max="7676" width="9.7109375" customWidth="1"/>
    <col min="7677" max="7677" width="13.28515625" customWidth="1"/>
    <col min="7678" max="7678" width="12.7109375" bestFit="1" customWidth="1"/>
    <col min="7679" max="7679" width="11.42578125" customWidth="1"/>
    <col min="7680" max="7680" width="15.42578125" customWidth="1"/>
    <col min="7681" max="7681" width="12.5703125" customWidth="1"/>
    <col min="7682" max="7682" width="12.28515625" customWidth="1"/>
    <col min="7683" max="7683" width="9.7109375" customWidth="1"/>
    <col min="7684" max="7685" width="11.7109375" customWidth="1"/>
    <col min="7686" max="7686" width="9.7109375" customWidth="1"/>
    <col min="7687" max="7687" width="13.5703125" customWidth="1"/>
    <col min="7688" max="7689" width="12.5703125" customWidth="1"/>
    <col min="7690" max="7690" width="12.85546875" customWidth="1"/>
    <col min="7692" max="7692" width="13.28515625" bestFit="1" customWidth="1"/>
    <col min="7694" max="7694" width="10.5703125" bestFit="1" customWidth="1"/>
    <col min="7697" max="7697" width="12.85546875" customWidth="1"/>
    <col min="7922" max="7922" width="2.7109375" customWidth="1"/>
    <col min="7923" max="7923" width="12.42578125" customWidth="1"/>
    <col min="7924" max="7925" width="14.7109375" customWidth="1"/>
    <col min="7926" max="7926" width="13.42578125" customWidth="1"/>
    <col min="7927" max="7927" width="13.7109375" customWidth="1"/>
    <col min="7928" max="7928" width="13.28515625" customWidth="1"/>
    <col min="7929" max="7929" width="9.7109375" customWidth="1"/>
    <col min="7930" max="7930" width="12.5703125" customWidth="1"/>
    <col min="7931" max="7931" width="12.28515625" customWidth="1"/>
    <col min="7932" max="7932" width="9.7109375" customWidth="1"/>
    <col min="7933" max="7933" width="13.28515625" customWidth="1"/>
    <col min="7934" max="7934" width="12.7109375" bestFit="1" customWidth="1"/>
    <col min="7935" max="7935" width="11.42578125" customWidth="1"/>
    <col min="7936" max="7936" width="15.42578125" customWidth="1"/>
    <col min="7937" max="7937" width="12.5703125" customWidth="1"/>
    <col min="7938" max="7938" width="12.28515625" customWidth="1"/>
    <col min="7939" max="7939" width="9.7109375" customWidth="1"/>
    <col min="7940" max="7941" width="11.7109375" customWidth="1"/>
    <col min="7942" max="7942" width="9.7109375" customWidth="1"/>
    <col min="7943" max="7943" width="13.5703125" customWidth="1"/>
    <col min="7944" max="7945" width="12.5703125" customWidth="1"/>
    <col min="7946" max="7946" width="12.85546875" customWidth="1"/>
    <col min="7948" max="7948" width="13.28515625" bestFit="1" customWidth="1"/>
    <col min="7950" max="7950" width="10.5703125" bestFit="1" customWidth="1"/>
    <col min="7953" max="7953" width="12.85546875" customWidth="1"/>
    <col min="8178" max="8178" width="2.7109375" customWidth="1"/>
    <col min="8179" max="8179" width="12.42578125" customWidth="1"/>
    <col min="8180" max="8181" width="14.7109375" customWidth="1"/>
    <col min="8182" max="8182" width="13.42578125" customWidth="1"/>
    <col min="8183" max="8183" width="13.7109375" customWidth="1"/>
    <col min="8184" max="8184" width="13.28515625" customWidth="1"/>
    <col min="8185" max="8185" width="9.7109375" customWidth="1"/>
    <col min="8186" max="8186" width="12.5703125" customWidth="1"/>
    <col min="8187" max="8187" width="12.28515625" customWidth="1"/>
    <col min="8188" max="8188" width="9.7109375" customWidth="1"/>
    <col min="8189" max="8189" width="13.28515625" customWidth="1"/>
    <col min="8190" max="8190" width="12.7109375" bestFit="1" customWidth="1"/>
    <col min="8191" max="8191" width="11.42578125" customWidth="1"/>
    <col min="8192" max="8192" width="15.42578125" customWidth="1"/>
    <col min="8193" max="8193" width="12.5703125" customWidth="1"/>
    <col min="8194" max="8194" width="12.28515625" customWidth="1"/>
    <col min="8195" max="8195" width="9.7109375" customWidth="1"/>
    <col min="8196" max="8197" width="11.7109375" customWidth="1"/>
    <col min="8198" max="8198" width="9.7109375" customWidth="1"/>
    <col min="8199" max="8199" width="13.5703125" customWidth="1"/>
    <col min="8200" max="8201" width="12.5703125" customWidth="1"/>
    <col min="8202" max="8202" width="12.85546875" customWidth="1"/>
    <col min="8204" max="8204" width="13.28515625" bestFit="1" customWidth="1"/>
    <col min="8206" max="8206" width="10.5703125" bestFit="1" customWidth="1"/>
    <col min="8209" max="8209" width="12.85546875" customWidth="1"/>
    <col min="8434" max="8434" width="2.7109375" customWidth="1"/>
    <col min="8435" max="8435" width="12.42578125" customWidth="1"/>
    <col min="8436" max="8437" width="14.7109375" customWidth="1"/>
    <col min="8438" max="8438" width="13.42578125" customWidth="1"/>
    <col min="8439" max="8439" width="13.7109375" customWidth="1"/>
    <col min="8440" max="8440" width="13.28515625" customWidth="1"/>
    <col min="8441" max="8441" width="9.7109375" customWidth="1"/>
    <col min="8442" max="8442" width="12.5703125" customWidth="1"/>
    <col min="8443" max="8443" width="12.28515625" customWidth="1"/>
    <col min="8444" max="8444" width="9.7109375" customWidth="1"/>
    <col min="8445" max="8445" width="13.28515625" customWidth="1"/>
    <col min="8446" max="8446" width="12.7109375" bestFit="1" customWidth="1"/>
    <col min="8447" max="8447" width="11.42578125" customWidth="1"/>
    <col min="8448" max="8448" width="15.42578125" customWidth="1"/>
    <col min="8449" max="8449" width="12.5703125" customWidth="1"/>
    <col min="8450" max="8450" width="12.28515625" customWidth="1"/>
    <col min="8451" max="8451" width="9.7109375" customWidth="1"/>
    <col min="8452" max="8453" width="11.7109375" customWidth="1"/>
    <col min="8454" max="8454" width="9.7109375" customWidth="1"/>
    <col min="8455" max="8455" width="13.5703125" customWidth="1"/>
    <col min="8456" max="8457" width="12.5703125" customWidth="1"/>
    <col min="8458" max="8458" width="12.85546875" customWidth="1"/>
    <col min="8460" max="8460" width="13.28515625" bestFit="1" customWidth="1"/>
    <col min="8462" max="8462" width="10.5703125" bestFit="1" customWidth="1"/>
    <col min="8465" max="8465" width="12.85546875" customWidth="1"/>
    <col min="8690" max="8690" width="2.7109375" customWidth="1"/>
    <col min="8691" max="8691" width="12.42578125" customWidth="1"/>
    <col min="8692" max="8693" width="14.7109375" customWidth="1"/>
    <col min="8694" max="8694" width="13.42578125" customWidth="1"/>
    <col min="8695" max="8695" width="13.7109375" customWidth="1"/>
    <col min="8696" max="8696" width="13.28515625" customWidth="1"/>
    <col min="8697" max="8697" width="9.7109375" customWidth="1"/>
    <col min="8698" max="8698" width="12.5703125" customWidth="1"/>
    <col min="8699" max="8699" width="12.28515625" customWidth="1"/>
    <col min="8700" max="8700" width="9.7109375" customWidth="1"/>
    <col min="8701" max="8701" width="13.28515625" customWidth="1"/>
    <col min="8702" max="8702" width="12.7109375" bestFit="1" customWidth="1"/>
    <col min="8703" max="8703" width="11.42578125" customWidth="1"/>
    <col min="8704" max="8704" width="15.42578125" customWidth="1"/>
    <col min="8705" max="8705" width="12.5703125" customWidth="1"/>
    <col min="8706" max="8706" width="12.28515625" customWidth="1"/>
    <col min="8707" max="8707" width="9.7109375" customWidth="1"/>
    <col min="8708" max="8709" width="11.7109375" customWidth="1"/>
    <col min="8710" max="8710" width="9.7109375" customWidth="1"/>
    <col min="8711" max="8711" width="13.5703125" customWidth="1"/>
    <col min="8712" max="8713" width="12.5703125" customWidth="1"/>
    <col min="8714" max="8714" width="12.85546875" customWidth="1"/>
    <col min="8716" max="8716" width="13.28515625" bestFit="1" customWidth="1"/>
    <col min="8718" max="8718" width="10.5703125" bestFit="1" customWidth="1"/>
    <col min="8721" max="8721" width="12.85546875" customWidth="1"/>
    <col min="8946" max="8946" width="2.7109375" customWidth="1"/>
    <col min="8947" max="8947" width="12.42578125" customWidth="1"/>
    <col min="8948" max="8949" width="14.7109375" customWidth="1"/>
    <col min="8950" max="8950" width="13.42578125" customWidth="1"/>
    <col min="8951" max="8951" width="13.7109375" customWidth="1"/>
    <col min="8952" max="8952" width="13.28515625" customWidth="1"/>
    <col min="8953" max="8953" width="9.7109375" customWidth="1"/>
    <col min="8954" max="8954" width="12.5703125" customWidth="1"/>
    <col min="8955" max="8955" width="12.28515625" customWidth="1"/>
    <col min="8956" max="8956" width="9.7109375" customWidth="1"/>
    <col min="8957" max="8957" width="13.28515625" customWidth="1"/>
    <col min="8958" max="8958" width="12.7109375" bestFit="1" customWidth="1"/>
    <col min="8959" max="8959" width="11.42578125" customWidth="1"/>
    <col min="8960" max="8960" width="15.42578125" customWidth="1"/>
    <col min="8961" max="8961" width="12.5703125" customWidth="1"/>
    <col min="8962" max="8962" width="12.28515625" customWidth="1"/>
    <col min="8963" max="8963" width="9.7109375" customWidth="1"/>
    <col min="8964" max="8965" width="11.7109375" customWidth="1"/>
    <col min="8966" max="8966" width="9.7109375" customWidth="1"/>
    <col min="8967" max="8967" width="13.5703125" customWidth="1"/>
    <col min="8968" max="8969" width="12.5703125" customWidth="1"/>
    <col min="8970" max="8970" width="12.85546875" customWidth="1"/>
    <col min="8972" max="8972" width="13.28515625" bestFit="1" customWidth="1"/>
    <col min="8974" max="8974" width="10.5703125" bestFit="1" customWidth="1"/>
    <col min="8977" max="8977" width="12.85546875" customWidth="1"/>
    <col min="9202" max="9202" width="2.7109375" customWidth="1"/>
    <col min="9203" max="9203" width="12.42578125" customWidth="1"/>
    <col min="9204" max="9205" width="14.7109375" customWidth="1"/>
    <col min="9206" max="9206" width="13.42578125" customWidth="1"/>
    <col min="9207" max="9207" width="13.7109375" customWidth="1"/>
    <col min="9208" max="9208" width="13.28515625" customWidth="1"/>
    <col min="9209" max="9209" width="9.7109375" customWidth="1"/>
    <col min="9210" max="9210" width="12.5703125" customWidth="1"/>
    <col min="9211" max="9211" width="12.28515625" customWidth="1"/>
    <col min="9212" max="9212" width="9.7109375" customWidth="1"/>
    <col min="9213" max="9213" width="13.28515625" customWidth="1"/>
    <col min="9214" max="9214" width="12.7109375" bestFit="1" customWidth="1"/>
    <col min="9215" max="9215" width="11.42578125" customWidth="1"/>
    <col min="9216" max="9216" width="15.42578125" customWidth="1"/>
    <col min="9217" max="9217" width="12.5703125" customWidth="1"/>
    <col min="9218" max="9218" width="12.28515625" customWidth="1"/>
    <col min="9219" max="9219" width="9.7109375" customWidth="1"/>
    <col min="9220" max="9221" width="11.7109375" customWidth="1"/>
    <col min="9222" max="9222" width="9.7109375" customWidth="1"/>
    <col min="9223" max="9223" width="13.5703125" customWidth="1"/>
    <col min="9224" max="9225" width="12.5703125" customWidth="1"/>
    <col min="9226" max="9226" width="12.85546875" customWidth="1"/>
    <col min="9228" max="9228" width="13.28515625" bestFit="1" customWidth="1"/>
    <col min="9230" max="9230" width="10.5703125" bestFit="1" customWidth="1"/>
    <col min="9233" max="9233" width="12.85546875" customWidth="1"/>
    <col min="9458" max="9458" width="2.7109375" customWidth="1"/>
    <col min="9459" max="9459" width="12.42578125" customWidth="1"/>
    <col min="9460" max="9461" width="14.7109375" customWidth="1"/>
    <col min="9462" max="9462" width="13.42578125" customWidth="1"/>
    <col min="9463" max="9463" width="13.7109375" customWidth="1"/>
    <col min="9464" max="9464" width="13.28515625" customWidth="1"/>
    <col min="9465" max="9465" width="9.7109375" customWidth="1"/>
    <col min="9466" max="9466" width="12.5703125" customWidth="1"/>
    <col min="9467" max="9467" width="12.28515625" customWidth="1"/>
    <col min="9468" max="9468" width="9.7109375" customWidth="1"/>
    <col min="9469" max="9469" width="13.28515625" customWidth="1"/>
    <col min="9470" max="9470" width="12.7109375" bestFit="1" customWidth="1"/>
    <col min="9471" max="9471" width="11.42578125" customWidth="1"/>
    <col min="9472" max="9472" width="15.42578125" customWidth="1"/>
    <col min="9473" max="9473" width="12.5703125" customWidth="1"/>
    <col min="9474" max="9474" width="12.28515625" customWidth="1"/>
    <col min="9475" max="9475" width="9.7109375" customWidth="1"/>
    <col min="9476" max="9477" width="11.7109375" customWidth="1"/>
    <col min="9478" max="9478" width="9.7109375" customWidth="1"/>
    <col min="9479" max="9479" width="13.5703125" customWidth="1"/>
    <col min="9480" max="9481" width="12.5703125" customWidth="1"/>
    <col min="9482" max="9482" width="12.85546875" customWidth="1"/>
    <col min="9484" max="9484" width="13.28515625" bestFit="1" customWidth="1"/>
    <col min="9486" max="9486" width="10.5703125" bestFit="1" customWidth="1"/>
    <col min="9489" max="9489" width="12.85546875" customWidth="1"/>
    <col min="9714" max="9714" width="2.7109375" customWidth="1"/>
    <col min="9715" max="9715" width="12.42578125" customWidth="1"/>
    <col min="9716" max="9717" width="14.7109375" customWidth="1"/>
    <col min="9718" max="9718" width="13.42578125" customWidth="1"/>
    <col min="9719" max="9719" width="13.7109375" customWidth="1"/>
    <col min="9720" max="9720" width="13.28515625" customWidth="1"/>
    <col min="9721" max="9721" width="9.7109375" customWidth="1"/>
    <col min="9722" max="9722" width="12.5703125" customWidth="1"/>
    <col min="9723" max="9723" width="12.28515625" customWidth="1"/>
    <col min="9724" max="9724" width="9.7109375" customWidth="1"/>
    <col min="9725" max="9725" width="13.28515625" customWidth="1"/>
    <col min="9726" max="9726" width="12.7109375" bestFit="1" customWidth="1"/>
    <col min="9727" max="9727" width="11.42578125" customWidth="1"/>
    <col min="9728" max="9728" width="15.42578125" customWidth="1"/>
    <col min="9729" max="9729" width="12.5703125" customWidth="1"/>
    <col min="9730" max="9730" width="12.28515625" customWidth="1"/>
    <col min="9731" max="9731" width="9.7109375" customWidth="1"/>
    <col min="9732" max="9733" width="11.7109375" customWidth="1"/>
    <col min="9734" max="9734" width="9.7109375" customWidth="1"/>
    <col min="9735" max="9735" width="13.5703125" customWidth="1"/>
    <col min="9736" max="9737" width="12.5703125" customWidth="1"/>
    <col min="9738" max="9738" width="12.85546875" customWidth="1"/>
    <col min="9740" max="9740" width="13.28515625" bestFit="1" customWidth="1"/>
    <col min="9742" max="9742" width="10.5703125" bestFit="1" customWidth="1"/>
    <col min="9745" max="9745" width="12.85546875" customWidth="1"/>
    <col min="9970" max="9970" width="2.7109375" customWidth="1"/>
    <col min="9971" max="9971" width="12.42578125" customWidth="1"/>
    <col min="9972" max="9973" width="14.7109375" customWidth="1"/>
    <col min="9974" max="9974" width="13.42578125" customWidth="1"/>
    <col min="9975" max="9975" width="13.7109375" customWidth="1"/>
    <col min="9976" max="9976" width="13.28515625" customWidth="1"/>
    <col min="9977" max="9977" width="9.7109375" customWidth="1"/>
    <col min="9978" max="9978" width="12.5703125" customWidth="1"/>
    <col min="9979" max="9979" width="12.28515625" customWidth="1"/>
    <col min="9980" max="9980" width="9.7109375" customWidth="1"/>
    <col min="9981" max="9981" width="13.28515625" customWidth="1"/>
    <col min="9982" max="9982" width="12.7109375" bestFit="1" customWidth="1"/>
    <col min="9983" max="9983" width="11.42578125" customWidth="1"/>
    <col min="9984" max="9984" width="15.42578125" customWidth="1"/>
    <col min="9985" max="9985" width="12.5703125" customWidth="1"/>
    <col min="9986" max="9986" width="12.28515625" customWidth="1"/>
    <col min="9987" max="9987" width="9.7109375" customWidth="1"/>
    <col min="9988" max="9989" width="11.7109375" customWidth="1"/>
    <col min="9990" max="9990" width="9.7109375" customWidth="1"/>
    <col min="9991" max="9991" width="13.5703125" customWidth="1"/>
    <col min="9992" max="9993" width="12.5703125" customWidth="1"/>
    <col min="9994" max="9994" width="12.85546875" customWidth="1"/>
    <col min="9996" max="9996" width="13.28515625" bestFit="1" customWidth="1"/>
    <col min="9998" max="9998" width="10.5703125" bestFit="1" customWidth="1"/>
    <col min="10001" max="10001" width="12.85546875" customWidth="1"/>
    <col min="10226" max="10226" width="2.7109375" customWidth="1"/>
    <col min="10227" max="10227" width="12.42578125" customWidth="1"/>
    <col min="10228" max="10229" width="14.7109375" customWidth="1"/>
    <col min="10230" max="10230" width="13.42578125" customWidth="1"/>
    <col min="10231" max="10231" width="13.7109375" customWidth="1"/>
    <col min="10232" max="10232" width="13.28515625" customWidth="1"/>
    <col min="10233" max="10233" width="9.7109375" customWidth="1"/>
    <col min="10234" max="10234" width="12.5703125" customWidth="1"/>
    <col min="10235" max="10235" width="12.28515625" customWidth="1"/>
    <col min="10236" max="10236" width="9.7109375" customWidth="1"/>
    <col min="10237" max="10237" width="13.28515625" customWidth="1"/>
    <col min="10238" max="10238" width="12.7109375" bestFit="1" customWidth="1"/>
    <col min="10239" max="10239" width="11.42578125" customWidth="1"/>
    <col min="10240" max="10240" width="15.42578125" customWidth="1"/>
    <col min="10241" max="10241" width="12.5703125" customWidth="1"/>
    <col min="10242" max="10242" width="12.28515625" customWidth="1"/>
    <col min="10243" max="10243" width="9.7109375" customWidth="1"/>
    <col min="10244" max="10245" width="11.7109375" customWidth="1"/>
    <col min="10246" max="10246" width="9.7109375" customWidth="1"/>
    <col min="10247" max="10247" width="13.5703125" customWidth="1"/>
    <col min="10248" max="10249" width="12.5703125" customWidth="1"/>
    <col min="10250" max="10250" width="12.85546875" customWidth="1"/>
    <col min="10252" max="10252" width="13.28515625" bestFit="1" customWidth="1"/>
    <col min="10254" max="10254" width="10.5703125" bestFit="1" customWidth="1"/>
    <col min="10257" max="10257" width="12.85546875" customWidth="1"/>
    <col min="10482" max="10482" width="2.7109375" customWidth="1"/>
    <col min="10483" max="10483" width="12.42578125" customWidth="1"/>
    <col min="10484" max="10485" width="14.7109375" customWidth="1"/>
    <col min="10486" max="10486" width="13.42578125" customWidth="1"/>
    <col min="10487" max="10487" width="13.7109375" customWidth="1"/>
    <col min="10488" max="10488" width="13.28515625" customWidth="1"/>
    <col min="10489" max="10489" width="9.7109375" customWidth="1"/>
    <col min="10490" max="10490" width="12.5703125" customWidth="1"/>
    <col min="10491" max="10491" width="12.28515625" customWidth="1"/>
    <col min="10492" max="10492" width="9.7109375" customWidth="1"/>
    <col min="10493" max="10493" width="13.28515625" customWidth="1"/>
    <col min="10494" max="10494" width="12.7109375" bestFit="1" customWidth="1"/>
    <col min="10495" max="10495" width="11.42578125" customWidth="1"/>
    <col min="10496" max="10496" width="15.42578125" customWidth="1"/>
    <col min="10497" max="10497" width="12.5703125" customWidth="1"/>
    <col min="10498" max="10498" width="12.28515625" customWidth="1"/>
    <col min="10499" max="10499" width="9.7109375" customWidth="1"/>
    <col min="10500" max="10501" width="11.7109375" customWidth="1"/>
    <col min="10502" max="10502" width="9.7109375" customWidth="1"/>
    <col min="10503" max="10503" width="13.5703125" customWidth="1"/>
    <col min="10504" max="10505" width="12.5703125" customWidth="1"/>
    <col min="10506" max="10506" width="12.85546875" customWidth="1"/>
    <col min="10508" max="10508" width="13.28515625" bestFit="1" customWidth="1"/>
    <col min="10510" max="10510" width="10.5703125" bestFit="1" customWidth="1"/>
    <col min="10513" max="10513" width="12.85546875" customWidth="1"/>
    <col min="10738" max="10738" width="2.7109375" customWidth="1"/>
    <col min="10739" max="10739" width="12.42578125" customWidth="1"/>
    <col min="10740" max="10741" width="14.7109375" customWidth="1"/>
    <col min="10742" max="10742" width="13.42578125" customWidth="1"/>
    <col min="10743" max="10743" width="13.7109375" customWidth="1"/>
    <col min="10744" max="10744" width="13.28515625" customWidth="1"/>
    <col min="10745" max="10745" width="9.7109375" customWidth="1"/>
    <col min="10746" max="10746" width="12.5703125" customWidth="1"/>
    <col min="10747" max="10747" width="12.28515625" customWidth="1"/>
    <col min="10748" max="10748" width="9.7109375" customWidth="1"/>
    <col min="10749" max="10749" width="13.28515625" customWidth="1"/>
    <col min="10750" max="10750" width="12.7109375" bestFit="1" customWidth="1"/>
    <col min="10751" max="10751" width="11.42578125" customWidth="1"/>
    <col min="10752" max="10752" width="15.42578125" customWidth="1"/>
    <col min="10753" max="10753" width="12.5703125" customWidth="1"/>
    <col min="10754" max="10754" width="12.28515625" customWidth="1"/>
    <col min="10755" max="10755" width="9.7109375" customWidth="1"/>
    <col min="10756" max="10757" width="11.7109375" customWidth="1"/>
    <col min="10758" max="10758" width="9.7109375" customWidth="1"/>
    <col min="10759" max="10759" width="13.5703125" customWidth="1"/>
    <col min="10760" max="10761" width="12.5703125" customWidth="1"/>
    <col min="10762" max="10762" width="12.85546875" customWidth="1"/>
    <col min="10764" max="10764" width="13.28515625" bestFit="1" customWidth="1"/>
    <col min="10766" max="10766" width="10.5703125" bestFit="1" customWidth="1"/>
    <col min="10769" max="10769" width="12.85546875" customWidth="1"/>
    <col min="10994" max="10994" width="2.7109375" customWidth="1"/>
    <col min="10995" max="10995" width="12.42578125" customWidth="1"/>
    <col min="10996" max="10997" width="14.7109375" customWidth="1"/>
    <col min="10998" max="10998" width="13.42578125" customWidth="1"/>
    <col min="10999" max="10999" width="13.7109375" customWidth="1"/>
    <col min="11000" max="11000" width="13.28515625" customWidth="1"/>
    <col min="11001" max="11001" width="9.7109375" customWidth="1"/>
    <col min="11002" max="11002" width="12.5703125" customWidth="1"/>
    <col min="11003" max="11003" width="12.28515625" customWidth="1"/>
    <col min="11004" max="11004" width="9.7109375" customWidth="1"/>
    <col min="11005" max="11005" width="13.28515625" customWidth="1"/>
    <col min="11006" max="11006" width="12.7109375" bestFit="1" customWidth="1"/>
    <col min="11007" max="11007" width="11.42578125" customWidth="1"/>
    <col min="11008" max="11008" width="15.42578125" customWidth="1"/>
    <col min="11009" max="11009" width="12.5703125" customWidth="1"/>
    <col min="11010" max="11010" width="12.28515625" customWidth="1"/>
    <col min="11011" max="11011" width="9.7109375" customWidth="1"/>
    <col min="11012" max="11013" width="11.7109375" customWidth="1"/>
    <col min="11014" max="11014" width="9.7109375" customWidth="1"/>
    <col min="11015" max="11015" width="13.5703125" customWidth="1"/>
    <col min="11016" max="11017" width="12.5703125" customWidth="1"/>
    <col min="11018" max="11018" width="12.85546875" customWidth="1"/>
    <col min="11020" max="11020" width="13.28515625" bestFit="1" customWidth="1"/>
    <col min="11022" max="11022" width="10.5703125" bestFit="1" customWidth="1"/>
    <col min="11025" max="11025" width="12.85546875" customWidth="1"/>
    <col min="11250" max="11250" width="2.7109375" customWidth="1"/>
    <col min="11251" max="11251" width="12.42578125" customWidth="1"/>
    <col min="11252" max="11253" width="14.7109375" customWidth="1"/>
    <col min="11254" max="11254" width="13.42578125" customWidth="1"/>
    <col min="11255" max="11255" width="13.7109375" customWidth="1"/>
    <col min="11256" max="11256" width="13.28515625" customWidth="1"/>
    <col min="11257" max="11257" width="9.7109375" customWidth="1"/>
    <col min="11258" max="11258" width="12.5703125" customWidth="1"/>
    <col min="11259" max="11259" width="12.28515625" customWidth="1"/>
    <col min="11260" max="11260" width="9.7109375" customWidth="1"/>
    <col min="11261" max="11261" width="13.28515625" customWidth="1"/>
    <col min="11262" max="11262" width="12.7109375" bestFit="1" customWidth="1"/>
    <col min="11263" max="11263" width="11.42578125" customWidth="1"/>
    <col min="11264" max="11264" width="15.42578125" customWidth="1"/>
    <col min="11265" max="11265" width="12.5703125" customWidth="1"/>
    <col min="11266" max="11266" width="12.28515625" customWidth="1"/>
    <col min="11267" max="11267" width="9.7109375" customWidth="1"/>
    <col min="11268" max="11269" width="11.7109375" customWidth="1"/>
    <col min="11270" max="11270" width="9.7109375" customWidth="1"/>
    <col min="11271" max="11271" width="13.5703125" customWidth="1"/>
    <col min="11272" max="11273" width="12.5703125" customWidth="1"/>
    <col min="11274" max="11274" width="12.85546875" customWidth="1"/>
    <col min="11276" max="11276" width="13.28515625" bestFit="1" customWidth="1"/>
    <col min="11278" max="11278" width="10.5703125" bestFit="1" customWidth="1"/>
    <col min="11281" max="11281" width="12.85546875" customWidth="1"/>
    <col min="11506" max="11506" width="2.7109375" customWidth="1"/>
    <col min="11507" max="11507" width="12.42578125" customWidth="1"/>
    <col min="11508" max="11509" width="14.7109375" customWidth="1"/>
    <col min="11510" max="11510" width="13.42578125" customWidth="1"/>
    <col min="11511" max="11511" width="13.7109375" customWidth="1"/>
    <col min="11512" max="11512" width="13.28515625" customWidth="1"/>
    <col min="11513" max="11513" width="9.7109375" customWidth="1"/>
    <col min="11514" max="11514" width="12.5703125" customWidth="1"/>
    <col min="11515" max="11515" width="12.28515625" customWidth="1"/>
    <col min="11516" max="11516" width="9.7109375" customWidth="1"/>
    <col min="11517" max="11517" width="13.28515625" customWidth="1"/>
    <col min="11518" max="11518" width="12.7109375" bestFit="1" customWidth="1"/>
    <col min="11519" max="11519" width="11.42578125" customWidth="1"/>
    <col min="11520" max="11520" width="15.42578125" customWidth="1"/>
    <col min="11521" max="11521" width="12.5703125" customWidth="1"/>
    <col min="11522" max="11522" width="12.28515625" customWidth="1"/>
    <col min="11523" max="11523" width="9.7109375" customWidth="1"/>
    <col min="11524" max="11525" width="11.7109375" customWidth="1"/>
    <col min="11526" max="11526" width="9.7109375" customWidth="1"/>
    <col min="11527" max="11527" width="13.5703125" customWidth="1"/>
    <col min="11528" max="11529" width="12.5703125" customWidth="1"/>
    <col min="11530" max="11530" width="12.85546875" customWidth="1"/>
    <col min="11532" max="11532" width="13.28515625" bestFit="1" customWidth="1"/>
    <col min="11534" max="11534" width="10.5703125" bestFit="1" customWidth="1"/>
    <col min="11537" max="11537" width="12.85546875" customWidth="1"/>
    <col min="11762" max="11762" width="2.7109375" customWidth="1"/>
    <col min="11763" max="11763" width="12.42578125" customWidth="1"/>
    <col min="11764" max="11765" width="14.7109375" customWidth="1"/>
    <col min="11766" max="11766" width="13.42578125" customWidth="1"/>
    <col min="11767" max="11767" width="13.7109375" customWidth="1"/>
    <col min="11768" max="11768" width="13.28515625" customWidth="1"/>
    <col min="11769" max="11769" width="9.7109375" customWidth="1"/>
    <col min="11770" max="11770" width="12.5703125" customWidth="1"/>
    <col min="11771" max="11771" width="12.28515625" customWidth="1"/>
    <col min="11772" max="11772" width="9.7109375" customWidth="1"/>
    <col min="11773" max="11773" width="13.28515625" customWidth="1"/>
    <col min="11774" max="11774" width="12.7109375" bestFit="1" customWidth="1"/>
    <col min="11775" max="11775" width="11.42578125" customWidth="1"/>
    <col min="11776" max="11776" width="15.42578125" customWidth="1"/>
    <col min="11777" max="11777" width="12.5703125" customWidth="1"/>
    <col min="11778" max="11778" width="12.28515625" customWidth="1"/>
    <col min="11779" max="11779" width="9.7109375" customWidth="1"/>
    <col min="11780" max="11781" width="11.7109375" customWidth="1"/>
    <col min="11782" max="11782" width="9.7109375" customWidth="1"/>
    <col min="11783" max="11783" width="13.5703125" customWidth="1"/>
    <col min="11784" max="11785" width="12.5703125" customWidth="1"/>
    <col min="11786" max="11786" width="12.85546875" customWidth="1"/>
    <col min="11788" max="11788" width="13.28515625" bestFit="1" customWidth="1"/>
    <col min="11790" max="11790" width="10.5703125" bestFit="1" customWidth="1"/>
    <col min="11793" max="11793" width="12.85546875" customWidth="1"/>
    <col min="12018" max="12018" width="2.7109375" customWidth="1"/>
    <col min="12019" max="12019" width="12.42578125" customWidth="1"/>
    <col min="12020" max="12021" width="14.7109375" customWidth="1"/>
    <col min="12022" max="12022" width="13.42578125" customWidth="1"/>
    <col min="12023" max="12023" width="13.7109375" customWidth="1"/>
    <col min="12024" max="12024" width="13.28515625" customWidth="1"/>
    <col min="12025" max="12025" width="9.7109375" customWidth="1"/>
    <col min="12026" max="12026" width="12.5703125" customWidth="1"/>
    <col min="12027" max="12027" width="12.28515625" customWidth="1"/>
    <col min="12028" max="12028" width="9.7109375" customWidth="1"/>
    <col min="12029" max="12029" width="13.28515625" customWidth="1"/>
    <col min="12030" max="12030" width="12.7109375" bestFit="1" customWidth="1"/>
    <col min="12031" max="12031" width="11.42578125" customWidth="1"/>
    <col min="12032" max="12032" width="15.42578125" customWidth="1"/>
    <col min="12033" max="12033" width="12.5703125" customWidth="1"/>
    <col min="12034" max="12034" width="12.28515625" customWidth="1"/>
    <col min="12035" max="12035" width="9.7109375" customWidth="1"/>
    <col min="12036" max="12037" width="11.7109375" customWidth="1"/>
    <col min="12038" max="12038" width="9.7109375" customWidth="1"/>
    <col min="12039" max="12039" width="13.5703125" customWidth="1"/>
    <col min="12040" max="12041" width="12.5703125" customWidth="1"/>
    <col min="12042" max="12042" width="12.85546875" customWidth="1"/>
    <col min="12044" max="12044" width="13.28515625" bestFit="1" customWidth="1"/>
    <col min="12046" max="12046" width="10.5703125" bestFit="1" customWidth="1"/>
    <col min="12049" max="12049" width="12.85546875" customWidth="1"/>
    <col min="12274" max="12274" width="2.7109375" customWidth="1"/>
    <col min="12275" max="12275" width="12.42578125" customWidth="1"/>
    <col min="12276" max="12277" width="14.7109375" customWidth="1"/>
    <col min="12278" max="12278" width="13.42578125" customWidth="1"/>
    <col min="12279" max="12279" width="13.7109375" customWidth="1"/>
    <col min="12280" max="12280" width="13.28515625" customWidth="1"/>
    <col min="12281" max="12281" width="9.7109375" customWidth="1"/>
    <col min="12282" max="12282" width="12.5703125" customWidth="1"/>
    <col min="12283" max="12283" width="12.28515625" customWidth="1"/>
    <col min="12284" max="12284" width="9.7109375" customWidth="1"/>
    <col min="12285" max="12285" width="13.28515625" customWidth="1"/>
    <col min="12286" max="12286" width="12.7109375" bestFit="1" customWidth="1"/>
    <col min="12287" max="12287" width="11.42578125" customWidth="1"/>
    <col min="12288" max="12288" width="15.42578125" customWidth="1"/>
    <col min="12289" max="12289" width="12.5703125" customWidth="1"/>
    <col min="12290" max="12290" width="12.28515625" customWidth="1"/>
    <col min="12291" max="12291" width="9.7109375" customWidth="1"/>
    <col min="12292" max="12293" width="11.7109375" customWidth="1"/>
    <col min="12294" max="12294" width="9.7109375" customWidth="1"/>
    <col min="12295" max="12295" width="13.5703125" customWidth="1"/>
    <col min="12296" max="12297" width="12.5703125" customWidth="1"/>
    <col min="12298" max="12298" width="12.85546875" customWidth="1"/>
    <col min="12300" max="12300" width="13.28515625" bestFit="1" customWidth="1"/>
    <col min="12302" max="12302" width="10.5703125" bestFit="1" customWidth="1"/>
    <col min="12305" max="12305" width="12.85546875" customWidth="1"/>
    <col min="12530" max="12530" width="2.7109375" customWidth="1"/>
    <col min="12531" max="12531" width="12.42578125" customWidth="1"/>
    <col min="12532" max="12533" width="14.7109375" customWidth="1"/>
    <col min="12534" max="12534" width="13.42578125" customWidth="1"/>
    <col min="12535" max="12535" width="13.7109375" customWidth="1"/>
    <col min="12536" max="12536" width="13.28515625" customWidth="1"/>
    <col min="12537" max="12537" width="9.7109375" customWidth="1"/>
    <col min="12538" max="12538" width="12.5703125" customWidth="1"/>
    <col min="12539" max="12539" width="12.28515625" customWidth="1"/>
    <col min="12540" max="12540" width="9.7109375" customWidth="1"/>
    <col min="12541" max="12541" width="13.28515625" customWidth="1"/>
    <col min="12542" max="12542" width="12.7109375" bestFit="1" customWidth="1"/>
    <col min="12543" max="12543" width="11.42578125" customWidth="1"/>
    <col min="12544" max="12544" width="15.42578125" customWidth="1"/>
    <col min="12545" max="12545" width="12.5703125" customWidth="1"/>
    <col min="12546" max="12546" width="12.28515625" customWidth="1"/>
    <col min="12547" max="12547" width="9.7109375" customWidth="1"/>
    <col min="12548" max="12549" width="11.7109375" customWidth="1"/>
    <col min="12550" max="12550" width="9.7109375" customWidth="1"/>
    <col min="12551" max="12551" width="13.5703125" customWidth="1"/>
    <col min="12552" max="12553" width="12.5703125" customWidth="1"/>
    <col min="12554" max="12554" width="12.85546875" customWidth="1"/>
    <col min="12556" max="12556" width="13.28515625" bestFit="1" customWidth="1"/>
    <col min="12558" max="12558" width="10.5703125" bestFit="1" customWidth="1"/>
    <col min="12561" max="12561" width="12.85546875" customWidth="1"/>
    <col min="12786" max="12786" width="2.7109375" customWidth="1"/>
    <col min="12787" max="12787" width="12.42578125" customWidth="1"/>
    <col min="12788" max="12789" width="14.7109375" customWidth="1"/>
    <col min="12790" max="12790" width="13.42578125" customWidth="1"/>
    <col min="12791" max="12791" width="13.7109375" customWidth="1"/>
    <col min="12792" max="12792" width="13.28515625" customWidth="1"/>
    <col min="12793" max="12793" width="9.7109375" customWidth="1"/>
    <col min="12794" max="12794" width="12.5703125" customWidth="1"/>
    <col min="12795" max="12795" width="12.28515625" customWidth="1"/>
    <col min="12796" max="12796" width="9.7109375" customWidth="1"/>
    <col min="12797" max="12797" width="13.28515625" customWidth="1"/>
    <col min="12798" max="12798" width="12.7109375" bestFit="1" customWidth="1"/>
    <col min="12799" max="12799" width="11.42578125" customWidth="1"/>
    <col min="12800" max="12800" width="15.42578125" customWidth="1"/>
    <col min="12801" max="12801" width="12.5703125" customWidth="1"/>
    <col min="12802" max="12802" width="12.28515625" customWidth="1"/>
    <col min="12803" max="12803" width="9.7109375" customWidth="1"/>
    <col min="12804" max="12805" width="11.7109375" customWidth="1"/>
    <col min="12806" max="12806" width="9.7109375" customWidth="1"/>
    <col min="12807" max="12807" width="13.5703125" customWidth="1"/>
    <col min="12808" max="12809" width="12.5703125" customWidth="1"/>
    <col min="12810" max="12810" width="12.85546875" customWidth="1"/>
    <col min="12812" max="12812" width="13.28515625" bestFit="1" customWidth="1"/>
    <col min="12814" max="12814" width="10.5703125" bestFit="1" customWidth="1"/>
    <col min="12817" max="12817" width="12.85546875" customWidth="1"/>
    <col min="13042" max="13042" width="2.7109375" customWidth="1"/>
    <col min="13043" max="13043" width="12.42578125" customWidth="1"/>
    <col min="13044" max="13045" width="14.7109375" customWidth="1"/>
    <col min="13046" max="13046" width="13.42578125" customWidth="1"/>
    <col min="13047" max="13047" width="13.7109375" customWidth="1"/>
    <col min="13048" max="13048" width="13.28515625" customWidth="1"/>
    <col min="13049" max="13049" width="9.7109375" customWidth="1"/>
    <col min="13050" max="13050" width="12.5703125" customWidth="1"/>
    <col min="13051" max="13051" width="12.28515625" customWidth="1"/>
    <col min="13052" max="13052" width="9.7109375" customWidth="1"/>
    <col min="13053" max="13053" width="13.28515625" customWidth="1"/>
    <col min="13054" max="13054" width="12.7109375" bestFit="1" customWidth="1"/>
    <col min="13055" max="13055" width="11.42578125" customWidth="1"/>
    <col min="13056" max="13056" width="15.42578125" customWidth="1"/>
    <col min="13057" max="13057" width="12.5703125" customWidth="1"/>
    <col min="13058" max="13058" width="12.28515625" customWidth="1"/>
    <col min="13059" max="13059" width="9.7109375" customWidth="1"/>
    <col min="13060" max="13061" width="11.7109375" customWidth="1"/>
    <col min="13062" max="13062" width="9.7109375" customWidth="1"/>
    <col min="13063" max="13063" width="13.5703125" customWidth="1"/>
    <col min="13064" max="13065" width="12.5703125" customWidth="1"/>
    <col min="13066" max="13066" width="12.85546875" customWidth="1"/>
    <col min="13068" max="13068" width="13.28515625" bestFit="1" customWidth="1"/>
    <col min="13070" max="13070" width="10.5703125" bestFit="1" customWidth="1"/>
    <col min="13073" max="13073" width="12.85546875" customWidth="1"/>
    <col min="13298" max="13298" width="2.7109375" customWidth="1"/>
    <col min="13299" max="13299" width="12.42578125" customWidth="1"/>
    <col min="13300" max="13301" width="14.7109375" customWidth="1"/>
    <col min="13302" max="13302" width="13.42578125" customWidth="1"/>
    <col min="13303" max="13303" width="13.7109375" customWidth="1"/>
    <col min="13304" max="13304" width="13.28515625" customWidth="1"/>
    <col min="13305" max="13305" width="9.7109375" customWidth="1"/>
    <col min="13306" max="13306" width="12.5703125" customWidth="1"/>
    <col min="13307" max="13307" width="12.28515625" customWidth="1"/>
    <col min="13308" max="13308" width="9.7109375" customWidth="1"/>
    <col min="13309" max="13309" width="13.28515625" customWidth="1"/>
    <col min="13310" max="13310" width="12.7109375" bestFit="1" customWidth="1"/>
    <col min="13311" max="13311" width="11.42578125" customWidth="1"/>
    <col min="13312" max="13312" width="15.42578125" customWidth="1"/>
    <col min="13313" max="13313" width="12.5703125" customWidth="1"/>
    <col min="13314" max="13314" width="12.28515625" customWidth="1"/>
    <col min="13315" max="13315" width="9.7109375" customWidth="1"/>
    <col min="13316" max="13317" width="11.7109375" customWidth="1"/>
    <col min="13318" max="13318" width="9.7109375" customWidth="1"/>
    <col min="13319" max="13319" width="13.5703125" customWidth="1"/>
    <col min="13320" max="13321" width="12.5703125" customWidth="1"/>
    <col min="13322" max="13322" width="12.85546875" customWidth="1"/>
    <col min="13324" max="13324" width="13.28515625" bestFit="1" customWidth="1"/>
    <col min="13326" max="13326" width="10.5703125" bestFit="1" customWidth="1"/>
    <col min="13329" max="13329" width="12.85546875" customWidth="1"/>
    <col min="13554" max="13554" width="2.7109375" customWidth="1"/>
    <col min="13555" max="13555" width="12.42578125" customWidth="1"/>
    <col min="13556" max="13557" width="14.7109375" customWidth="1"/>
    <col min="13558" max="13558" width="13.42578125" customWidth="1"/>
    <col min="13559" max="13559" width="13.7109375" customWidth="1"/>
    <col min="13560" max="13560" width="13.28515625" customWidth="1"/>
    <col min="13561" max="13561" width="9.7109375" customWidth="1"/>
    <col min="13562" max="13562" width="12.5703125" customWidth="1"/>
    <col min="13563" max="13563" width="12.28515625" customWidth="1"/>
    <col min="13564" max="13564" width="9.7109375" customWidth="1"/>
    <col min="13565" max="13565" width="13.28515625" customWidth="1"/>
    <col min="13566" max="13566" width="12.7109375" bestFit="1" customWidth="1"/>
    <col min="13567" max="13567" width="11.42578125" customWidth="1"/>
    <col min="13568" max="13568" width="15.42578125" customWidth="1"/>
    <col min="13569" max="13569" width="12.5703125" customWidth="1"/>
    <col min="13570" max="13570" width="12.28515625" customWidth="1"/>
    <col min="13571" max="13571" width="9.7109375" customWidth="1"/>
    <col min="13572" max="13573" width="11.7109375" customWidth="1"/>
    <col min="13574" max="13574" width="9.7109375" customWidth="1"/>
    <col min="13575" max="13575" width="13.5703125" customWidth="1"/>
    <col min="13576" max="13577" width="12.5703125" customWidth="1"/>
    <col min="13578" max="13578" width="12.85546875" customWidth="1"/>
    <col min="13580" max="13580" width="13.28515625" bestFit="1" customWidth="1"/>
    <col min="13582" max="13582" width="10.5703125" bestFit="1" customWidth="1"/>
    <col min="13585" max="13585" width="12.85546875" customWidth="1"/>
    <col min="13810" max="13810" width="2.7109375" customWidth="1"/>
    <col min="13811" max="13811" width="12.42578125" customWidth="1"/>
    <col min="13812" max="13813" width="14.7109375" customWidth="1"/>
    <col min="13814" max="13814" width="13.42578125" customWidth="1"/>
    <col min="13815" max="13815" width="13.7109375" customWidth="1"/>
    <col min="13816" max="13816" width="13.28515625" customWidth="1"/>
    <col min="13817" max="13817" width="9.7109375" customWidth="1"/>
    <col min="13818" max="13818" width="12.5703125" customWidth="1"/>
    <col min="13819" max="13819" width="12.28515625" customWidth="1"/>
    <col min="13820" max="13820" width="9.7109375" customWidth="1"/>
    <col min="13821" max="13821" width="13.28515625" customWidth="1"/>
    <col min="13822" max="13822" width="12.7109375" bestFit="1" customWidth="1"/>
    <col min="13823" max="13823" width="11.42578125" customWidth="1"/>
    <col min="13824" max="13824" width="15.42578125" customWidth="1"/>
    <col min="13825" max="13825" width="12.5703125" customWidth="1"/>
    <col min="13826" max="13826" width="12.28515625" customWidth="1"/>
    <col min="13827" max="13827" width="9.7109375" customWidth="1"/>
    <col min="13828" max="13829" width="11.7109375" customWidth="1"/>
    <col min="13830" max="13830" width="9.7109375" customWidth="1"/>
    <col min="13831" max="13831" width="13.5703125" customWidth="1"/>
    <col min="13832" max="13833" width="12.5703125" customWidth="1"/>
    <col min="13834" max="13834" width="12.85546875" customWidth="1"/>
    <col min="13836" max="13836" width="13.28515625" bestFit="1" customWidth="1"/>
    <col min="13838" max="13838" width="10.5703125" bestFit="1" customWidth="1"/>
    <col min="13841" max="13841" width="12.85546875" customWidth="1"/>
    <col min="14066" max="14066" width="2.7109375" customWidth="1"/>
    <col min="14067" max="14067" width="12.42578125" customWidth="1"/>
    <col min="14068" max="14069" width="14.7109375" customWidth="1"/>
    <col min="14070" max="14070" width="13.42578125" customWidth="1"/>
    <col min="14071" max="14071" width="13.7109375" customWidth="1"/>
    <col min="14072" max="14072" width="13.28515625" customWidth="1"/>
    <col min="14073" max="14073" width="9.7109375" customWidth="1"/>
    <col min="14074" max="14074" width="12.5703125" customWidth="1"/>
    <col min="14075" max="14075" width="12.28515625" customWidth="1"/>
    <col min="14076" max="14076" width="9.7109375" customWidth="1"/>
    <col min="14077" max="14077" width="13.28515625" customWidth="1"/>
    <col min="14078" max="14078" width="12.7109375" bestFit="1" customWidth="1"/>
    <col min="14079" max="14079" width="11.42578125" customWidth="1"/>
    <col min="14080" max="14080" width="15.42578125" customWidth="1"/>
    <col min="14081" max="14081" width="12.5703125" customWidth="1"/>
    <col min="14082" max="14082" width="12.28515625" customWidth="1"/>
    <col min="14083" max="14083" width="9.7109375" customWidth="1"/>
    <col min="14084" max="14085" width="11.7109375" customWidth="1"/>
    <col min="14086" max="14086" width="9.7109375" customWidth="1"/>
    <col min="14087" max="14087" width="13.5703125" customWidth="1"/>
    <col min="14088" max="14089" width="12.5703125" customWidth="1"/>
    <col min="14090" max="14090" width="12.85546875" customWidth="1"/>
    <col min="14092" max="14092" width="13.28515625" bestFit="1" customWidth="1"/>
    <col min="14094" max="14094" width="10.5703125" bestFit="1" customWidth="1"/>
    <col min="14097" max="14097" width="12.85546875" customWidth="1"/>
    <col min="14322" max="14322" width="2.7109375" customWidth="1"/>
    <col min="14323" max="14323" width="12.42578125" customWidth="1"/>
    <col min="14324" max="14325" width="14.7109375" customWidth="1"/>
    <col min="14326" max="14326" width="13.42578125" customWidth="1"/>
    <col min="14327" max="14327" width="13.7109375" customWidth="1"/>
    <col min="14328" max="14328" width="13.28515625" customWidth="1"/>
    <col min="14329" max="14329" width="9.7109375" customWidth="1"/>
    <col min="14330" max="14330" width="12.5703125" customWidth="1"/>
    <col min="14331" max="14331" width="12.28515625" customWidth="1"/>
    <col min="14332" max="14332" width="9.7109375" customWidth="1"/>
    <col min="14333" max="14333" width="13.28515625" customWidth="1"/>
    <col min="14334" max="14334" width="12.7109375" bestFit="1" customWidth="1"/>
    <col min="14335" max="14335" width="11.42578125" customWidth="1"/>
    <col min="14336" max="14336" width="15.42578125" customWidth="1"/>
    <col min="14337" max="14337" width="12.5703125" customWidth="1"/>
    <col min="14338" max="14338" width="12.28515625" customWidth="1"/>
    <col min="14339" max="14339" width="9.7109375" customWidth="1"/>
    <col min="14340" max="14341" width="11.7109375" customWidth="1"/>
    <col min="14342" max="14342" width="9.7109375" customWidth="1"/>
    <col min="14343" max="14343" width="13.5703125" customWidth="1"/>
    <col min="14344" max="14345" width="12.5703125" customWidth="1"/>
    <col min="14346" max="14346" width="12.85546875" customWidth="1"/>
    <col min="14348" max="14348" width="13.28515625" bestFit="1" customWidth="1"/>
    <col min="14350" max="14350" width="10.5703125" bestFit="1" customWidth="1"/>
    <col min="14353" max="14353" width="12.85546875" customWidth="1"/>
    <col min="14578" max="14578" width="2.7109375" customWidth="1"/>
    <col min="14579" max="14579" width="12.42578125" customWidth="1"/>
    <col min="14580" max="14581" width="14.7109375" customWidth="1"/>
    <col min="14582" max="14582" width="13.42578125" customWidth="1"/>
    <col min="14583" max="14583" width="13.7109375" customWidth="1"/>
    <col min="14584" max="14584" width="13.28515625" customWidth="1"/>
    <col min="14585" max="14585" width="9.7109375" customWidth="1"/>
    <col min="14586" max="14586" width="12.5703125" customWidth="1"/>
    <col min="14587" max="14587" width="12.28515625" customWidth="1"/>
    <col min="14588" max="14588" width="9.7109375" customWidth="1"/>
    <col min="14589" max="14589" width="13.28515625" customWidth="1"/>
    <col min="14590" max="14590" width="12.7109375" bestFit="1" customWidth="1"/>
    <col min="14591" max="14591" width="11.42578125" customWidth="1"/>
    <col min="14592" max="14592" width="15.42578125" customWidth="1"/>
    <col min="14593" max="14593" width="12.5703125" customWidth="1"/>
    <col min="14594" max="14594" width="12.28515625" customWidth="1"/>
    <col min="14595" max="14595" width="9.7109375" customWidth="1"/>
    <col min="14596" max="14597" width="11.7109375" customWidth="1"/>
    <col min="14598" max="14598" width="9.7109375" customWidth="1"/>
    <col min="14599" max="14599" width="13.5703125" customWidth="1"/>
    <col min="14600" max="14601" width="12.5703125" customWidth="1"/>
    <col min="14602" max="14602" width="12.85546875" customWidth="1"/>
    <col min="14604" max="14604" width="13.28515625" bestFit="1" customWidth="1"/>
    <col min="14606" max="14606" width="10.5703125" bestFit="1" customWidth="1"/>
    <col min="14609" max="14609" width="12.85546875" customWidth="1"/>
    <col min="14834" max="14834" width="2.7109375" customWidth="1"/>
    <col min="14835" max="14835" width="12.42578125" customWidth="1"/>
    <col min="14836" max="14837" width="14.7109375" customWidth="1"/>
    <col min="14838" max="14838" width="13.42578125" customWidth="1"/>
    <col min="14839" max="14839" width="13.7109375" customWidth="1"/>
    <col min="14840" max="14840" width="13.28515625" customWidth="1"/>
    <col min="14841" max="14841" width="9.7109375" customWidth="1"/>
    <col min="14842" max="14842" width="12.5703125" customWidth="1"/>
    <col min="14843" max="14843" width="12.28515625" customWidth="1"/>
    <col min="14844" max="14844" width="9.7109375" customWidth="1"/>
    <col min="14845" max="14845" width="13.28515625" customWidth="1"/>
    <col min="14846" max="14846" width="12.7109375" bestFit="1" customWidth="1"/>
    <col min="14847" max="14847" width="11.42578125" customWidth="1"/>
    <col min="14848" max="14848" width="15.42578125" customWidth="1"/>
    <col min="14849" max="14849" width="12.5703125" customWidth="1"/>
    <col min="14850" max="14850" width="12.28515625" customWidth="1"/>
    <col min="14851" max="14851" width="9.7109375" customWidth="1"/>
    <col min="14852" max="14853" width="11.7109375" customWidth="1"/>
    <col min="14854" max="14854" width="9.7109375" customWidth="1"/>
    <col min="14855" max="14855" width="13.5703125" customWidth="1"/>
    <col min="14856" max="14857" width="12.5703125" customWidth="1"/>
    <col min="14858" max="14858" width="12.85546875" customWidth="1"/>
    <col min="14860" max="14860" width="13.28515625" bestFit="1" customWidth="1"/>
    <col min="14862" max="14862" width="10.5703125" bestFit="1" customWidth="1"/>
    <col min="14865" max="14865" width="12.85546875" customWidth="1"/>
    <col min="15090" max="15090" width="2.7109375" customWidth="1"/>
    <col min="15091" max="15091" width="12.42578125" customWidth="1"/>
    <col min="15092" max="15093" width="14.7109375" customWidth="1"/>
    <col min="15094" max="15094" width="13.42578125" customWidth="1"/>
    <col min="15095" max="15095" width="13.7109375" customWidth="1"/>
    <col min="15096" max="15096" width="13.28515625" customWidth="1"/>
    <col min="15097" max="15097" width="9.7109375" customWidth="1"/>
    <col min="15098" max="15098" width="12.5703125" customWidth="1"/>
    <col min="15099" max="15099" width="12.28515625" customWidth="1"/>
    <col min="15100" max="15100" width="9.7109375" customWidth="1"/>
    <col min="15101" max="15101" width="13.28515625" customWidth="1"/>
    <col min="15102" max="15102" width="12.7109375" bestFit="1" customWidth="1"/>
    <col min="15103" max="15103" width="11.42578125" customWidth="1"/>
    <col min="15104" max="15104" width="15.42578125" customWidth="1"/>
    <col min="15105" max="15105" width="12.5703125" customWidth="1"/>
    <col min="15106" max="15106" width="12.28515625" customWidth="1"/>
    <col min="15107" max="15107" width="9.7109375" customWidth="1"/>
    <col min="15108" max="15109" width="11.7109375" customWidth="1"/>
    <col min="15110" max="15110" width="9.7109375" customWidth="1"/>
    <col min="15111" max="15111" width="13.5703125" customWidth="1"/>
    <col min="15112" max="15113" width="12.5703125" customWidth="1"/>
    <col min="15114" max="15114" width="12.85546875" customWidth="1"/>
    <col min="15116" max="15116" width="13.28515625" bestFit="1" customWidth="1"/>
    <col min="15118" max="15118" width="10.5703125" bestFit="1" customWidth="1"/>
    <col min="15121" max="15121" width="12.85546875" customWidth="1"/>
    <col min="15346" max="15346" width="2.7109375" customWidth="1"/>
    <col min="15347" max="15347" width="12.42578125" customWidth="1"/>
    <col min="15348" max="15349" width="14.7109375" customWidth="1"/>
    <col min="15350" max="15350" width="13.42578125" customWidth="1"/>
    <col min="15351" max="15351" width="13.7109375" customWidth="1"/>
    <col min="15352" max="15352" width="13.28515625" customWidth="1"/>
    <col min="15353" max="15353" width="9.7109375" customWidth="1"/>
    <col min="15354" max="15354" width="12.5703125" customWidth="1"/>
    <col min="15355" max="15355" width="12.28515625" customWidth="1"/>
    <col min="15356" max="15356" width="9.7109375" customWidth="1"/>
    <col min="15357" max="15357" width="13.28515625" customWidth="1"/>
    <col min="15358" max="15358" width="12.7109375" bestFit="1" customWidth="1"/>
    <col min="15359" max="15359" width="11.42578125" customWidth="1"/>
    <col min="15360" max="15360" width="15.42578125" customWidth="1"/>
    <col min="15361" max="15361" width="12.5703125" customWidth="1"/>
    <col min="15362" max="15362" width="12.28515625" customWidth="1"/>
    <col min="15363" max="15363" width="9.7109375" customWidth="1"/>
    <col min="15364" max="15365" width="11.7109375" customWidth="1"/>
    <col min="15366" max="15366" width="9.7109375" customWidth="1"/>
    <col min="15367" max="15367" width="13.5703125" customWidth="1"/>
    <col min="15368" max="15369" width="12.5703125" customWidth="1"/>
    <col min="15370" max="15370" width="12.85546875" customWidth="1"/>
    <col min="15372" max="15372" width="13.28515625" bestFit="1" customWidth="1"/>
    <col min="15374" max="15374" width="10.5703125" bestFit="1" customWidth="1"/>
    <col min="15377" max="15377" width="12.85546875" customWidth="1"/>
    <col min="15602" max="15602" width="2.7109375" customWidth="1"/>
    <col min="15603" max="15603" width="12.42578125" customWidth="1"/>
    <col min="15604" max="15605" width="14.7109375" customWidth="1"/>
    <col min="15606" max="15606" width="13.42578125" customWidth="1"/>
    <col min="15607" max="15607" width="13.7109375" customWidth="1"/>
    <col min="15608" max="15608" width="13.28515625" customWidth="1"/>
    <col min="15609" max="15609" width="9.7109375" customWidth="1"/>
    <col min="15610" max="15610" width="12.5703125" customWidth="1"/>
    <col min="15611" max="15611" width="12.28515625" customWidth="1"/>
    <col min="15612" max="15612" width="9.7109375" customWidth="1"/>
    <col min="15613" max="15613" width="13.28515625" customWidth="1"/>
    <col min="15614" max="15614" width="12.7109375" bestFit="1" customWidth="1"/>
    <col min="15615" max="15615" width="11.42578125" customWidth="1"/>
    <col min="15616" max="15616" width="15.42578125" customWidth="1"/>
    <col min="15617" max="15617" width="12.5703125" customWidth="1"/>
    <col min="15618" max="15618" width="12.28515625" customWidth="1"/>
    <col min="15619" max="15619" width="9.7109375" customWidth="1"/>
    <col min="15620" max="15621" width="11.7109375" customWidth="1"/>
    <col min="15622" max="15622" width="9.7109375" customWidth="1"/>
    <col min="15623" max="15623" width="13.5703125" customWidth="1"/>
    <col min="15624" max="15625" width="12.5703125" customWidth="1"/>
    <col min="15626" max="15626" width="12.85546875" customWidth="1"/>
    <col min="15628" max="15628" width="13.28515625" bestFit="1" customWidth="1"/>
    <col min="15630" max="15630" width="10.5703125" bestFit="1" customWidth="1"/>
    <col min="15633" max="15633" width="12.85546875" customWidth="1"/>
    <col min="15858" max="15858" width="2.7109375" customWidth="1"/>
    <col min="15859" max="15859" width="12.42578125" customWidth="1"/>
    <col min="15860" max="15861" width="14.7109375" customWidth="1"/>
    <col min="15862" max="15862" width="13.42578125" customWidth="1"/>
    <col min="15863" max="15863" width="13.7109375" customWidth="1"/>
    <col min="15864" max="15864" width="13.28515625" customWidth="1"/>
    <col min="15865" max="15865" width="9.7109375" customWidth="1"/>
    <col min="15866" max="15866" width="12.5703125" customWidth="1"/>
    <col min="15867" max="15867" width="12.28515625" customWidth="1"/>
    <col min="15868" max="15868" width="9.7109375" customWidth="1"/>
    <col min="15869" max="15869" width="13.28515625" customWidth="1"/>
    <col min="15870" max="15870" width="12.7109375" bestFit="1" customWidth="1"/>
    <col min="15871" max="15871" width="11.42578125" customWidth="1"/>
    <col min="15872" max="15872" width="15.42578125" customWidth="1"/>
    <col min="15873" max="15873" width="12.5703125" customWidth="1"/>
    <col min="15874" max="15874" width="12.28515625" customWidth="1"/>
    <col min="15875" max="15875" width="9.7109375" customWidth="1"/>
    <col min="15876" max="15877" width="11.7109375" customWidth="1"/>
    <col min="15878" max="15878" width="9.7109375" customWidth="1"/>
    <col min="15879" max="15879" width="13.5703125" customWidth="1"/>
    <col min="15880" max="15881" width="12.5703125" customWidth="1"/>
    <col min="15882" max="15882" width="12.85546875" customWidth="1"/>
    <col min="15884" max="15884" width="13.28515625" bestFit="1" customWidth="1"/>
    <col min="15886" max="15886" width="10.5703125" bestFit="1" customWidth="1"/>
    <col min="15889" max="15889" width="12.85546875" customWidth="1"/>
    <col min="16114" max="16114" width="2.7109375" customWidth="1"/>
    <col min="16115" max="16115" width="12.42578125" customWidth="1"/>
    <col min="16116" max="16117" width="14.7109375" customWidth="1"/>
    <col min="16118" max="16118" width="13.42578125" customWidth="1"/>
    <col min="16119" max="16119" width="13.7109375" customWidth="1"/>
    <col min="16120" max="16120" width="13.28515625" customWidth="1"/>
    <col min="16121" max="16121" width="9.7109375" customWidth="1"/>
    <col min="16122" max="16122" width="12.5703125" customWidth="1"/>
    <col min="16123" max="16123" width="12.28515625" customWidth="1"/>
    <col min="16124" max="16124" width="9.7109375" customWidth="1"/>
    <col min="16125" max="16125" width="13.28515625" customWidth="1"/>
    <col min="16126" max="16126" width="12.7109375" bestFit="1" customWidth="1"/>
    <col min="16127" max="16127" width="11.42578125" customWidth="1"/>
    <col min="16128" max="16128" width="15.42578125" customWidth="1"/>
    <col min="16129" max="16129" width="12.5703125" customWidth="1"/>
    <col min="16130" max="16130" width="12.28515625" customWidth="1"/>
    <col min="16131" max="16131" width="9.7109375" customWidth="1"/>
    <col min="16132" max="16133" width="11.7109375" customWidth="1"/>
    <col min="16134" max="16134" width="9.7109375" customWidth="1"/>
    <col min="16135" max="16135" width="13.5703125" customWidth="1"/>
    <col min="16136" max="16137" width="12.5703125" customWidth="1"/>
    <col min="16138" max="16138" width="12.85546875" customWidth="1"/>
    <col min="16140" max="16140" width="13.28515625" bestFit="1" customWidth="1"/>
    <col min="16142" max="16142" width="10.5703125" bestFit="1" customWidth="1"/>
    <col min="16145" max="16145" width="12.85546875" customWidth="1"/>
  </cols>
  <sheetData>
    <row r="1" spans="1:63" ht="15.75" x14ac:dyDescent="0.25">
      <c r="A1" s="1" t="s">
        <v>39</v>
      </c>
      <c r="B1" s="2"/>
      <c r="C1" s="3"/>
      <c r="D1" s="3"/>
      <c r="E1" s="3"/>
      <c r="F1" s="3"/>
      <c r="G1" s="4"/>
      <c r="H1" s="4"/>
      <c r="I1" s="5"/>
      <c r="J1" s="80" t="s">
        <v>0</v>
      </c>
    </row>
    <row r="2" spans="1:63" ht="15.75" x14ac:dyDescent="0.25">
      <c r="A2" s="1"/>
      <c r="B2" s="2"/>
      <c r="C2" s="3"/>
      <c r="D2" s="3"/>
      <c r="E2" s="3"/>
      <c r="F2" s="3"/>
      <c r="G2" s="4"/>
      <c r="H2" s="4"/>
      <c r="I2" s="4"/>
      <c r="J2" s="8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 s="9" customFormat="1" ht="15.75" x14ac:dyDescent="0.25">
      <c r="A3" s="6"/>
      <c r="B3" s="6"/>
      <c r="C3" s="7">
        <v>65030</v>
      </c>
      <c r="D3" s="7">
        <v>83130</v>
      </c>
      <c r="E3" s="7">
        <v>83100</v>
      </c>
      <c r="F3" s="7">
        <v>80550</v>
      </c>
      <c r="G3" s="7">
        <v>80570</v>
      </c>
      <c r="H3" s="7">
        <v>81130</v>
      </c>
      <c r="I3" s="7">
        <v>86150</v>
      </c>
      <c r="J3" s="7">
        <v>86155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3" s="16" customFormat="1" ht="45" customHeight="1" x14ac:dyDescent="0.25">
      <c r="A4" s="10"/>
      <c r="B4" s="10"/>
      <c r="C4" s="12" t="s">
        <v>26</v>
      </c>
      <c r="D4" s="12" t="s">
        <v>37</v>
      </c>
      <c r="E4" s="12" t="s">
        <v>38</v>
      </c>
      <c r="F4" s="12" t="s">
        <v>27</v>
      </c>
      <c r="G4" s="11" t="s">
        <v>1</v>
      </c>
      <c r="H4" s="12" t="s">
        <v>33</v>
      </c>
      <c r="I4" s="14" t="s">
        <v>25</v>
      </c>
      <c r="J4" s="14" t="s">
        <v>24</v>
      </c>
      <c r="K4" s="10"/>
      <c r="L4" s="15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</row>
    <row r="5" spans="1:63" ht="11.25" customHeight="1" x14ac:dyDescent="0.25">
      <c r="A5" s="3"/>
      <c r="B5" s="3"/>
      <c r="C5" s="17"/>
      <c r="D5" s="18"/>
      <c r="E5" s="19"/>
      <c r="F5" s="20"/>
      <c r="G5" s="17"/>
      <c r="H5" s="17"/>
      <c r="I5" s="21"/>
      <c r="J5" s="2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x14ac:dyDescent="0.25">
      <c r="A6" s="3">
        <v>1</v>
      </c>
      <c r="B6" s="3" t="s">
        <v>2</v>
      </c>
      <c r="C6" s="22">
        <f ca="1">[1]!CODA_browseDataValueByCode( "BAL-BSMMR", "CYR", "E1 NAME", "65030", "CO", "MIDF DFD COV")</f>
        <v>108074650.18000001</v>
      </c>
      <c r="D6" s="23">
        <f ca="1">[1]!CODA_browseDataValueByCode( "BAL-BSMMR", "CYR", "E1 NAME", "83130", "CO", "MIDF DFD COV")</f>
        <v>-49261729.869999997</v>
      </c>
      <c r="E6" s="24">
        <f ca="1">[1]!CODA_browseDataValueByCode( "BAL-BSMMR", "CYR", "E1 NAME", "83100", "CO", "MIDF DFD COV")</f>
        <v>-8343379.0099999998</v>
      </c>
      <c r="F6" s="22">
        <f ca="1">[1]!CODA_browseDataValueByCode( "BAL-BSMMR", "CYR", "E1 NAME", "80550", "CO", "MIDF DFD COV")</f>
        <v>0</v>
      </c>
      <c r="G6" s="22">
        <f ca="1">[1]!CODA_browseDataValueByCode( "BAL-BSMMR", "CYR", "E1 NAME", "80570", "CO", "MIDF DFD COV")</f>
        <v>0</v>
      </c>
      <c r="H6" s="22">
        <f ca="1">[1]!CODA_browseDataValueByCode( "BAL-BSMMR", "CYR", "E1 NAME", "81130", "CO", "MIDF DFD COV")</f>
        <v>-27793625.5</v>
      </c>
      <c r="I6" s="23">
        <f ca="1">-[1]!CODA_browseDataValueByCode( "BAL-BSMMR", "CYR", "E1 NAME", "86150", "CO", "MIDF DFD COV")</f>
        <v>-14525.16</v>
      </c>
      <c r="J6" s="23">
        <f ca="1">-[1]!CODA_browseDataValueByCode( "BAL-BSMMR", "CYR", "E1 NAME", "86155", "CO", "MIDF DFD COV")</f>
        <v>0</v>
      </c>
      <c r="K6" s="3"/>
      <c r="L6" s="25"/>
      <c r="M6" s="3" t="s">
        <v>3</v>
      </c>
      <c r="N6" s="2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x14ac:dyDescent="0.25">
      <c r="A7" s="3">
        <v>2</v>
      </c>
      <c r="B7" s="3" t="s">
        <v>4</v>
      </c>
      <c r="C7" s="27">
        <f ca="1">[1]!CODA_browseDataValueByCode( "BAL-BSMMR", "CYR", "E1 NAME", "65030", "CO", "MITI COV SLS")</f>
        <v>8506282.7599999998</v>
      </c>
      <c r="D7" s="27">
        <f ca="1">[1]!CODA_browseDataValueByCode( "BAL-BSMMR", "CYR", "E1 NAME", "83130", "CO", "MITI COV SLS")</f>
        <v>-713865.5</v>
      </c>
      <c r="E7" s="27">
        <f ca="1">[1]!CODA_browseDataValueByCode( "BAL-BSMMR", "CYR", "E1 NAME", "83100", "CO", "MITI COV SLS")</f>
        <v>0</v>
      </c>
      <c r="F7" s="27">
        <f ca="1">[1]!CODA_browseDataValueByCode( "BAL-BSMMR", "CYR", "E1 NAME", "80550", "CO", "MITI COV SLS")</f>
        <v>0</v>
      </c>
      <c r="G7" s="27">
        <f ca="1">[1]!CODA_browseDataValueByCode( "BAL-BSMMR", "CYR", "E1 NAME", "80570", "CO", "MITI COV SLS")</f>
        <v>0</v>
      </c>
      <c r="H7" s="27">
        <f ca="1">[1]!CODA_browseDataValueByCode( "BAL-BSMMR", "CYR", "E1 NAME", "81130", "CO", "MITI COV SLS")</f>
        <v>-1502000</v>
      </c>
      <c r="I7" s="27">
        <f ca="1">-[1]!CODA_browseDataValueByCode( "BAL-BSMMR", "CYR", "E1 NAME", "86150", "CO", "MITI COV SLS")</f>
        <v>-39302.25</v>
      </c>
      <c r="J7" s="27">
        <f ca="1">-[1]!CODA_browseDataValueByCode( "BAL-BSMMR", "CYR", "E1 NAME", "86155", "CO", "MITI COV SLS")</f>
        <v>0</v>
      </c>
      <c r="K7" s="3"/>
      <c r="L7" s="2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x14ac:dyDescent="0.25">
      <c r="A8" s="3"/>
      <c r="B8" s="3"/>
      <c r="C8" s="28">
        <f ca="1">SUM(C6:C7)</f>
        <v>116580932.94000001</v>
      </c>
      <c r="D8" s="28">
        <f t="shared" ref="D8:J8" ca="1" si="0">SUM(D6:D7)</f>
        <v>-49975595.369999997</v>
      </c>
      <c r="E8" s="28">
        <f t="shared" ca="1" si="0"/>
        <v>-8343379.0099999998</v>
      </c>
      <c r="F8" s="28">
        <f t="shared" ca="1" si="0"/>
        <v>0</v>
      </c>
      <c r="G8" s="28">
        <f t="shared" ca="1" si="0"/>
        <v>0</v>
      </c>
      <c r="H8" s="28">
        <f t="shared" ca="1" si="0"/>
        <v>-29295625.5</v>
      </c>
      <c r="I8" s="28">
        <f t="shared" ca="1" si="0"/>
        <v>-53827.41</v>
      </c>
      <c r="J8" s="28">
        <f t="shared" ca="1" si="0"/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1:63" ht="11.25" customHeight="1" x14ac:dyDescent="0.25">
      <c r="B9" s="3"/>
      <c r="C9" s="29"/>
      <c r="D9" s="29"/>
      <c r="E9" s="29"/>
      <c r="F9" s="29"/>
      <c r="G9" s="29"/>
      <c r="H9" s="29"/>
      <c r="I9" s="29"/>
      <c r="J9" s="29"/>
    </row>
    <row r="10" spans="1:63" x14ac:dyDescent="0.25">
      <c r="A10" s="3">
        <v>3</v>
      </c>
      <c r="B10" s="3" t="s">
        <v>5</v>
      </c>
      <c r="C10" s="30">
        <f ca="1">[1]!CODA_browseDataValueByCode( "BAL-BSMMR", "CYR", "E1 NAME", "65030", "CO", "MIDF DFD SPI")</f>
        <v>3981697.06</v>
      </c>
      <c r="D10" s="30">
        <f ca="1">[1]!CODA_browseDataValueByCode( "BAL-BSMMR", "CYR", "E1 NAME", "83130", "CO", "MIDF DFD SPI")</f>
        <v>-168926.25</v>
      </c>
      <c r="E10" s="30">
        <f ca="1">[1]!CODA_browseDataValueByCode( "BAL-BSMMR", "CYR", "E1 NAME", "83100", "CO", "MIDF DFD SPI")</f>
        <v>0</v>
      </c>
      <c r="F10" s="30">
        <f ca="1">[1]!CODA_browseDataValueByCode( "BAL-BSMMR", "CYR", "E1 NAME", "80550", "CO", "MIDF DFD SPI")</f>
        <v>-1256086.26</v>
      </c>
      <c r="G10" s="30">
        <f ca="1">[1]!CODA_browseDataValueByCode( "BAL-BSMMR", "CYR", "E1 NAME", "80570", "CO", "MIDF DFD SPI")</f>
        <v>0</v>
      </c>
      <c r="H10" s="30">
        <f ca="1">[1]!CODA_browseDataValueByCode( "BAL-BSMMR", "CYR", "E1 NAME", "81130", "CO", "MIDF DFD SPI")</f>
        <v>-667075</v>
      </c>
      <c r="I10" s="30">
        <f ca="1">-[1]!CODA_browseDataValueByCode( "BAL-BSMMR", "CYR", "E1 NAME", "86150", "CO", "MIDF DFD SPI")</f>
        <v>-108802.04</v>
      </c>
      <c r="J10" s="30">
        <f ca="1">-[1]!CODA_browseDataValueByCode( "BAL-BSMMR", "CYR", "E1 NAME", "86155", "CO", "MIDF DFD SPI")</f>
        <v>0</v>
      </c>
      <c r="K10" s="3"/>
      <c r="L10" s="3"/>
      <c r="M10" s="3"/>
      <c r="N10" s="3"/>
      <c r="O10" s="3"/>
      <c r="P10" s="3"/>
      <c r="Q10" s="31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r="11" spans="1:63" x14ac:dyDescent="0.25">
      <c r="A11" s="3">
        <v>4</v>
      </c>
      <c r="B11" s="3" t="s">
        <v>6</v>
      </c>
      <c r="C11" s="27">
        <f ca="1">[1]!CODA_browseDataValueByCode( "BAL-BSMMR", "CYR", "E1 NAME", "65030", "CO", "MITI SPI SLS")</f>
        <v>78448455.370000005</v>
      </c>
      <c r="D11" s="27">
        <f ca="1">[1]!CODA_browseDataValueByCode( "BAL-BSMMR", "CYR", "E1 NAME", "83130", "CO", "MITI SPI SLS")</f>
        <v>-697560.66</v>
      </c>
      <c r="E11" s="27">
        <f ca="1">[1]!CODA_browseDataValueByCode( "BAL-BSMMR", "CYR", "E1 NAME", "83100", "CO", "MITI SPI SLS")</f>
        <v>0</v>
      </c>
      <c r="F11" s="32">
        <f ca="1">[1]!CODA_browseDataValueByCode( "BAL-BSMMR", "CYR", "E1 NAME", "80550", "CO", "MITI SPI SLS")</f>
        <v>-8895332.9100000001</v>
      </c>
      <c r="G11" s="27">
        <f ca="1">[1]!CODA_browseDataValueByCode( "BAL-BSMMR", "CYR", "E1 NAME", "80570", "CO", "MITI SPI SLS")</f>
        <v>-3191504.56</v>
      </c>
      <c r="H11" s="27">
        <f ca="1">[1]!CODA_browseDataValueByCode( "BAL-BSMMR", "CYR", "E1 NAME", "81130", "CO", "MITI SPI SLS")</f>
        <v>-1595000</v>
      </c>
      <c r="I11" s="33">
        <f ca="1">-[1]!CODA_browseDataValueByCode( "BAL-BSMMR", "CYR", "E1 NAME", "86150", "CO", "MITI SPI SLS")</f>
        <v>-1012314.98</v>
      </c>
      <c r="J11" s="33">
        <f ca="1">-[1]!CODA_browseDataValueByCode( "BAL-BSMMR", "CYR", "E1 NAME", "86155", "CO", "MITI SPI SLS")</f>
        <v>-2152.08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spans="1:63" x14ac:dyDescent="0.25">
      <c r="A12" s="3"/>
      <c r="B12" s="3"/>
      <c r="C12" s="30">
        <f ca="1">SUM(C10:C11)</f>
        <v>82430152.430000007</v>
      </c>
      <c r="D12" s="30">
        <f t="shared" ref="D12:J12" ca="1" si="1">SUM(D10:D11)</f>
        <v>-866486.91</v>
      </c>
      <c r="E12" s="30">
        <f t="shared" ca="1" si="1"/>
        <v>0</v>
      </c>
      <c r="F12" s="30">
        <f t="shared" ca="1" si="1"/>
        <v>-10151419.17</v>
      </c>
      <c r="G12" s="30">
        <f t="shared" ca="1" si="1"/>
        <v>-3191504.56</v>
      </c>
      <c r="H12" s="30">
        <f t="shared" ca="1" si="1"/>
        <v>-2262075</v>
      </c>
      <c r="I12" s="30">
        <f t="shared" ca="1" si="1"/>
        <v>-1121117.02</v>
      </c>
      <c r="J12" s="30">
        <f t="shared" ca="1" si="1"/>
        <v>-2152.08</v>
      </c>
      <c r="K12" s="3"/>
      <c r="L12" s="2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1:63" ht="11.25" customHeight="1" x14ac:dyDescent="0.25">
      <c r="B13" s="3"/>
      <c r="C13" s="34"/>
      <c r="D13" s="35"/>
      <c r="E13" s="35"/>
      <c r="F13" s="35"/>
      <c r="G13" s="35"/>
      <c r="H13" s="35"/>
      <c r="I13" s="35"/>
      <c r="J13" s="35"/>
    </row>
    <row r="14" spans="1:63" ht="15.75" thickBot="1" x14ac:dyDescent="0.3">
      <c r="A14" s="3"/>
      <c r="B14" s="36" t="s">
        <v>7</v>
      </c>
      <c r="C14" s="37">
        <f t="shared" ref="C14:J14" ca="1" si="2">C8+C12</f>
        <v>199011085.37</v>
      </c>
      <c r="D14" s="38">
        <f t="shared" ca="1" si="2"/>
        <v>-50842082.279999994</v>
      </c>
      <c r="E14" s="38">
        <f t="shared" ca="1" si="2"/>
        <v>-8343379.0099999998</v>
      </c>
      <c r="F14" s="38">
        <f t="shared" ca="1" si="2"/>
        <v>-10151419.17</v>
      </c>
      <c r="G14" s="38">
        <f t="shared" ca="1" si="2"/>
        <v>-3191504.56</v>
      </c>
      <c r="H14" s="38">
        <f t="shared" ca="1" si="2"/>
        <v>-31557700.5</v>
      </c>
      <c r="I14" s="38">
        <f t="shared" ca="1" si="2"/>
        <v>-1174944.43</v>
      </c>
      <c r="J14" s="38">
        <f t="shared" ca="1" si="2"/>
        <v>-2152.08</v>
      </c>
      <c r="K14" s="3"/>
      <c r="L14" s="3"/>
      <c r="M14" s="3"/>
      <c r="N14" s="3"/>
      <c r="O14" s="3"/>
      <c r="P14" s="3"/>
      <c r="Q14" s="31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spans="1:63" ht="15.75" thickTop="1" x14ac:dyDescent="0.25">
      <c r="A15" s="3"/>
      <c r="B15" s="3"/>
      <c r="C15" s="39"/>
      <c r="D15" s="39"/>
      <c r="E15" s="40"/>
      <c r="F15" s="40"/>
      <c r="G15" s="40"/>
      <c r="H15" s="40"/>
      <c r="I15" s="40"/>
      <c r="J15" s="40"/>
      <c r="K15" s="3"/>
      <c r="L15" s="3"/>
      <c r="M15" s="3"/>
      <c r="N15" s="3"/>
      <c r="O15" s="3"/>
      <c r="P15" s="3"/>
      <c r="Q15" s="31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 spans="1:63" x14ac:dyDescent="0.25">
      <c r="A16" s="3">
        <v>5</v>
      </c>
      <c r="B16" s="3" t="s">
        <v>8</v>
      </c>
      <c r="C16" s="30">
        <f ca="1">[1]!CODA_browseDataValueByCode( "BAL-BSMMR", "CYR", "E1 NAME", "65030", "CO", "GSF MITI COV")</f>
        <v>39741060.939999998</v>
      </c>
      <c r="D16" s="30">
        <f ca="1">[1]!CODA_browseDataValueByCode( "BAL-BSMMR", "CYR", "E1 NAME", "83130", "CO", "GSF MITI COV")</f>
        <v>-5515884.4400000004</v>
      </c>
      <c r="E16" s="41">
        <f ca="1">[1]!CODA_browseDataValueByCode( "BAL-BSMMR", "CYR", "E1 NAME", "83100", "CO", "GSF MITI COV")</f>
        <v>0</v>
      </c>
      <c r="F16" s="41">
        <f ca="1">[1]!CODA_browseDataValueByCode( "BAL-BSMMR", "CYR", "E1 NAME", "80550", "E2 NAME", "LN011!LN013!LN014!LN019!LN020!LN021!LN022!LN023!LN030", "CO", "GSF MITI COV")</f>
        <v>0</v>
      </c>
      <c r="G16" s="41">
        <f ca="1">[1]!CODA_browseDataValueByCode( "BAL-BSMMR", "CYR", "E1 NAME", "80570", "CO", "GSF MITI COV")</f>
        <v>0</v>
      </c>
      <c r="H16" s="41">
        <f ca="1">[1]!CODA_browseDataValueByCode( "BAL-BSMMR", "CYR", "E1 NAME", "81130", "CO", "GSF MITI COV")</f>
        <v>-15693000</v>
      </c>
      <c r="I16" s="30">
        <f ca="1">-[1]!CODA_browseDataValueByCode( "BAL-BSMMR", "CYR", "E1 NAME", "86150", "CO", "GSF MITI COV")</f>
        <v>-2946421.76</v>
      </c>
      <c r="J16" s="30">
        <f ca="1">-[1]!CODA_browseDataValueByCode( "BAL-BSMMR", "CYR", "E1 NAME", "86155", "CO", "GSF MITI COV")</f>
        <v>0</v>
      </c>
      <c r="K16" s="3"/>
      <c r="L16" s="2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spans="1:63" x14ac:dyDescent="0.25">
      <c r="A17" s="3">
        <v>6</v>
      </c>
      <c r="B17" s="3" t="s">
        <v>9</v>
      </c>
      <c r="C17" s="42">
        <f ca="1">[1]!CODA_browseDataValueByCode( "BAL-BSMMR", "CYR", "E1 NAME", "65030", "CO", "GSF MIDA COV")</f>
        <v>4173720.16</v>
      </c>
      <c r="D17" s="30">
        <f ca="1">[1]!CODA_browseDataValueByCode( "BAL-BSMMR", "CYR", "E1 NAME", "83130", "CO", "GSF MIDA COV")</f>
        <v>-2385796.11</v>
      </c>
      <c r="E17" s="41">
        <f ca="1">[1]!CODA_browseDataValueByCode( "BAL-BSMMR", "CYR", "E1 NAME", "83100", "CO", "GSF MIDA COV")</f>
        <v>0</v>
      </c>
      <c r="F17" s="30">
        <f ca="1">[1]!CODA_browseDataValueByCode( "BAL-BSMMR", "CYR", "E1 NAME", "80550", "E2 NAME", "LN011!LN013!LN014!LN019!LN020!LN021!LN022!LN023!LN030", "CO", "GSF MIDA COV")</f>
        <v>0</v>
      </c>
      <c r="G17" s="30">
        <f ca="1">[1]!CODA_browseDataValueByCode( "BAL-BSMMR", "CYR", "E1 NAME", "80570", "CO", "GSF MIDA COV")</f>
        <v>0</v>
      </c>
      <c r="H17" s="30">
        <f ca="1">[1]!CODA_browseDataValueByCode( "BAL-BSMMR", "CYR", "E1 NAME", "81130", "CO", "GSF MIDA COV")</f>
        <v>-1789000</v>
      </c>
      <c r="I17" s="30">
        <f ca="1">-[1]!CODA_browseDataValueByCode( "BAL-BSMMR", "CYR", "E1 NAME", "86150", "CO", "GSF MIDA COV")</f>
        <v>-90</v>
      </c>
      <c r="J17" s="30">
        <f ca="1">-[1]!CODA_browseDataValueByCode( "BAL-BSMMR", "CYR", "E1 NAME", "86155", "CO", "GSF MIDA COV")</f>
        <v>0</v>
      </c>
      <c r="K17" s="3"/>
      <c r="L17" s="2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spans="1:63" x14ac:dyDescent="0.25">
      <c r="A18" s="3">
        <v>7</v>
      </c>
      <c r="B18" s="3" t="s">
        <v>10</v>
      </c>
      <c r="C18" s="42">
        <f ca="1">[1]!CODA_browseDataValueByCode( "BAL-BSMMR", "CYR", "E1 NAME", "65030", "CO", "GSF SME COV")</f>
        <v>78402416.819999993</v>
      </c>
      <c r="D18" s="30">
        <f ca="1">[1]!CODA_browseDataValueByCode( "BAL-BSMMR", "CYR", "E1 NAME", "83130", "CO", "GSF SME COV")</f>
        <v>-15221905.83</v>
      </c>
      <c r="E18" s="43">
        <f ca="1">[1]!CODA_browseDataValueByCode( "BAL-BSMMR", "CYR", "E1 NAME", "83100", "CO", "GSF SME COV")</f>
        <v>-388906.83</v>
      </c>
      <c r="F18" s="30">
        <f ca="1">[1]!CODA_browseDataValueByCode( "BAL-BSMMR", "CYR", "E1 NAME", "80550", "E2 NAME", "LN011!LN013!LN014!LN019!LN020!LN021!LN022!LN023!LN030", "CO", "GSF SME COV")</f>
        <v>-72.16</v>
      </c>
      <c r="G18" s="30">
        <f ca="1">[1]!CODA_browseDataValueByCode( "BAL-BSMMR", "CYR", "E1 NAME", "80570", "CO", "GSF SME COV")</f>
        <v>0</v>
      </c>
      <c r="H18" s="30">
        <f ca="1">[1]!CODA_browseDataValueByCode( "BAL-BSMMR", "CYR", "E1 NAME", "81130", "CO", "GSF SME COV")</f>
        <v>-18358000</v>
      </c>
      <c r="I18" s="30">
        <f ca="1">-[1]!CODA_browseDataValueByCode( "BAL-BSMMR", "CYR", "E1 NAME", "86150", "CO", "GSF SME COV")</f>
        <v>-1128477.75</v>
      </c>
      <c r="J18" s="30">
        <f ca="1">-[1]!CODA_browseDataValueByCode( "BAL-BSMMR", "CYR", "E1 NAME", "86155", "CO", "GSF SME COV")</f>
        <v>-0.14000000000000001</v>
      </c>
      <c r="K18" s="3"/>
      <c r="L18" s="2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spans="1:63" x14ac:dyDescent="0.25">
      <c r="A19" s="3">
        <v>8</v>
      </c>
      <c r="B19" s="3" t="s">
        <v>11</v>
      </c>
      <c r="C19" s="30">
        <f ca="1">[1]!CODA_browseDataValueByCode( "BAL-BSMMR", "CYR", "E1 NAME", "65030", "CO", "GSF MTDE COV")</f>
        <v>907053.01</v>
      </c>
      <c r="D19" s="30">
        <f ca="1">[1]!CODA_browseDataValueByCode( "BAL-BSMMR", "CYR", "E1 NAME", "83130", "CO", "GSF MTDE COV")</f>
        <v>-387280.83</v>
      </c>
      <c r="E19" s="30">
        <f ca="1">[1]!CODA_browseDataValueByCode( "BAL-BSMMR", "CYR", "E1 NAME", "83100", "CO", "GSF MTDE COV")</f>
        <v>0</v>
      </c>
      <c r="F19" s="30">
        <f ca="1">[1]!CODA_browseDataValueByCode( "BAL-BSMMR", "CYR", "E1 NAME", "80550", "E2 NAME", "LN011!LN013!LN014!LN019!LN020!LN021!LN022!LN023!LN030", "CO", "GSF MTDE COV")</f>
        <v>0</v>
      </c>
      <c r="G19" s="30">
        <f ca="1">[1]!CODA_browseDataValueByCode( "BAL-BSMMR", "CYR", "E1 NAME", "80570", "CO", "GSF MTDE COV")</f>
        <v>0</v>
      </c>
      <c r="H19" s="30">
        <f ca="1">[1]!CODA_browseDataValueByCode( "BAL-BSMMR", "CYR", "E1 NAME", "81130", "CO", "GSF MTDE COV")</f>
        <v>-520000</v>
      </c>
      <c r="I19" s="30">
        <f ca="1">-[1]!CODA_browseDataValueByCode( "BAL-BSMMR", "CYR", "E1 NAME", "86150", "CO", "GSF MTDE COV")</f>
        <v>0</v>
      </c>
      <c r="J19" s="30">
        <f ca="1">-[1]!CODA_browseDataValueByCode( "BAL-BSMMR", "CYR", "E1 NAME", "86155", "CO", "GSF MTDE COV")</f>
        <v>0</v>
      </c>
      <c r="K19" s="3"/>
      <c r="L19" s="2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spans="1:63" x14ac:dyDescent="0.25">
      <c r="A20" s="3">
        <v>9</v>
      </c>
      <c r="B20" s="3" t="s">
        <v>12</v>
      </c>
      <c r="C20" s="27">
        <f ca="1">[1]!CODA_browseDataValueByCode( "BAL-BSMMR", "CYR", "E1 NAME", "65030", "CO", "GSF MGTC COV")</f>
        <v>0</v>
      </c>
      <c r="D20" s="27">
        <f ca="1">[1]!CODA_browseDataValueByCode( "BAL-BSMMR", "CYR", "E1 NAME", "83130", "CO", "GSF MGTC COV")</f>
        <v>0</v>
      </c>
      <c r="E20" s="27">
        <f ca="1">[1]!CODA_browseDataValueByCode( "BAL-BSMMR", "CYR", "E1 NAME", "83100", "CO", "GSF MGTC COV")</f>
        <v>0</v>
      </c>
      <c r="F20" s="27">
        <f ca="1">[1]!CODA_browseDataValueByCode( "BAL-BSMMR", "CYR", "E1 NAME", "80550", "E2 NAME", "LN011!LN013!LN014!LN019!LN020!LN021!LN022!LN023!LN030", "CO", "GSF MGTC COV")</f>
        <v>0</v>
      </c>
      <c r="G20" s="27">
        <f ca="1">[1]!CODA_browseDataValueByCode( "BAL-BSMMR", "CYR", "E1 NAME", "80570", "CO", "GSF MGTC COV")</f>
        <v>0</v>
      </c>
      <c r="H20" s="27">
        <f ca="1">[1]!CODA_browseDataValueByCode( "BAL-BSMMR", "CYR", "E1 NAME", "81130", "CO", "GSF MGTC COV")</f>
        <v>0</v>
      </c>
      <c r="I20" s="27">
        <f ca="1">-[1]!CODA_browseDataValueByCode( "BAL-BSMMR", "CYR", "E1 NAME", "86150", "CO", "GSF MGTC COV")</f>
        <v>0</v>
      </c>
      <c r="J20" s="27">
        <f ca="1">-[1]!CODA_browseDataValueByCode( "BAL-BSMMR", "CYR", "E1 NAME", "86155", "CO", "GSF MGTC COV")</f>
        <v>0</v>
      </c>
      <c r="K20" s="3"/>
      <c r="L20" s="3"/>
      <c r="M20" s="3"/>
      <c r="N20" s="3"/>
      <c r="O20" s="3"/>
      <c r="P20" s="3"/>
      <c r="Q20" s="31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spans="1:63" x14ac:dyDescent="0.25">
      <c r="A21" s="3"/>
      <c r="B21" s="3"/>
      <c r="C21" s="29">
        <f ca="1">SUM(C16:C20)</f>
        <v>123224250.92999999</v>
      </c>
      <c r="D21" s="29">
        <f t="shared" ref="D21:J21" ca="1" si="3">SUM(D16:D20)</f>
        <v>-23510867.210000001</v>
      </c>
      <c r="E21" s="29">
        <f t="shared" ca="1" si="3"/>
        <v>-388906.83</v>
      </c>
      <c r="F21" s="29">
        <f t="shared" ca="1" si="3"/>
        <v>-72.16</v>
      </c>
      <c r="G21" s="29">
        <f t="shared" ca="1" si="3"/>
        <v>0</v>
      </c>
      <c r="H21" s="29">
        <f t="shared" ca="1" si="3"/>
        <v>-36360000</v>
      </c>
      <c r="I21" s="29">
        <f t="shared" ca="1" si="3"/>
        <v>-4074989.51</v>
      </c>
      <c r="J21" s="29">
        <f t="shared" ca="1" si="3"/>
        <v>-0.14000000000000001</v>
      </c>
    </row>
    <row r="22" spans="1:63" x14ac:dyDescent="0.25">
      <c r="A22" s="3"/>
      <c r="B22" s="3"/>
      <c r="C22" s="29"/>
      <c r="D22" s="29"/>
      <c r="E22" s="29"/>
      <c r="F22" s="29"/>
      <c r="G22" s="29"/>
      <c r="H22" s="29"/>
      <c r="I22" s="29"/>
      <c r="J22" s="29"/>
    </row>
    <row r="23" spans="1:63" x14ac:dyDescent="0.25">
      <c r="A23" s="3">
        <v>10</v>
      </c>
      <c r="B23" s="3" t="s">
        <v>13</v>
      </c>
      <c r="C23" s="30">
        <f ca="1">[1]!CODA_browseDataValueByCode( "BAL-BSMMR", "CYR", "E1 NAME", "65030", "CO", "GSF MITI SPI")</f>
        <v>914917745.52999997</v>
      </c>
      <c r="D23" s="30">
        <f ca="1">[1]!CODA_browseDataValueByCode( "BAL-BSMMR", "CYR", "E1 NAME", "83130", "CO", "GSF MITI SPI")</f>
        <v>-2050882.33</v>
      </c>
      <c r="E23" s="30">
        <f ca="1">[1]!CODA_browseDataValueByCode( "BAL-BSMMR", "CYR", "E1 NAME", "83100", "CO", "GSF MITI SPI")</f>
        <v>-2857051.24</v>
      </c>
      <c r="F23" s="30">
        <f ca="1">[1]!CODA_browseDataValueByCode( "BAL-BSMMR", "CYR", "E1 NAME", "80550", "E2 NAME", "LN007!LN011!LN013!LN014!LN019!LN020!LN021!LN022!LN023!LN030", "CO", "GSF MITI SPI")</f>
        <v>-160357797.28</v>
      </c>
      <c r="G23" s="30">
        <f ca="1">[1]!CODA_browseDataValueByCode( "BAL-BSMMR", "CYR", "E1 NAME", "80570", "CO", "GSF MITI SPI")</f>
        <v>-80067164.620000005</v>
      </c>
      <c r="H23" s="30">
        <f ca="1">[1]!CODA_browseDataValueByCode( "BAL-BSMMR", "CYR", "E1 NAME", "81130", "CO", "GSF MITI SPI")</f>
        <v>-74245000</v>
      </c>
      <c r="I23" s="30">
        <f ca="1">-[1]!CODA_browseDataValueByCode( "BAL-BSMMR", "CYR", "E1 NAME", "86150", "CO", "GSF MITI SPI")</f>
        <v>-21669210.760000002</v>
      </c>
      <c r="J23" s="30">
        <f ca="1">-[1]!CODA_browseDataValueByCode( "BAL-BSMMR", "CYR", "E1 NAME", "86155", "CO", "GSF MITI SPI")</f>
        <v>-28532.28</v>
      </c>
      <c r="K23" s="3"/>
      <c r="L23" s="2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spans="1:63" x14ac:dyDescent="0.25">
      <c r="A24" s="3">
        <v>11</v>
      </c>
      <c r="B24" s="3" t="s">
        <v>14</v>
      </c>
      <c r="C24" s="30">
        <f ca="1">[1]!CODA_browseDataValueByCode( "BAL-BSMMR", "CYR", "E1 NAME", "65030", "CO", "GSF MIDA SPI")</f>
        <v>47020507.619999997</v>
      </c>
      <c r="D24" s="30">
        <f ca="1">[1]!CODA_browseDataValueByCode( "BAL-BSMMR", "CYR", "E1 NAME", "83130", "CO", "GSF MIDA SPI")</f>
        <v>-520365.57</v>
      </c>
      <c r="E24" s="30">
        <f ca="1">[1]!CODA_browseDataValueByCode( "BAL-BSMMR", "CYR", "E1 NAME", "83100", "CO", "GSF MIDA SPI")</f>
        <v>0</v>
      </c>
      <c r="F24" s="30">
        <f ca="1">[1]!CODA_browseDataValueByCode( "BAL-BSMMR", "CYR", "E1 NAME", "80550", "E2 NAME", "LN011!LN013!LN014!LN019!LN020!LN021!LN022!LN023!LN030", "CO", "GSF MIDA SPI")</f>
        <v>-4296018.75</v>
      </c>
      <c r="G24" s="30">
        <f ca="1">[1]!CODA_browseDataValueByCode( "BAL-BSMMR", "CYR", "E1 NAME", "80570", "CO", "GSF MIDA SPI")</f>
        <v>-531359.41</v>
      </c>
      <c r="H24" s="30">
        <f ca="1">[1]!CODA_browseDataValueByCode( "BAL-BSMMR", "CYR", "E1 NAME", "81130", "CO", "GSF MIDA SPI")</f>
        <v>-7623000</v>
      </c>
      <c r="I24" s="30">
        <f ca="1">-[1]!CODA_browseDataValueByCode( "BAL-BSMMR", "CYR", "E1 NAME", "86150", "CO", "GSF MIDA SPI")</f>
        <v>-441521.64</v>
      </c>
      <c r="J24" s="30">
        <f ca="1">-[1]!CODA_browseDataValueByCode( "BAL-BSMMR", "CYR", "E1 NAME", "86155", "CO", "GSF MIDA SPI")</f>
        <v>0</v>
      </c>
      <c r="K24" s="3"/>
      <c r="L24" s="2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spans="1:63" x14ac:dyDescent="0.25">
      <c r="A25" s="3">
        <v>12</v>
      </c>
      <c r="B25" s="3" t="s">
        <v>15</v>
      </c>
      <c r="C25" s="30">
        <f ca="1">[1]!CODA_browseDataValueByCode( "BAL-BSMMR", "CYR", "E1 NAME", "65030", "CO", "GSF SME SPI")</f>
        <v>734629136.80999994</v>
      </c>
      <c r="D25" s="30">
        <f ca="1">[1]!CODA_browseDataValueByCode( "BAL-BSMMR", "CYR", "E1 NAME", "83130", "CO", "GSF SME SPI")</f>
        <v>-5831608.4400000004</v>
      </c>
      <c r="E25" s="30">
        <f ca="1">[1]!CODA_browseDataValueByCode( "BAL-BSMMR", "CYR", "E1 NAME", "83100", "CO", "GSF SME SPI")</f>
        <v>0</v>
      </c>
      <c r="F25" s="30">
        <f ca="1">[1]!CODA_browseDataValueByCode( "BAL-BSMMR", "CYR", "E1 NAME", "80550", "E2 NAME", "LN006!LN007!LN011!LN013!LN014!LN019!LN020!LN021!LN022!LN026!LN023!LN030", "CO", "GSF SME SPI")</f>
        <v>-174055070.50999999</v>
      </c>
      <c r="G25" s="30">
        <f ca="1">[1]!CODA_browseDataValueByCode( "BAL-BSMMR", "CYR", "E1 NAME", "80570", "CO", "GSF SME SPI")</f>
        <v>-8538637.4499999993</v>
      </c>
      <c r="H25" s="30">
        <f ca="1">[1]!CODA_browseDataValueByCode( "BAL-BSMMR", "CYR", "E1 NAME", "81130", "CO", "GSF SME SPI")</f>
        <v>-32329000</v>
      </c>
      <c r="I25" s="30">
        <f ca="1">-[1]!CODA_browseDataValueByCode( "BAL-BSMMR", "CYR", "E1 NAME", "86150", "CO", "GSF SME SPI")</f>
        <v>-8677850.0999999996</v>
      </c>
      <c r="J25" s="30">
        <f ca="1">-[1]!CODA_browseDataValueByCode( "BAL-BSMMR", "CYR", "E1 NAME", "86155", "CO", "GSF SME SPI")</f>
        <v>913386.19</v>
      </c>
      <c r="K25" s="3"/>
      <c r="L25" s="2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</row>
    <row r="26" spans="1:63" x14ac:dyDescent="0.25">
      <c r="A26" s="3">
        <v>13</v>
      </c>
      <c r="B26" s="3" t="s">
        <v>16</v>
      </c>
      <c r="C26" s="30">
        <f ca="1">[1]!CODA_browseDataValueByCode( "BAL-BSMMR", "CYR", "E1 NAME", "65030", "CO", "GSF MTDE SPI")</f>
        <v>3054093.41</v>
      </c>
      <c r="D26" s="30">
        <f ca="1">[1]!CODA_browseDataValueByCode( "BAL-BSMMR", "CYR", "E1 NAME", "83130", "CO", "GSF MTDE SPI")</f>
        <v>0</v>
      </c>
      <c r="E26" s="30">
        <f ca="1">[1]!CODA_browseDataValueByCode( "BAL-BSMMR", "CYR", "E1 NAME", "83100", "CO", "GSF MTDE SPI")</f>
        <v>0</v>
      </c>
      <c r="F26" s="30">
        <f ca="1">[1]!CODA_browseDataValueByCode( "BAL-BSMMR", "CYR", "E1 NAME", "80550", "E2 NAME", "LN011!LN013!LN014!LN019!LN020!LN021!LN022!LN023!LN030", "CO", "GSF MTDE SPI")</f>
        <v>-50807.71</v>
      </c>
      <c r="G26" s="30">
        <f ca="1">[1]!CODA_browseDataValueByCode( "BAL-BSMMR", "CYR", "E1 NAME", "80570", "CO", "GSF MTDE SPI")</f>
        <v>-1030230.4</v>
      </c>
      <c r="H26" s="30">
        <f ca="1">[1]!CODA_browseDataValueByCode( "BAL-BSMMR", "CYR", "E1 NAME", "81130", "CO", "GSF MTDE SPI")</f>
        <v>0</v>
      </c>
      <c r="I26" s="30">
        <f ca="1">-[1]!CODA_browseDataValueByCode( "BAL-BSMMR", "CYR", "E1 NAME", "86150", "CO", "GSF MTDE SPI")</f>
        <v>0</v>
      </c>
      <c r="J26" s="30">
        <f ca="1">-[1]!CODA_browseDataValueByCode( "BAL-BSMMR", "CYR", "E1 NAME", "86155", "CO", "GSF MTDE SPI")</f>
        <v>0</v>
      </c>
      <c r="K26" s="3"/>
      <c r="L26" s="2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</row>
    <row r="27" spans="1:63" x14ac:dyDescent="0.25">
      <c r="A27" s="3">
        <v>14</v>
      </c>
      <c r="B27" s="3" t="s">
        <v>17</v>
      </c>
      <c r="C27" s="27">
        <f ca="1">[1]!CODA_browseDataValueByCode( "BAL-BSMMR", "CYR", "E1 NAME", "65030", "CO", "GSF BCF SPI")</f>
        <v>2271252.2000000002</v>
      </c>
      <c r="D27" s="27">
        <f ca="1">[1]!CODA_browseDataValueByCode( "BAL-BSMMR", "CYR", "E1 NAME", "83130", "CO", "GSF BCF SPI")</f>
        <v>0</v>
      </c>
      <c r="E27" s="27">
        <f ca="1">[1]!CODA_browseDataValueByCode( "BAL-BSMMR", "CYR", "E1 NAME", "83100", "CO", "GSF BCF SPI")</f>
        <v>0</v>
      </c>
      <c r="F27" s="27">
        <f ca="1">[1]!CODA_browseDataValueByCode( "BAL-BSMMR", "CYR", "E1 NAME", "80550", "E2 NAME", "LN011!LN013!LN014!LN019!LN020!LN021!LN022!LN023!LN030", "CO", "GSF BCF SPI")</f>
        <v>-293081.34000000003</v>
      </c>
      <c r="G27" s="27">
        <f ca="1">[1]!CODA_browseDataValueByCode( "BAL-BSMMR", "CYR", "E1 NAME", "80570", "CO", "GSF BCF SPI")</f>
        <v>0</v>
      </c>
      <c r="H27" s="27">
        <f ca="1">[1]!CODA_browseDataValueByCode( "BAL-BSMMR", "CYR", "E1 NAME", "81130", "CO", "GSF BCF SPI")</f>
        <v>0</v>
      </c>
      <c r="I27" s="27">
        <f ca="1">-[1]!CODA_browseDataValueByCode( "BAL-BSMMR", "CYR", "E1 NAME", "86150", "CO", "GSF BCF SPI")</f>
        <v>-68654.27</v>
      </c>
      <c r="J27" s="27">
        <f ca="1">-[1]!CODA_browseDataValueByCode( "BAL-BSMMR", "CYR", "E1 NAME", "86155", "CO", "GSF BCF SPI")</f>
        <v>0</v>
      </c>
      <c r="K27" s="3"/>
      <c r="L27" s="2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r="28" spans="1:63" x14ac:dyDescent="0.25">
      <c r="A28" s="3"/>
      <c r="B28" s="3"/>
      <c r="C28" s="29">
        <f ca="1">SUM(C23:C27)</f>
        <v>1701892735.5700002</v>
      </c>
      <c r="D28" s="29">
        <f t="shared" ref="D28:J28" ca="1" si="4">SUM(D23:D27)</f>
        <v>-8402856.3399999999</v>
      </c>
      <c r="E28" s="29">
        <f t="shared" ca="1" si="4"/>
        <v>-2857051.24</v>
      </c>
      <c r="F28" s="29">
        <f t="shared" ca="1" si="4"/>
        <v>-339052775.58999991</v>
      </c>
      <c r="G28" s="29">
        <f t="shared" ca="1" si="4"/>
        <v>-90167391.88000001</v>
      </c>
      <c r="H28" s="29">
        <f t="shared" ca="1" si="4"/>
        <v>-114197000</v>
      </c>
      <c r="I28" s="29">
        <f t="shared" ca="1" si="4"/>
        <v>-30857236.77</v>
      </c>
      <c r="J28" s="29">
        <f t="shared" ca="1" si="4"/>
        <v>884853.90999999992</v>
      </c>
    </row>
    <row r="29" spans="1:63" x14ac:dyDescent="0.25">
      <c r="A29" s="3"/>
      <c r="B29" s="3"/>
      <c r="C29" s="29"/>
      <c r="D29" s="29"/>
      <c r="E29" s="29"/>
      <c r="F29" s="29"/>
      <c r="G29" s="29"/>
      <c r="H29" s="29"/>
      <c r="I29" s="29"/>
      <c r="J29" s="29"/>
    </row>
    <row r="30" spans="1:63" ht="15.75" thickBot="1" x14ac:dyDescent="0.3">
      <c r="A30" s="3"/>
      <c r="B30" s="36" t="s">
        <v>7</v>
      </c>
      <c r="C30" s="38">
        <f ca="1">C21+C28</f>
        <v>1825116986.5000002</v>
      </c>
      <c r="D30" s="38">
        <f t="shared" ref="D30:J30" ca="1" si="5">D21+D28</f>
        <v>-31913723.550000001</v>
      </c>
      <c r="E30" s="38">
        <f t="shared" ca="1" si="5"/>
        <v>-3245958.0700000003</v>
      </c>
      <c r="F30" s="38">
        <f t="shared" ca="1" si="5"/>
        <v>-339052847.74999994</v>
      </c>
      <c r="G30" s="38">
        <f t="shared" ca="1" si="5"/>
        <v>-90167391.88000001</v>
      </c>
      <c r="H30" s="38">
        <f t="shared" ca="1" si="5"/>
        <v>-150557000</v>
      </c>
      <c r="I30" s="38">
        <f t="shared" ca="1" si="5"/>
        <v>-34932226.280000001</v>
      </c>
      <c r="J30" s="38">
        <f t="shared" ca="1" si="5"/>
        <v>884853.7699999999</v>
      </c>
      <c r="K30" s="3"/>
      <c r="L30" s="3"/>
      <c r="M30" s="3"/>
      <c r="N30" s="3"/>
      <c r="O30" s="3"/>
      <c r="P30" s="3"/>
      <c r="Q30" s="4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spans="1:63" ht="15.75" thickTop="1" x14ac:dyDescent="0.25">
      <c r="A31" s="3"/>
      <c r="B31" s="45"/>
      <c r="C31" s="39"/>
      <c r="D31" s="39"/>
      <c r="E31" s="39"/>
      <c r="F31" s="39"/>
      <c r="G31" s="39"/>
      <c r="H31" s="39"/>
      <c r="I31" s="39"/>
      <c r="J31" s="39"/>
      <c r="K31" s="3"/>
      <c r="L31" s="3"/>
      <c r="M31" s="3"/>
      <c r="N31" s="3"/>
      <c r="O31" s="3"/>
      <c r="P31" s="3"/>
      <c r="Q31" s="4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</row>
    <row r="32" spans="1:63" x14ac:dyDescent="0.25">
      <c r="A32" s="3">
        <v>15</v>
      </c>
      <c r="B32" s="3" t="s">
        <v>18</v>
      </c>
      <c r="C32" s="42">
        <f ca="1">[1]!CODA_browseDataValueByCode( "BAL-BSMMR", "CYR", "E1 NAME", "65030", "CO", "BIOTECH")</f>
        <v>17773748.760000002</v>
      </c>
      <c r="D32" s="30">
        <f ca="1">[1]!CODA_browseDataValueByCode( "BAL-BSMMR", "CYR", "E1 NAME", "83130", "CO", "BIOTECH")</f>
        <v>-704671.81</v>
      </c>
      <c r="E32" s="30">
        <f ca="1">[1]!CODA_browseDataValueByCode( "BAL-BSMMR", "CYR", "E1 NAME", "83100", "CO", "BIOTECH")</f>
        <v>-40540.089999999997</v>
      </c>
      <c r="F32" s="30">
        <f ca="1">[1]!CODA_browseDataValueByCode( "BAL-BSMMR", "CYR", "E1 NAME", "80550", "CO", "BIOTECH")</f>
        <v>0</v>
      </c>
      <c r="G32" s="46">
        <f ca="1">[1]!CODA_browseDataValueByCode( "BAL-BSMMR", "CYR", "E1 NAME", "80570", "CO", "BIOTECH")</f>
        <v>0</v>
      </c>
      <c r="H32" s="42">
        <f ca="1">[1]!CODA_browseDataValueByCode( "BAL-BSMMR", "CYR", "E1 NAME", "81130", "CO", "BIOTECH")</f>
        <v>0</v>
      </c>
      <c r="I32" s="27">
        <f ca="1">-[1]!CODA_browseDataValueByCode( "BAL-BSMMR", "CYR", "E1 NAME", "86150", "CO", "BIOTECH")</f>
        <v>-415036.47</v>
      </c>
      <c r="J32" s="27">
        <f ca="1">-[1]!CODA_browseDataValueByCode( "BAL-BSMMR", "CYR", "E1 NAME", "86155", "CO", "BIOTECH")</f>
        <v>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1:63" ht="15.75" thickBot="1" x14ac:dyDescent="0.3">
      <c r="A33" s="3"/>
      <c r="B33" s="36" t="s">
        <v>19</v>
      </c>
      <c r="C33" s="47">
        <f t="shared" ref="C33:J33" ca="1" si="6">C14+C30+C32</f>
        <v>2041901820.6300004</v>
      </c>
      <c r="D33" s="47">
        <f t="shared" ca="1" si="6"/>
        <v>-83460477.640000001</v>
      </c>
      <c r="E33" s="47">
        <f t="shared" ca="1" si="6"/>
        <v>-11629877.17</v>
      </c>
      <c r="F33" s="47">
        <f t="shared" ca="1" si="6"/>
        <v>-349204266.91999996</v>
      </c>
      <c r="G33" s="47">
        <f t="shared" ca="1" si="6"/>
        <v>-93358896.440000013</v>
      </c>
      <c r="H33" s="47">
        <f t="shared" ca="1" si="6"/>
        <v>-182114700.5</v>
      </c>
      <c r="I33" s="48">
        <f t="shared" ca="1" si="6"/>
        <v>-36522207.18</v>
      </c>
      <c r="J33" s="48">
        <f t="shared" ca="1" si="6"/>
        <v>882701.69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</row>
    <row r="34" spans="1:63" ht="16.5" thickTop="1" x14ac:dyDescent="0.25">
      <c r="A34" s="1" t="str">
        <f>A1</f>
        <v>Loan reconciliation as at 31 August 2020</v>
      </c>
      <c r="B34" s="2"/>
      <c r="C34" s="3"/>
      <c r="D34" s="3"/>
      <c r="E34" s="3"/>
      <c r="F34" s="3"/>
      <c r="G34" s="4"/>
      <c r="H34" s="4"/>
      <c r="I34" s="5"/>
      <c r="J34" s="80" t="s">
        <v>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r="35" spans="1:63" ht="15.75" x14ac:dyDescent="0.25">
      <c r="A35" s="1"/>
      <c r="B35" s="2"/>
      <c r="C35" s="3"/>
      <c r="D35" s="3"/>
      <c r="E35" s="3"/>
      <c r="F35" s="3"/>
      <c r="G35" s="4"/>
      <c r="H35" s="4"/>
      <c r="I35" s="4"/>
      <c r="J35" s="8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</row>
    <row r="36" spans="1:63" ht="15.75" x14ac:dyDescent="0.25">
      <c r="A36" s="6"/>
      <c r="B36" s="6"/>
      <c r="C36" s="7">
        <v>80430</v>
      </c>
      <c r="D36" s="7">
        <v>86120</v>
      </c>
      <c r="E36" s="7">
        <v>62245</v>
      </c>
      <c r="F36" s="7">
        <v>65050</v>
      </c>
      <c r="G36" s="7">
        <v>81160</v>
      </c>
      <c r="H36" s="7">
        <v>86110</v>
      </c>
      <c r="I36" s="7">
        <v>65040</v>
      </c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</row>
    <row r="37" spans="1:63" ht="60" x14ac:dyDescent="0.25">
      <c r="A37" s="10"/>
      <c r="B37" s="10"/>
      <c r="C37" s="49" t="s">
        <v>22</v>
      </c>
      <c r="D37" s="49" t="s">
        <v>34</v>
      </c>
      <c r="E37" s="12" t="s">
        <v>23</v>
      </c>
      <c r="F37" s="49" t="s">
        <v>20</v>
      </c>
      <c r="G37" s="49" t="s">
        <v>21</v>
      </c>
      <c r="H37" s="49" t="s">
        <v>35</v>
      </c>
      <c r="I37" s="49" t="s">
        <v>36</v>
      </c>
      <c r="J37" s="1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</row>
    <row r="38" spans="1:63" x14ac:dyDescent="0.25">
      <c r="A38" s="3"/>
      <c r="B38" s="3"/>
      <c r="C38" s="17"/>
      <c r="D38" s="18"/>
      <c r="E38" s="19"/>
      <c r="F38" s="50"/>
      <c r="G38" s="50"/>
      <c r="H38" s="50"/>
      <c r="I38" s="19"/>
      <c r="J38" s="2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spans="1:63" x14ac:dyDescent="0.25">
      <c r="A39" s="3">
        <v>1</v>
      </c>
      <c r="B39" s="3" t="s">
        <v>2</v>
      </c>
      <c r="C39" s="51">
        <f ca="1">[1]!CODA_browseDataValueByCode( "BAL-BSMMR", "CYR", "E1 NAME", "80430", "CO", "MIDF DFD COV")</f>
        <v>0</v>
      </c>
      <c r="D39" s="52">
        <f ca="1">[1]!CODA_browseDataValueByCode( "BAL-BSMMR", "CYR", "E1 NAME", "86120", "CO", "MIDF DFD COV")</f>
        <v>0</v>
      </c>
      <c r="E39" s="53">
        <f ca="1">[1]!CODA_browseDataValueByCode( "BAL-BSMMR", "CYR", "E1 NAME", "62245", "CO", "MIDF DFD COV")</f>
        <v>0</v>
      </c>
      <c r="F39" s="52">
        <f ca="1">[1]!CODA_browseDataValueByCode( "BAL-BSMMR", "CYR", "E1 NAME", "65050", "E2 NAME", "LN015!LN016!LN017!LN018", "CO", "MIDF DFD COV")</f>
        <v>156092.16</v>
      </c>
      <c r="G39" s="52">
        <f ca="1">[1]!CODA_browseDataValueByCode( "BAL-BSMMR", "CYR", "E1 NAME", "81160", "CO", "MIDF DFD COV")</f>
        <v>-9597.98</v>
      </c>
      <c r="H39" s="52">
        <f ca="1">[1]!CODA_browseDataValueByCode( "BAL-BSMMR", "CYR", "E1 NAME", "86110", "CO", "MIDF DFD COV")</f>
        <v>0</v>
      </c>
      <c r="I39" s="71">
        <f ca="1">[1]!CODA_browseDataValueByCode( "BAL-BSMMR", "CYR", "E1 NAME", "65040", "CO", "MIDF DFD COV")</f>
        <v>0</v>
      </c>
      <c r="J39" s="5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r="40" spans="1:63" x14ac:dyDescent="0.25">
      <c r="A40" s="3">
        <v>2</v>
      </c>
      <c r="B40" s="3" t="s">
        <v>4</v>
      </c>
      <c r="C40" s="54">
        <f ca="1">[1]!CODA_browseDataValueByCode( "BAL-BSMMR", "CYR", "E1 NAME", "80430", "CO", "MITI COV SLS")</f>
        <v>0</v>
      </c>
      <c r="D40" s="54">
        <f ca="1">[1]!CODA_browseDataValueByCode( "BAL-BSMMR", "CYR", "E1 NAME", "86120", "CO", "MITI COV SLS")</f>
        <v>0</v>
      </c>
      <c r="E40" s="55">
        <f ca="1">[1]!CODA_browseDataValueByCode( "BAL-BSMMR", "CYR", "E1 NAME", "62245", "CO", "MITI COV SLS")</f>
        <v>0</v>
      </c>
      <c r="F40" s="54">
        <f ca="1">[1]!CODA_browseDataValueByCode( "BAL-BSMMR", "CYR", "E1 NAME", "65050", "E2 NAME", "LN015!LN016!LN017!LN018", "CO", "MITI COV SLS")</f>
        <v>0</v>
      </c>
      <c r="G40" s="27">
        <f ca="1">[1]!CODA_browseDataValueByCode( "BAL-BSMMR", "CYR", "E1 NAME", "81160", "CO", "MITI COV SLS")</f>
        <v>-520001</v>
      </c>
      <c r="H40" s="54"/>
      <c r="I40" s="61"/>
      <c r="J40" s="5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spans="1:63" x14ac:dyDescent="0.25">
      <c r="A41" s="3"/>
      <c r="B41" s="3"/>
      <c r="C41" s="57">
        <f ca="1">SUM(C39:C40)</f>
        <v>0</v>
      </c>
      <c r="D41" s="57">
        <f t="shared" ref="D41:F41" ca="1" si="7">SUM(D39:D40)</f>
        <v>0</v>
      </c>
      <c r="E41" s="58">
        <f t="shared" ca="1" si="7"/>
        <v>0</v>
      </c>
      <c r="F41" s="57">
        <f t="shared" ca="1" si="7"/>
        <v>156092.16</v>
      </c>
      <c r="G41" s="57">
        <f t="shared" ref="G41" ca="1" si="8">SUM(G39:G40)</f>
        <v>-529598.98</v>
      </c>
      <c r="H41" s="57">
        <f t="shared" ref="H41:I41" ca="1" si="9">SUM(H39:H40)</f>
        <v>0</v>
      </c>
      <c r="I41" s="57">
        <f t="shared" ca="1" si="9"/>
        <v>0</v>
      </c>
      <c r="J41" s="5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spans="1:63" x14ac:dyDescent="0.25">
      <c r="B42" s="3"/>
      <c r="C42" s="21"/>
      <c r="D42" s="21"/>
      <c r="E42" s="17"/>
      <c r="F42" s="21"/>
      <c r="G42" s="21"/>
      <c r="H42" s="21"/>
      <c r="I42" s="21"/>
      <c r="J42" s="2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r="43" spans="1:63" x14ac:dyDescent="0.25">
      <c r="A43" s="3">
        <v>3</v>
      </c>
      <c r="B43" s="3" t="s">
        <v>5</v>
      </c>
      <c r="C43" s="52">
        <f ca="1">[1]!CODA_browseDataValueByCode( "BAL-BSMMR", "CYR", "E1 NAME", "80430", "CO", "MIDF DFD SPI")</f>
        <v>0</v>
      </c>
      <c r="D43" s="52">
        <f ca="1">[1]!CODA_browseDataValueByCode( "BAL-BSMMR", "CYR", "E1 NAME", "86120", "CO", "MIDF DFD SPI")</f>
        <v>0</v>
      </c>
      <c r="E43" s="51">
        <f ca="1">[1]!CODA_browseDataValueByCode( "BAL-BSMMR", "CYR", "E1 NAME", "62245", "CO", "MIDF DFD SPI")</f>
        <v>62905.1</v>
      </c>
      <c r="F43" s="52">
        <f ca="1">[1]!CODA_browseDataValueByCode( "BAL-BSMMR", "CYR", "E1 NAME", "65050", "E2 NAME", "LN015!LN016!LN017!LN018", "CO", "MIDF DFD SPI")</f>
        <v>0</v>
      </c>
      <c r="G43" s="52">
        <f ca="1">[1]!CODA_browseDataValueByCode( "BAL-BSMMR", "CYR", "E1 NAME", "81160", "CO", "MIDF DFD SPI")</f>
        <v>-27052.18</v>
      </c>
      <c r="H43" s="52">
        <f ca="1">[1]!CODA_browseDataValueByCode( "BAL-BSMMR", "CYR", "E1 NAME", "86110", "CO", "MIDF DFD SPI")</f>
        <v>0</v>
      </c>
      <c r="I43" s="52">
        <f ca="1">[1]!CODA_browseDataValueByCode( "BAL-BSMMR", "CYR", "E1 NAME", "65040", "CO", "MIDF DFD SPI")</f>
        <v>0</v>
      </c>
      <c r="J43" s="5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r="44" spans="1:63" x14ac:dyDescent="0.25">
      <c r="A44" s="3">
        <v>4</v>
      </c>
      <c r="B44" s="3" t="s">
        <v>6</v>
      </c>
      <c r="C44" s="54">
        <f ca="1">[1]!CODA_browseDataValueByCode( "BAL-BSMMR", "CYR", "E1 NAME", "80430", "CO", "MITI SPI SLS")</f>
        <v>618555</v>
      </c>
      <c r="D44" s="54">
        <f ca="1">[1]!CODA_browseDataValueByCode( "BAL-BSMMR", "CYR", "E1 NAME", "86120", "CO", "MITI SPI SLS")</f>
        <v>-226406.76</v>
      </c>
      <c r="E44" s="55">
        <f ca="1">[1]!CODA_browseDataValueByCode( "BAL-BSMMR", "CYR", "E1 NAME", "62245", "CO", "MITI SPI SLS")</f>
        <v>0</v>
      </c>
      <c r="F44" s="54">
        <f ca="1">[1]!CODA_browseDataValueByCode( "BAL-BSMMR", "CYR", "E1 NAME", "65050", "E2 NAME", "LN015!LN016!LN017!LN018", "CO", "MITI SPI SLS")</f>
        <v>0</v>
      </c>
      <c r="G44" s="54">
        <f ca="1">[1]!CODA_browseDataValueByCode( "BAL-BSMMR", "CYR", "E1 NAME", "81160", "CO", "MITI SPI SLS")</f>
        <v>-3297756.47</v>
      </c>
      <c r="H44" s="54">
        <f ca="1">[1]!CODA_browseDataValueByCode( "BAL-BSMMR", "CYR", "E1 NAME", "86110", "CO", "MITI SPI SLS")</f>
        <v>-14861.2</v>
      </c>
      <c r="I44" s="54">
        <f ca="1">[1]!CODA_browseDataValueByCode( "BAL-BSMMR", "CYR", "E1 NAME", "65040", "CO", "MITI SPI SLS")</f>
        <v>0</v>
      </c>
      <c r="J44" s="61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1:63" x14ac:dyDescent="0.25">
      <c r="A45" s="3"/>
      <c r="B45" s="3"/>
      <c r="C45" s="52">
        <f ca="1">SUM(C43:C44)</f>
        <v>618555</v>
      </c>
      <c r="D45" s="52">
        <f t="shared" ref="D45:F45" ca="1" si="10">SUM(D43:D44)</f>
        <v>-226406.76</v>
      </c>
      <c r="E45" s="51">
        <f t="shared" ca="1" si="10"/>
        <v>62905.1</v>
      </c>
      <c r="F45" s="52">
        <f t="shared" ca="1" si="10"/>
        <v>0</v>
      </c>
      <c r="G45" s="52">
        <f t="shared" ref="G45" ca="1" si="11">SUM(G43:G44)</f>
        <v>-3324808.6500000004</v>
      </c>
      <c r="H45" s="52">
        <f t="shared" ref="H45:I45" ca="1" si="12">SUM(H43:H44)</f>
        <v>-14861.2</v>
      </c>
      <c r="I45" s="52">
        <f t="shared" ca="1" si="12"/>
        <v>0</v>
      </c>
      <c r="J45" s="5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r="46" spans="1:63" x14ac:dyDescent="0.25">
      <c r="B46" s="3"/>
      <c r="C46" s="62"/>
      <c r="D46" s="63"/>
      <c r="E46" s="4"/>
      <c r="F46" s="21"/>
      <c r="G46" s="21"/>
      <c r="H46" s="21"/>
      <c r="I46" s="21"/>
      <c r="J46" s="6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7" spans="1:63" ht="15.75" thickBot="1" x14ac:dyDescent="0.3">
      <c r="A47" s="3"/>
      <c r="B47" s="36" t="s">
        <v>7</v>
      </c>
      <c r="C47" s="64">
        <f t="shared" ref="C47:F47" ca="1" si="13">C41+C45</f>
        <v>618555</v>
      </c>
      <c r="D47" s="65">
        <f t="shared" ca="1" si="13"/>
        <v>-226406.76</v>
      </c>
      <c r="E47" s="66">
        <f ca="1">E41+E45</f>
        <v>62905.1</v>
      </c>
      <c r="F47" s="65">
        <f t="shared" ca="1" si="13"/>
        <v>156092.16</v>
      </c>
      <c r="G47" s="65">
        <f t="shared" ref="G47" ca="1" si="14">G41+G45</f>
        <v>-3854407.6300000004</v>
      </c>
      <c r="H47" s="65">
        <f t="shared" ref="H47:I47" ca="1" si="15">H41+H45</f>
        <v>-14861.2</v>
      </c>
      <c r="I47" s="65">
        <f t="shared" ca="1" si="15"/>
        <v>0</v>
      </c>
      <c r="J47" s="6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</row>
    <row r="48" spans="1:63" ht="15.75" thickTop="1" x14ac:dyDescent="0.25">
      <c r="A48" s="3"/>
      <c r="B48" s="3"/>
      <c r="C48" s="68"/>
      <c r="D48" s="68"/>
      <c r="E48" s="69"/>
      <c r="F48" s="68"/>
      <c r="G48" s="68"/>
      <c r="H48" s="68"/>
      <c r="I48" s="68"/>
      <c r="J48" s="7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</row>
    <row r="49" spans="1:63" x14ac:dyDescent="0.25">
      <c r="A49" s="3">
        <v>5</v>
      </c>
      <c r="B49" s="3" t="s">
        <v>8</v>
      </c>
      <c r="C49" s="52">
        <f ca="1">[1]!CODA_browseDataValueByCode( "BAL-BSMMR", "CYR", "E1 NAME", "80430", "CO", "GSF MITI COV")</f>
        <v>0</v>
      </c>
      <c r="D49" s="52">
        <f ca="1">[1]!CODA_browseDataValueByCode( "BAL-BSMMR", "CYR", "E1 NAME", "86120", "CO", "GSF MITI COV")</f>
        <v>0</v>
      </c>
      <c r="E49" s="60">
        <f ca="1">[1]!CODA_browseDataValueByCode( "BAL-BSMMR", "CYR", "E1 NAME", "62245", "CO", "GSF MITI COV")</f>
        <v>32241.51</v>
      </c>
      <c r="F49" s="52">
        <f ca="1">[1]!CODA_browseDataValueByCode( "BAL-BSMMR", "CYR", "E1 NAME", "65050", "E2 NAME", "LN015!LN016!LN017!LN018", "CO", "GSF MITI COV")</f>
        <v>0</v>
      </c>
      <c r="G49" s="52">
        <f ca="1">[1]!CODA_browseDataValueByCode( "BAL-BSMMR", "CYR", "E1 NAME", "81160", "CO", "GSF MITI COV")</f>
        <v>-59000</v>
      </c>
      <c r="H49" s="52">
        <f ca="1">[1]!CODA_browseDataValueByCode( "BAL-BSMMR", "CYR", "E1 NAME", "86110", "CO", "GSF MITI COV")</f>
        <v>0</v>
      </c>
      <c r="I49" s="52">
        <f ca="1">[1]!CODA_browseDataValueByCode( "BAL-BSMMR", "CYR", "E1 NAME", "65040", "CO", "GSF MITI COV")</f>
        <v>0</v>
      </c>
      <c r="J49" s="5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r="50" spans="1:63" x14ac:dyDescent="0.25">
      <c r="A50" s="3">
        <v>6</v>
      </c>
      <c r="B50" s="3" t="s">
        <v>9</v>
      </c>
      <c r="C50" s="51">
        <f ca="1">[1]!CODA_browseDataValueByCode( "BAL-BSMMR", "CYR", "E1 NAME", "80430", "CO", "GSF MIDA COV")</f>
        <v>0</v>
      </c>
      <c r="D50" s="52">
        <f ca="1">[1]!CODA_browseDataValueByCode( "BAL-BSMMR", "CYR", "E1 NAME", "86120", "CO", "GSF MIDA COV")</f>
        <v>0</v>
      </c>
      <c r="E50" s="60">
        <f ca="1">[1]!CODA_browseDataValueByCode( "BAL-BSMMR", "CYR", "E1 NAME", "62245", "CO", "GSF MIDA COV")</f>
        <v>0</v>
      </c>
      <c r="F50" s="52">
        <f ca="1">[1]!CODA_browseDataValueByCode( "BAL-BSMMR", "CYR", "E1 NAME", "65050", "E2 NAME", "LN015!LN016!LN017!LN018", "CO", "GSF MIDA COV")</f>
        <v>0</v>
      </c>
      <c r="G50" s="52">
        <f ca="1">[1]!CODA_browseDataValueByCode( "BAL-BSMMR", "CYR", "E1 NAME", "81160", "CO", "GSF MIDA COV")</f>
        <v>0</v>
      </c>
      <c r="H50" s="52">
        <f ca="1">[1]!CODA_browseDataValueByCode( "BAL-BSMMR", "CYR", "E1 NAME", "86110", "CO", "GSF MIDA COV")</f>
        <v>-960000</v>
      </c>
      <c r="I50" s="52">
        <f ca="1">[1]!CODA_browseDataValueByCode( "BAL-BSMMR", "CYR", "E1 NAME", "65040", "CO", "GSF MIDA COV")</f>
        <v>0</v>
      </c>
      <c r="J50" s="5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</row>
    <row r="51" spans="1:63" x14ac:dyDescent="0.25">
      <c r="A51" s="3">
        <v>7</v>
      </c>
      <c r="B51" s="78" t="s">
        <v>10</v>
      </c>
      <c r="C51" s="51">
        <f ca="1">[1]!CODA_browseDataValueByCode( "BAL-BSMMR", "CYR", "E1 NAME", "80430", "CO", "GSF SME COV")</f>
        <v>1000.64</v>
      </c>
      <c r="D51" s="52">
        <f ca="1">[1]!CODA_browseDataValueByCode( "BAL-BSMMR", "CYR", "E1 NAME", "86120", "CO", "GSF SME COV")</f>
        <v>-4305.3500000000004</v>
      </c>
      <c r="E51" s="53">
        <f ca="1">[1]!CODA_browseDataValueByCode( "BAL-BSMMR", "CYR", "E1 NAME", "62245", "CO", "GSF SME COV")</f>
        <v>-63581.7</v>
      </c>
      <c r="F51" s="52">
        <f ca="1">[1]!CODA_browseDataValueByCode( "BAL-BSMMR", "CYR", "E1 NAME", "65050", "E2 NAME", "LN015!LN016!LN017!LN018", "CO", "GSF SME COV")</f>
        <v>0</v>
      </c>
      <c r="G51" s="52">
        <f ca="1">[1]!CODA_browseDataValueByCode( "BAL-BSMMR", "CYR", "E1 NAME", "81160", "CO", "GSF SME COV")</f>
        <v>-2251000</v>
      </c>
      <c r="H51" s="52">
        <f ca="1">[1]!CODA_browseDataValueByCode( "BAL-BSMMR", "CYR", "E1 NAME", "86110", "CO", "GSF SME COV")</f>
        <v>0</v>
      </c>
      <c r="I51" s="52">
        <f ca="1">[1]!CODA_browseDataValueByCode( "BAL-BSMMR", "CYR", "E1 NAME", "65040", "CO", "GSF SME COV")</f>
        <v>0</v>
      </c>
      <c r="J51" s="5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  <row r="52" spans="1:63" x14ac:dyDescent="0.25">
      <c r="A52" s="3">
        <v>8</v>
      </c>
      <c r="B52" s="3" t="s">
        <v>11</v>
      </c>
      <c r="C52" s="52">
        <f ca="1">[1]!CODA_browseDataValueByCode( "BAL-BSMMR", "CYR", "E1 NAME", "80430", "CO", "GSF MTDE COV")</f>
        <v>0</v>
      </c>
      <c r="D52" s="52">
        <f ca="1">[1]!CODA_browseDataValueByCode( "BAL-BSMMR", "CYR", "E1 NAME", "86120", "CO", "GSF MTDE COV")</f>
        <v>0</v>
      </c>
      <c r="E52" s="51">
        <f ca="1">[1]!CODA_browseDataValueByCode( "BAL-BSMMR", "CYR", "E1 NAME", "62245", "CO", "GSF MTDE COV")</f>
        <v>0</v>
      </c>
      <c r="F52" s="52">
        <f ca="1">[1]!CODA_browseDataValueByCode( "BAL-BSMMR", "CYR", "E1 NAME", "65050", "E2 NAME", "LN015!LN016!LN017!LN018", "CO", "GSF MTDE COV")</f>
        <v>0</v>
      </c>
      <c r="G52" s="52">
        <f ca="1">[1]!CODA_browseDataValueByCode( "BAL-BSMMR", "CYR", "E1 NAME", "81160", "CO", "GSF MTDE COV")</f>
        <v>0</v>
      </c>
      <c r="H52" s="52">
        <f ca="1">[1]!CODA_browseDataValueByCode( "BAL-BSMMR", "CYR", "E1 NAME", "86110", "CO", "GSF MTDE COV")</f>
        <v>0</v>
      </c>
      <c r="I52" s="52">
        <f ca="1">[1]!CODA_browseDataValueByCode( "BAL-BSMMR", "CYR", "E1 NAME", "65040", "CO", "GSF MTDE COV")</f>
        <v>0</v>
      </c>
      <c r="J52" s="5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r="53" spans="1:63" x14ac:dyDescent="0.25">
      <c r="A53" s="3">
        <v>9</v>
      </c>
      <c r="B53" s="3" t="s">
        <v>12</v>
      </c>
      <c r="C53" s="54">
        <f ca="1">[1]!CODA_browseDataValueByCode( "BAL-BSMMR", "CYR", "E1 NAME", "80430", "CO", "GSF MGTC COV")</f>
        <v>0</v>
      </c>
      <c r="D53" s="54">
        <f ca="1">[1]!CODA_browseDataValueByCode( "BAL-BSMMR", "CYR", "E1 NAME", "86120", "CO", "GSF MGTC COV")</f>
        <v>0</v>
      </c>
      <c r="E53" s="55">
        <f ca="1">[1]!CODA_browseDataValueByCode( "BAL-BSMMR", "CYR", "E1 NAME", "62245", "CO", "GSF MGTC COV")</f>
        <v>0</v>
      </c>
      <c r="F53" s="54">
        <f ca="1">[1]!CODA_browseDataValueByCode( "BAL-BSMMR", "CYR", "E1 NAME", "65050", "E2 NAME", "LN015!LN016!LN017!LN018", "CO", "GSF MGTC COV")</f>
        <v>0</v>
      </c>
      <c r="G53" s="54">
        <f ca="1">[1]!CODA_browseDataValueByCode( "BAL-BSMMR", "CYR", "E1 NAME", "81160", "CO", "GSF MGTC COV")</f>
        <v>0</v>
      </c>
      <c r="H53" s="54">
        <f ca="1">[1]!CODA_browseDataValueByCode( "BAL-BSMMR", "CYR", "E1 NAME", "86110", "CO", "GSF MGTC COV")</f>
        <v>0</v>
      </c>
      <c r="I53" s="54">
        <f ca="1">[1]!CODA_browseDataValueByCode( "BAL-BSMMR", "CYR", "E1 NAME", "65040", "CO", "GSF MGTC COV")</f>
        <v>0</v>
      </c>
      <c r="J53" s="5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</row>
    <row r="54" spans="1:63" x14ac:dyDescent="0.25">
      <c r="A54" s="3"/>
      <c r="B54" s="3"/>
      <c r="C54" s="72">
        <f ca="1">SUM(C49:C53)</f>
        <v>1000.64</v>
      </c>
      <c r="D54" s="72">
        <f t="shared" ref="D54:F54" ca="1" si="16">SUM(D49:D53)</f>
        <v>-4305.3500000000004</v>
      </c>
      <c r="E54" s="73">
        <f t="shared" ca="1" si="16"/>
        <v>-31340.19</v>
      </c>
      <c r="F54" s="72">
        <f t="shared" ca="1" si="16"/>
        <v>0</v>
      </c>
      <c r="G54" s="72">
        <f t="shared" ref="G54" ca="1" si="17">SUM(G49:G53)</f>
        <v>-2310000</v>
      </c>
      <c r="H54" s="72">
        <f t="shared" ref="H54:I54" ca="1" si="18">SUM(H49:H53)</f>
        <v>-960000</v>
      </c>
      <c r="I54" s="72">
        <f t="shared" ca="1" si="18"/>
        <v>0</v>
      </c>
      <c r="J54" s="72"/>
      <c r="K54" s="3"/>
      <c r="L54" s="79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</row>
    <row r="55" spans="1:63" x14ac:dyDescent="0.25">
      <c r="A55" s="3"/>
      <c r="B55" s="3"/>
      <c r="C55" s="21"/>
      <c r="D55" s="21"/>
      <c r="E55" s="17"/>
      <c r="F55" s="21"/>
      <c r="G55" s="21"/>
      <c r="H55" s="21"/>
      <c r="I55" s="21"/>
      <c r="J55" s="21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</row>
    <row r="56" spans="1:63" x14ac:dyDescent="0.25">
      <c r="A56" s="3">
        <v>10</v>
      </c>
      <c r="B56" s="78" t="s">
        <v>13</v>
      </c>
      <c r="C56" s="52">
        <f ca="1">[1]!CODA_browseDataValueByCode( "BAL-BSMMR", "CYR", "E1 NAME", "80430", "CO", "GSF MITI SPI")</f>
        <v>11098.14</v>
      </c>
      <c r="D56" s="52">
        <f ca="1">[1]!CODA_browseDataValueByCode( "BAL-BSMMR", "CYR", "E1 NAME", "86120", "CO", "GSF MITI SPI")</f>
        <v>-2730340.23</v>
      </c>
      <c r="E56" s="51">
        <f ca="1">[1]!CODA_browseDataValueByCode( "BAL-BSMMR", "CYR", "E1 NAME", "62245", "CO", "GSF MITI SPI")</f>
        <v>0</v>
      </c>
      <c r="F56" s="52">
        <f ca="1">[1]!CODA_browseDataValueByCode( "BAL-BSMMR", "CYR", "E1 NAME", "65050", "E2 NAME", "LN015!LN016!LN017!LN018", "CO", "GSF MITI SPI")</f>
        <v>0</v>
      </c>
      <c r="G56" s="52">
        <f ca="1">[1]!CODA_browseDataValueByCode( "BAL-BSMMR", "CYR", "E1 NAME", "81160", "CO", "GSF MITI SPI")</f>
        <v>-2528000</v>
      </c>
      <c r="H56" s="52">
        <f ca="1">[1]!CODA_browseDataValueByCode( "BAL-BSMMR", "CYR", "E1 NAME", "86110", "CO", "GSF MITI SPI")</f>
        <v>-53603.57</v>
      </c>
      <c r="I56" s="52">
        <f ca="1">[1]!CODA_browseDataValueByCode( "BAL-BSMMR", "CYR", "E1 NAME", "65040", "CO", "GSF MITI SPI")</f>
        <v>0</v>
      </c>
      <c r="J56" s="5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r="57" spans="1:63" x14ac:dyDescent="0.25">
      <c r="A57" s="3">
        <v>11</v>
      </c>
      <c r="B57" s="3" t="s">
        <v>14</v>
      </c>
      <c r="C57" s="52">
        <f ca="1">[1]!CODA_browseDataValueByCode( "BAL-BSMMR", "CYR", "E1 NAME", "80430", "CO", "GSF MIDA SPI")</f>
        <v>0</v>
      </c>
      <c r="D57" s="52">
        <f ca="1">[1]!CODA_browseDataValueByCode( "BAL-BSMMR", "CYR", "E1 NAME", "86120", "CO", "GSF MIDA SPI")</f>
        <v>-200693.33</v>
      </c>
      <c r="E57" s="51">
        <f ca="1">[1]!CODA_browseDataValueByCode( "BAL-BSMMR", "CYR", "E1 NAME", "62245", "CO", "GSF MIDA SPI")</f>
        <v>0</v>
      </c>
      <c r="F57" s="52">
        <f ca="1">[1]!CODA_browseDataValueByCode( "BAL-BSMMR", "CYR", "E1 NAME", "65050", "E2 NAME", "LN015!LN016!LN017!LN018", "CO", "GSF MIDA SPI")</f>
        <v>0</v>
      </c>
      <c r="G57" s="52">
        <f ca="1">[1]!CODA_browseDataValueByCode( "BAL-BSMMR", "CYR", "E1 NAME", "81160", "CO", "GSF MIDA SPI")</f>
        <v>-117000</v>
      </c>
      <c r="H57" s="52">
        <f ca="1">[1]!CODA_browseDataValueByCode( "BAL-BSMMR", "CYR", "E1 NAME", "86110", "CO", "GSF MIDA SPI")</f>
        <v>-182291</v>
      </c>
      <c r="I57" s="52">
        <f ca="1">[1]!CODA_browseDataValueByCode( "BAL-BSMMR", "CYR", "E1 NAME", "65040", "CO", "GSF MIDA SPI")</f>
        <v>0</v>
      </c>
      <c r="J57" s="5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</row>
    <row r="58" spans="1:63" x14ac:dyDescent="0.25">
      <c r="A58" s="3">
        <v>12</v>
      </c>
      <c r="B58" s="3" t="s">
        <v>15</v>
      </c>
      <c r="C58" s="52">
        <f ca="1">[1]!CODA_browseDataValueByCode( "BAL-BSMMR", "CYR", "E1 NAME", "80430", "CO", "GSF SME SPI")</f>
        <v>941332.65</v>
      </c>
      <c r="D58" s="52">
        <f ca="1">[1]!CODA_browseDataValueByCode( "BAL-BSMMR", "CYR", "E1 NAME", "86120", "CO", "GSF SME SPI")</f>
        <v>-1373489.09</v>
      </c>
      <c r="E58" s="51">
        <f ca="1">[1]!CODA_browseDataValueByCode( "BAL-BSMMR", "CYR", "E1 NAME", "62245", "E2 NAME", "BSTRD01", "CO", "GSF SME SPI")</f>
        <v>212920.4</v>
      </c>
      <c r="F58" s="52">
        <f ca="1">[1]!CODA_browseDataValueByCode( "BAL-BSMMR", "CYR", "E1 NAME", "65050", "E2 NAME", "LN015!LN016!LN017!LN018", "CO", "GSF SME SPI")</f>
        <v>0</v>
      </c>
      <c r="G58" s="52">
        <f ca="1">[1]!CODA_browseDataValueByCode( "BAL-BSMMR", "CYR", "E1 NAME", "81160", "CO", "GSF SME SPI")</f>
        <v>-6451000</v>
      </c>
      <c r="H58" s="52">
        <f ca="1">[1]!CODA_browseDataValueByCode( "BAL-BSMMR", "CYR", "E1 NAME", "86110", "CO", "GSF SME SPI")</f>
        <v>-1579481.97</v>
      </c>
      <c r="I58" s="52">
        <f ca="1">[1]!CODA_browseDataValueByCode( "BAL-BSMMR", "CYR", "E1 NAME", "65040", "CO", "GSF SME SPI")</f>
        <v>0</v>
      </c>
      <c r="J58" s="5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</row>
    <row r="59" spans="1:63" x14ac:dyDescent="0.25">
      <c r="A59" s="3">
        <v>13</v>
      </c>
      <c r="B59" s="3" t="s">
        <v>16</v>
      </c>
      <c r="C59" s="52">
        <f ca="1">[1]!CODA_browseDataValueByCode( "BAL-BSMMR", "CYR", "E1 NAME", "80430", "CO", "GSF MTDE SPI")</f>
        <v>0</v>
      </c>
      <c r="D59" s="52">
        <f ca="1">[1]!CODA_browseDataValueByCode( "BAL-BSMMR", "CYR", "E1 NAME", "86120", "CO", "GSF MTDE SPI")</f>
        <v>0</v>
      </c>
      <c r="E59" s="51">
        <f ca="1">[1]!CODA_browseDataValueByCode( "BAL-BSMMR", "CYR", "E1 NAME", "62245", "CO", "GSF MTDE SPI")</f>
        <v>0</v>
      </c>
      <c r="F59" s="52">
        <f ca="1">[1]!CODA_browseDataValueByCode( "BAL-BSMMR", "CYR", "E1 NAME", "65050", "E2 NAME", "LN015!LN016!LN017!LN018", "CO", "GSF MTDE SPI")</f>
        <v>0</v>
      </c>
      <c r="G59" s="52">
        <f ca="1">[1]!CODA_browseDataValueByCode( "BAL-BSMMR", "CYR", "E1 NAME", "81160", "CO", "GSF MTDE SPI")</f>
        <v>0</v>
      </c>
      <c r="H59" s="52">
        <f ca="1">[1]!CODA_browseDataValueByCode( "BAL-BSMMR", "CYR", "E1 NAME", "86110", "CO", "GSF MTDE SPI")</f>
        <v>0</v>
      </c>
      <c r="I59" s="52">
        <f ca="1">[1]!CODA_browseDataValueByCode( "BAL-BSMMR", "CYR", "E1 NAME", "65040", "CO", "GSF MTDE SPI")</f>
        <v>0</v>
      </c>
      <c r="J59" s="5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</row>
    <row r="60" spans="1:63" x14ac:dyDescent="0.25">
      <c r="A60" s="3">
        <v>14</v>
      </c>
      <c r="B60" s="3" t="s">
        <v>17</v>
      </c>
      <c r="C60" s="54">
        <f ca="1">[1]!CODA_browseDataValueByCode( "BAL-BSMMR", "CYR", "E1 NAME", "80430", "CO", "GSF BCF SPI")</f>
        <v>0</v>
      </c>
      <c r="D60" s="54">
        <f ca="1">[1]!CODA_browseDataValueByCode( "BAL-BSMMR", "CYR", "E1 NAME", "86120", "CO", "GSF BCF SPI")</f>
        <v>0</v>
      </c>
      <c r="E60" s="55">
        <f ca="1">[1]!CODA_browseDataValueByCode( "BAL-BSMMR", "CYR", "E1 NAME", "62245", "CO", "GSF BCF SPI")</f>
        <v>0</v>
      </c>
      <c r="F60" s="54">
        <f ca="1">[1]!CODA_browseDataValueByCode( "BAL-BSMMR", "CYR", "E1 NAME", "65050", "E2 NAME", "LN015!LN016!LN017!LN018", "CO", "GSF BCF SPI")</f>
        <v>0</v>
      </c>
      <c r="G60" s="54">
        <f ca="1">[1]!CODA_browseDataValueByCode( "BAL-BSMMR", "CYR", "E1 NAME", "81160", "CO", "GSF BCF SPI")</f>
        <v>0</v>
      </c>
      <c r="H60" s="54">
        <f ca="1">[1]!CODA_browseDataValueByCode( "BAL-BSMMR", "CYR", "E1 NAME", "86110", "CO", "GSF BCF SPI")</f>
        <v>0</v>
      </c>
      <c r="I60" s="54">
        <f ca="1">[1]!CODA_browseDataValueByCode( "BAL-BSMMR", "CYR", "E1 NAME", "65040", "CO", "GSF BCF SPI")</f>
        <v>0</v>
      </c>
      <c r="J60" s="54"/>
      <c r="K60" s="3"/>
      <c r="L60" s="79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</row>
    <row r="61" spans="1:63" x14ac:dyDescent="0.25">
      <c r="A61" s="3"/>
      <c r="B61" s="3"/>
      <c r="C61" s="72">
        <f ca="1">SUM(C56:C60)</f>
        <v>952430.79</v>
      </c>
      <c r="D61" s="72">
        <f t="shared" ref="D61:F61" ca="1" si="19">SUM(D56:D60)</f>
        <v>-4304522.6500000004</v>
      </c>
      <c r="E61" s="73">
        <f t="shared" ca="1" si="19"/>
        <v>212920.4</v>
      </c>
      <c r="F61" s="72">
        <f t="shared" ca="1" si="19"/>
        <v>0</v>
      </c>
      <c r="G61" s="72">
        <f t="shared" ref="G61" ca="1" si="20">SUM(G56:G60)</f>
        <v>-9096000</v>
      </c>
      <c r="H61" s="72">
        <f t="shared" ref="H61:I61" ca="1" si="21">SUM(H56:H60)</f>
        <v>-1815376.54</v>
      </c>
      <c r="I61" s="72">
        <f t="shared" ca="1" si="21"/>
        <v>0</v>
      </c>
      <c r="J61" s="7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</row>
    <row r="62" spans="1:63" x14ac:dyDescent="0.25">
      <c r="A62" s="3"/>
      <c r="B62" s="3"/>
      <c r="C62" s="21"/>
      <c r="D62" s="21"/>
      <c r="E62" s="17"/>
      <c r="F62" s="21"/>
      <c r="G62" s="21"/>
      <c r="H62" s="21"/>
      <c r="I62" s="21"/>
      <c r="J62" s="2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</row>
    <row r="63" spans="1:63" ht="15.75" thickBot="1" x14ac:dyDescent="0.3">
      <c r="A63" s="3"/>
      <c r="B63" s="36" t="s">
        <v>7</v>
      </c>
      <c r="C63" s="65">
        <f ca="1">C54+C61</f>
        <v>953431.43</v>
      </c>
      <c r="D63" s="65">
        <f t="shared" ref="D63:F63" ca="1" si="22">D54+D61</f>
        <v>-4308828</v>
      </c>
      <c r="E63" s="66">
        <f t="shared" ca="1" si="22"/>
        <v>181580.21</v>
      </c>
      <c r="F63" s="65">
        <f t="shared" ca="1" si="22"/>
        <v>0</v>
      </c>
      <c r="G63" s="65">
        <f t="shared" ref="G63" ca="1" si="23">G54+G61</f>
        <v>-11406000</v>
      </c>
      <c r="H63" s="65">
        <f t="shared" ref="H63:I63" ca="1" si="24">H54+H61</f>
        <v>-2775376.54</v>
      </c>
      <c r="I63" s="65">
        <f t="shared" ca="1" si="24"/>
        <v>0</v>
      </c>
      <c r="J63" s="65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</row>
    <row r="64" spans="1:63" ht="15.75" thickTop="1" x14ac:dyDescent="0.25">
      <c r="A64" s="3"/>
      <c r="B64" s="45"/>
      <c r="C64" s="68"/>
      <c r="D64" s="68"/>
      <c r="E64" s="75"/>
      <c r="F64" s="68"/>
      <c r="G64" s="68"/>
      <c r="H64" s="68"/>
      <c r="I64" s="68"/>
      <c r="J64" s="68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</row>
    <row r="65" spans="1:63" x14ac:dyDescent="0.25">
      <c r="A65" s="3">
        <v>15</v>
      </c>
      <c r="B65" s="3" t="s">
        <v>18</v>
      </c>
      <c r="C65" s="51">
        <f ca="1">[1]!CODA_browseDataValueByCode( "BAL-BSMMR", "CYR", "E1 NAME", "80430", "CO", "BIOTECH")</f>
        <v>0</v>
      </c>
      <c r="D65" s="52">
        <f ca="1">[1]!CODA_browseDataValueByCode( "BAL-BSMMR", "CYR", "E1 NAME", "86120", "CO", "BIOTECH")</f>
        <v>0</v>
      </c>
      <c r="E65" s="51">
        <f ca="1">[1]!CODA_browseDataValueByCode( "BAL-BSMMR", "CYR", "E1 NAME", "62245", "CO", "BIOTECH")</f>
        <v>0</v>
      </c>
      <c r="F65" s="52">
        <f ca="1">[1]!CODA_browseDataValueByCode( "BAL-BSMMR", "CYR", "E1 NAME", "65050", "E2 NAME", "LN015!LN016!LN017!LN018", "CO", "BIOTECH")</f>
        <v>0</v>
      </c>
      <c r="G65" s="52">
        <f ca="1">[1]!CODA_browseDataValueByCode( "BAL-BSMMR", "CYR", "E1 NAME", "81160", "CO", "BIOTECH")</f>
        <v>0</v>
      </c>
      <c r="H65" s="52">
        <f ca="1">[1]!CODA_browseDataValueByCode( "BAL-BSMMR", "CYR", "E1 NAME", "81160", "CO", "BIOTECH")</f>
        <v>0</v>
      </c>
      <c r="I65" s="52">
        <f ca="1">[1]!CODA_browseDataValueByCode( "BAL-BSMMR", "CYR", "E1 NAME", "65040", "CO", "BIOTECH")</f>
        <v>0</v>
      </c>
      <c r="J65" s="5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</row>
    <row r="66" spans="1:63" ht="15.75" thickBot="1" x14ac:dyDescent="0.3">
      <c r="A66" s="3"/>
      <c r="B66" s="36" t="s">
        <v>19</v>
      </c>
      <c r="C66" s="47">
        <f t="shared" ref="C66:E66" ca="1" si="25">C47+C63+C65</f>
        <v>1571986.4300000002</v>
      </c>
      <c r="D66" s="47">
        <f t="shared" ca="1" si="25"/>
        <v>-4535234.76</v>
      </c>
      <c r="E66" s="47">
        <f t="shared" ca="1" si="25"/>
        <v>244485.31</v>
      </c>
      <c r="F66" s="48">
        <f ca="1">F47+F63+F65</f>
        <v>156092.16</v>
      </c>
      <c r="G66" s="48">
        <f t="shared" ref="G66" ca="1" si="26">G47+G63+G65</f>
        <v>-15260407.630000001</v>
      </c>
      <c r="H66" s="48">
        <f t="shared" ref="H66:I66" ca="1" si="27">H47+H63+H65</f>
        <v>-2790237.74</v>
      </c>
      <c r="I66" s="48">
        <f t="shared" ca="1" si="27"/>
        <v>0</v>
      </c>
      <c r="J66" s="48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</row>
    <row r="67" spans="1:63" ht="16.5" thickTop="1" x14ac:dyDescent="0.25">
      <c r="A67" s="1" t="str">
        <f>A34</f>
        <v>Loan reconciliation as at 31 August 2020</v>
      </c>
      <c r="B67" s="2"/>
      <c r="C67" s="3"/>
      <c r="D67" s="3"/>
      <c r="E67" s="3"/>
      <c r="F67" s="3"/>
      <c r="G67" s="4"/>
      <c r="H67" s="4"/>
      <c r="I67" s="5"/>
      <c r="J67" s="80" t="s">
        <v>0</v>
      </c>
    </row>
    <row r="68" spans="1:63" ht="15.75" x14ac:dyDescent="0.25">
      <c r="A68" s="1"/>
      <c r="B68" s="2"/>
      <c r="C68" s="3"/>
      <c r="D68" s="3"/>
      <c r="E68" s="3"/>
      <c r="F68" s="3"/>
      <c r="G68" s="4"/>
      <c r="H68" s="4"/>
      <c r="I68" s="4"/>
      <c r="J68" s="80"/>
    </row>
    <row r="69" spans="1:63" ht="15.75" x14ac:dyDescent="0.25">
      <c r="A69" s="6"/>
      <c r="B69" s="6"/>
      <c r="C69" s="7">
        <v>80450</v>
      </c>
      <c r="D69" s="7">
        <v>80460</v>
      </c>
      <c r="E69" s="7">
        <v>80480</v>
      </c>
      <c r="F69" s="7">
        <v>80490</v>
      </c>
      <c r="G69" s="7">
        <v>86000</v>
      </c>
      <c r="H69" s="7"/>
      <c r="I69" s="7"/>
      <c r="J69" s="7"/>
    </row>
    <row r="70" spans="1:63" ht="45" x14ac:dyDescent="0.25">
      <c r="A70" s="10"/>
      <c r="B70" s="10"/>
      <c r="C70" s="77" t="s">
        <v>28</v>
      </c>
      <c r="D70" s="77" t="s">
        <v>29</v>
      </c>
      <c r="E70" s="77" t="s">
        <v>30</v>
      </c>
      <c r="F70" s="49" t="s">
        <v>31</v>
      </c>
      <c r="G70" s="49" t="s">
        <v>32</v>
      </c>
      <c r="H70" s="49"/>
      <c r="I70" s="12"/>
      <c r="J70" s="13"/>
    </row>
    <row r="71" spans="1:63" x14ac:dyDescent="0.25">
      <c r="A71" s="3"/>
      <c r="B71" s="3"/>
      <c r="C71" s="17"/>
      <c r="D71" s="18"/>
      <c r="E71" s="19"/>
      <c r="F71" s="50"/>
      <c r="G71" s="19"/>
      <c r="H71" s="50"/>
      <c r="I71" s="17"/>
      <c r="J71" s="21"/>
    </row>
    <row r="72" spans="1:63" x14ac:dyDescent="0.25">
      <c r="A72" s="3">
        <v>1</v>
      </c>
      <c r="B72" s="3" t="s">
        <v>2</v>
      </c>
      <c r="C72" s="51">
        <f ca="1">[1]!CODA_browseDataValueByCode( "BAL-BSMMR", "CYR", "E1 NAME", "80450", "CO", "MIDF DFD COV")</f>
        <v>0</v>
      </c>
      <c r="D72" s="52">
        <f ca="1">[1]!CODA_browseDataValueByCode( "BAL-BSMMR", "CYR", "E1 NAME", "80460", "CO", "MIDF DFD COV")</f>
        <v>0</v>
      </c>
      <c r="E72" s="53">
        <f ca="1">[1]!CODA_browseDataValueByCode( "BAL-BSMMR", "CYR", "E1 NAME", "80480", "CO", "MIDF DFD COV")</f>
        <v>0</v>
      </c>
      <c r="F72" s="52">
        <f ca="1">[1]!CODA_browseDataValueByCode( "BAL-BSMMR", "CYR", "E1 NAME", "80490", "CO", "MIDF DFD COV")</f>
        <v>0</v>
      </c>
      <c r="G72" s="53">
        <f ca="1">[1]!CODA_browseDataValueByCode( "BAL-BSMMR", "CYR", "E1 NAME", "86000",  "E2 NAME", "SSD014", "CO", "MIDF DFD COV")</f>
        <v>0</v>
      </c>
      <c r="H72" s="52"/>
      <c r="I72" s="51"/>
      <c r="J72" s="52"/>
    </row>
    <row r="73" spans="1:63" x14ac:dyDescent="0.25">
      <c r="A73" s="3">
        <v>2</v>
      </c>
      <c r="B73" s="3" t="s">
        <v>4</v>
      </c>
      <c r="C73" s="54">
        <f ca="1">[1]!CODA_browseDataValueByCode( "BAL-BSMMR", "CYR", "E1 NAME", "80450", "CO", "MITI COV SLS")</f>
        <v>0</v>
      </c>
      <c r="D73" s="54">
        <f ca="1">[1]!CODA_browseDataValueByCode( "BAL-BSMMR", "CYR", "E1 NAME", "80460", "CO", "MITI COV SLS")</f>
        <v>0</v>
      </c>
      <c r="E73" s="55">
        <f ca="1">[1]!CODA_browseDataValueByCode( "BAL-BSMMR", "CYR", "E1 NAME", "80480", "CO", "MITI COV SLS")</f>
        <v>0</v>
      </c>
      <c r="F73" s="54">
        <f ca="1">[1]!CODA_browseDataValueByCode( "BAL-BSMMR", "CYR", "E1 NAME", "80490", "CO", "MITI COV SLS")</f>
        <v>0</v>
      </c>
      <c r="G73" s="56">
        <f ca="1">[1]!CODA_browseDataValueByCode( "BAL-BSMMR", "CYR", "E1 NAME", "86000",  "E2 NAME", "SSD014", "CO", "MITI COV SLS")</f>
        <v>0</v>
      </c>
      <c r="H73" s="54"/>
      <c r="I73" s="54"/>
      <c r="J73" s="54"/>
    </row>
    <row r="74" spans="1:63" x14ac:dyDescent="0.25">
      <c r="A74" s="3"/>
      <c r="B74" s="3"/>
      <c r="C74" s="57">
        <f t="shared" ref="C74:D74" ca="1" si="28">SUM(C72:C73)</f>
        <v>0</v>
      </c>
      <c r="D74" s="57">
        <f t="shared" ca="1" si="28"/>
        <v>0</v>
      </c>
      <c r="E74" s="58">
        <f ca="1">SUM(E72:E73)</f>
        <v>0</v>
      </c>
      <c r="F74" s="57">
        <f t="shared" ref="F74:G74" ca="1" si="29">SUM(F72:F73)</f>
        <v>0</v>
      </c>
      <c r="G74" s="59">
        <f t="shared" ca="1" si="29"/>
        <v>0</v>
      </c>
      <c r="H74" s="57"/>
      <c r="I74" s="57"/>
      <c r="J74" s="57"/>
    </row>
    <row r="75" spans="1:63" x14ac:dyDescent="0.25">
      <c r="B75" s="3"/>
      <c r="C75" s="21"/>
      <c r="D75" s="21"/>
      <c r="E75" s="17"/>
      <c r="F75" s="21"/>
      <c r="G75" s="4"/>
      <c r="H75" s="21"/>
      <c r="I75" s="21"/>
      <c r="J75" s="21"/>
    </row>
    <row r="76" spans="1:63" x14ac:dyDescent="0.25">
      <c r="A76" s="3">
        <v>3</v>
      </c>
      <c r="B76" s="3" t="s">
        <v>5</v>
      </c>
      <c r="C76" s="52">
        <f ca="1">[1]!CODA_browseDataValueByCode( "BAL-BSMMR", "CYR", "E1 NAME", "80450", "CO", "MIDF DFD SPI")</f>
        <v>0</v>
      </c>
      <c r="D76" s="52">
        <f ca="1">[1]!CODA_browseDataValueByCode( "BAL-BSMMR", "CYR", "E1 NAME", "80460", "CO", "MIDF DFD SPI")</f>
        <v>0</v>
      </c>
      <c r="E76" s="51">
        <f ca="1">[1]!CODA_browseDataValueByCode( "BAL-BSMMR", "CYR", "E1 NAME", "80480", "CO", "MIDF DFD SPI")</f>
        <v>0</v>
      </c>
      <c r="F76" s="52">
        <f ca="1">[1]!CODA_browseDataValueByCode( "BAL-BSMMR", "CYR", "E1 NAME", "80490", "CO", "MIDF DFD SPI")</f>
        <v>0</v>
      </c>
      <c r="G76" s="60">
        <f ca="1">[1]!CODA_browseDataValueByCode( "BAL-BSMMR", "CYR", "E1 NAME", "86000",  "E2 NAME", "SSD014", "CO", "MIDF DFD SPI")</f>
        <v>0</v>
      </c>
      <c r="H76" s="52"/>
      <c r="I76" s="52"/>
      <c r="J76" s="52"/>
    </row>
    <row r="77" spans="1:63" x14ac:dyDescent="0.25">
      <c r="A77" s="3">
        <v>4</v>
      </c>
      <c r="B77" s="3" t="s">
        <v>6</v>
      </c>
      <c r="C77" s="54">
        <f ca="1">[1]!CODA_browseDataValueByCode( "BAL-BSMMR", "CYR", "E1 NAME", "80450", "CO", "MITI SPI SLS")</f>
        <v>49591.86</v>
      </c>
      <c r="D77" s="54">
        <f ca="1">[1]!CODA_browseDataValueByCode( "BAL-BSMMR", "CYR", "E1 NAME", "80460", "CO", "MITI SPI SLS")</f>
        <v>0</v>
      </c>
      <c r="E77" s="55">
        <f ca="1">[1]!CODA_browseDataValueByCode( "BAL-BSMMR", "CYR", "E1 NAME", "80480", "CO", "MITI SPI SLS")</f>
        <v>0</v>
      </c>
      <c r="F77" s="54">
        <f ca="1">[1]!CODA_browseDataValueByCode( "BAL-BSMMR", "CYR", "E1 NAME", "80490", "CO", "MITI SPI SLS")</f>
        <v>0</v>
      </c>
      <c r="G77" s="56">
        <f ca="1">[1]!CODA_browseDataValueByCode( "BAL-BSMMR", "CYR", "E1 NAME", "86000",  "E2 NAME", "SSD014", "CO", "MITI SPI SLS")</f>
        <v>-28023.5</v>
      </c>
      <c r="H77" s="54"/>
      <c r="I77" s="54"/>
      <c r="J77" s="61"/>
    </row>
    <row r="78" spans="1:63" x14ac:dyDescent="0.25">
      <c r="A78" s="3"/>
      <c r="B78" s="3"/>
      <c r="C78" s="52">
        <f t="shared" ref="C78:D78" ca="1" si="30">SUM(C76:C77)</f>
        <v>49591.86</v>
      </c>
      <c r="D78" s="52">
        <f t="shared" ca="1" si="30"/>
        <v>0</v>
      </c>
      <c r="E78" s="51">
        <f ca="1">SUM(E76:E77)</f>
        <v>0</v>
      </c>
      <c r="F78" s="52">
        <f t="shared" ref="F78:G78" ca="1" si="31">SUM(F76:F77)</f>
        <v>0</v>
      </c>
      <c r="G78" s="60">
        <f t="shared" ca="1" si="31"/>
        <v>-28023.5</v>
      </c>
      <c r="H78" s="52"/>
      <c r="I78" s="52"/>
      <c r="J78" s="52"/>
    </row>
    <row r="79" spans="1:63" x14ac:dyDescent="0.25">
      <c r="B79" s="3"/>
      <c r="C79" s="62"/>
      <c r="D79" s="63"/>
      <c r="E79" s="4"/>
      <c r="F79" s="21"/>
      <c r="G79" s="4"/>
      <c r="H79" s="21"/>
      <c r="I79" s="63"/>
      <c r="J79" s="63"/>
    </row>
    <row r="80" spans="1:63" ht="15.75" thickBot="1" x14ac:dyDescent="0.3">
      <c r="A80" s="3"/>
      <c r="B80" s="36" t="s">
        <v>7</v>
      </c>
      <c r="C80" s="64">
        <f t="shared" ref="C80:D80" ca="1" si="32">C74+C78</f>
        <v>49591.86</v>
      </c>
      <c r="D80" s="65">
        <f t="shared" ca="1" si="32"/>
        <v>0</v>
      </c>
      <c r="E80" s="66">
        <f t="shared" ref="E80:F80" ca="1" si="33">E74+E78</f>
        <v>0</v>
      </c>
      <c r="F80" s="65">
        <f t="shared" ca="1" si="33"/>
        <v>0</v>
      </c>
      <c r="G80" s="67">
        <f ca="1">G74+G78</f>
        <v>-28023.5</v>
      </c>
      <c r="H80" s="65"/>
      <c r="I80" s="65"/>
      <c r="J80" s="65"/>
    </row>
    <row r="81" spans="1:10" ht="15.75" thickTop="1" x14ac:dyDescent="0.25">
      <c r="A81" s="3"/>
      <c r="B81" s="3"/>
      <c r="C81" s="68"/>
      <c r="D81" s="68"/>
      <c r="E81" s="69"/>
      <c r="F81" s="68"/>
      <c r="G81" s="69"/>
      <c r="H81" s="68"/>
      <c r="I81" s="70"/>
      <c r="J81" s="70"/>
    </row>
    <row r="82" spans="1:10" x14ac:dyDescent="0.25">
      <c r="A82" s="3">
        <v>5</v>
      </c>
      <c r="B82" s="3" t="s">
        <v>8</v>
      </c>
      <c r="C82" s="52">
        <f ca="1">[1]!CODA_browseDataValueByCode( "BAL-BSMMR", "CYR", "E1 NAME", "80450", "CO", "GSF MITI COV")</f>
        <v>102649.29</v>
      </c>
      <c r="D82" s="52">
        <f ca="1">[1]!CODA_browseDataValueByCode( "BAL-BSMMR", "CYR", "E1 NAME", "80460", "CO", "GSF MITI COV")</f>
        <v>0</v>
      </c>
      <c r="E82" s="60">
        <f ca="1">[1]!CODA_browseDataValueByCode( "BAL-BSMMR", "CYR", "E1 NAME", "80480", "CO", "GSF MITI COV")</f>
        <v>0</v>
      </c>
      <c r="F82" s="52">
        <f ca="1">[1]!CODA_browseDataValueByCode( "BAL-BSMMR", "CYR", "E1 NAME", "80490", "CO", "GSF MITI COV")</f>
        <v>0</v>
      </c>
      <c r="G82" s="60">
        <f ca="1">[1]!CODA_browseDataValueByCode( "BAL-BSMMR", "CYR", "E1 NAME", "86000",  "E2 NAME", "SSD014", "CO", "GSF MITI COV")</f>
        <v>0</v>
      </c>
      <c r="H82" s="52"/>
      <c r="I82" s="71"/>
      <c r="J82" s="52"/>
    </row>
    <row r="83" spans="1:10" x14ac:dyDescent="0.25">
      <c r="A83" s="3">
        <v>6</v>
      </c>
      <c r="B83" s="3" t="s">
        <v>9</v>
      </c>
      <c r="C83" s="51">
        <f ca="1">[1]!CODA_browseDataValueByCode( "BAL-BSMMR", "CYR", "E1 NAME", "80450", "CO", "GSF MIDA COV")</f>
        <v>0</v>
      </c>
      <c r="D83" s="52">
        <f ca="1">[1]!CODA_browseDataValueByCode( "BAL-BSMMR", "CYR", "E1 NAME", "80460", "CO", "GSF MIDA COV")</f>
        <v>0</v>
      </c>
      <c r="E83" s="60">
        <f ca="1">[1]!CODA_browseDataValueByCode( "BAL-BSMMR", "CYR", "E1 NAME", "80480", "CO", "GSF MIDA COV")</f>
        <v>0</v>
      </c>
      <c r="F83" s="52">
        <f ca="1">[1]!CODA_browseDataValueByCode( "BAL-BSMMR", "CYR", "E1 NAME", "80490", "CO", "GSF MIDA COV")</f>
        <v>0</v>
      </c>
      <c r="G83" s="60">
        <f ca="1">[1]!CODA_browseDataValueByCode( "BAL-BSMMR", "CYR", "E1 NAME", "86000",  "E2 NAME", "SSD014", "CO", "GSF MIDA COV")</f>
        <v>0</v>
      </c>
      <c r="H83" s="52"/>
      <c r="I83" s="52"/>
      <c r="J83" s="52"/>
    </row>
    <row r="84" spans="1:10" x14ac:dyDescent="0.25">
      <c r="A84" s="3">
        <v>7</v>
      </c>
      <c r="B84" s="3" t="s">
        <v>10</v>
      </c>
      <c r="C84" s="51">
        <f ca="1">[1]!CODA_browseDataValueByCode( "BAL-BSMMR", "CYR", "E1 NAME", "80450", "CO", "GSF SME COV")</f>
        <v>-121919.03</v>
      </c>
      <c r="D84" s="52">
        <f ca="1">[1]!CODA_browseDataValueByCode( "BAL-BSMMR", "CYR", "E1 NAME", "80460", "CO", "GSF SME COV")</f>
        <v>0</v>
      </c>
      <c r="E84" s="53">
        <f ca="1">[1]!CODA_browseDataValueByCode( "BAL-BSMMR", "CYR", "E1 NAME", "80480", "CO", "GSF SME COV")</f>
        <v>0</v>
      </c>
      <c r="F84" s="52">
        <f ca="1">[1]!CODA_browseDataValueByCode( "BAL-BSMMR", "CYR", "E1 NAME", "80490", "CO", "GSF SME COV")</f>
        <v>0</v>
      </c>
      <c r="G84" s="53">
        <f ca="1">[1]!CODA_browseDataValueByCode( "BAL-BSMMR", "CYR", "E1 NAME", "86000",  "E2 NAME", "SSD014", "CO", "GSF SME COV")</f>
        <v>-10</v>
      </c>
      <c r="H84" s="52"/>
      <c r="I84" s="52"/>
      <c r="J84" s="52"/>
    </row>
    <row r="85" spans="1:10" x14ac:dyDescent="0.25">
      <c r="A85" s="3">
        <v>8</v>
      </c>
      <c r="B85" s="3" t="s">
        <v>11</v>
      </c>
      <c r="C85" s="52">
        <f ca="1">[1]!CODA_browseDataValueByCode( "BAL-BSMMR", "CYR", "E1 NAME", "80450", "CO", "GSF MTDE COV")</f>
        <v>0</v>
      </c>
      <c r="D85" s="52">
        <f ca="1">[1]!CODA_browseDataValueByCode( "BAL-BSMMR", "CYR", "E1 NAME", "80460", "CO", "GSF MTDE COV")</f>
        <v>0</v>
      </c>
      <c r="E85" s="51">
        <f ca="1">[1]!CODA_browseDataValueByCode( "BAL-BSMMR", "CYR", "E1 NAME", "80480", "CO", "GSF MTDE COV")</f>
        <v>0</v>
      </c>
      <c r="F85" s="52">
        <f ca="1">[1]!CODA_browseDataValueByCode( "BAL-BSMMR", "CYR", "E1 NAME", "80490", "CO", "GSF MTDE COV")</f>
        <v>0</v>
      </c>
      <c r="G85" s="60">
        <f ca="1">[1]!CODA_browseDataValueByCode( "BAL-BSMMR", "CYR", "E1 NAME", "86000",  "E2 NAME", "SSD014", "CO", "GSF MTDE COV")</f>
        <v>0</v>
      </c>
      <c r="H85" s="52"/>
      <c r="I85" s="52"/>
      <c r="J85" s="52"/>
    </row>
    <row r="86" spans="1:10" x14ac:dyDescent="0.25">
      <c r="A86" s="3">
        <v>9</v>
      </c>
      <c r="B86" s="3" t="s">
        <v>12</v>
      </c>
      <c r="C86" s="54">
        <f ca="1">[1]!CODA_browseDataValueByCode( "BAL-BSMMR", "CYR", "E1 NAME", "80450", "CO", "GSF MGTC COV")</f>
        <v>0</v>
      </c>
      <c r="D86" s="54">
        <f ca="1">[1]!CODA_browseDataValueByCode( "BAL-BSMMR", "CYR", "E1 NAME", "80460", "CO", "GSF MGTC COV")</f>
        <v>0</v>
      </c>
      <c r="E86" s="55">
        <f ca="1">[1]!CODA_browseDataValueByCode( "BAL-BSMMR", "CYR", "E1 NAME", "80480", "CO", "GSF MGTC COV")</f>
        <v>0</v>
      </c>
      <c r="F86" s="54">
        <f ca="1">[1]!CODA_browseDataValueByCode( "BAL-BSMMR", "CYR", "E1 NAME", "80490", "CO", "GSF MGTC COV")</f>
        <v>0</v>
      </c>
      <c r="G86" s="56">
        <f ca="1">[1]!CODA_browseDataValueByCode( "BAL-BSMMR", "CYR", "E1 NAME", "86000",  "E2 NAME", "SSD014", "CO", "GSF MGTC COV")</f>
        <v>0</v>
      </c>
      <c r="H86" s="54"/>
      <c r="I86" s="54"/>
      <c r="J86" s="54"/>
    </row>
    <row r="87" spans="1:10" x14ac:dyDescent="0.25">
      <c r="A87" s="3"/>
      <c r="B87" s="3"/>
      <c r="C87" s="72">
        <f t="shared" ref="C87:D87" ca="1" si="34">SUM(C82:C86)</f>
        <v>-19269.740000000005</v>
      </c>
      <c r="D87" s="72">
        <f t="shared" ca="1" si="34"/>
        <v>0</v>
      </c>
      <c r="E87" s="73">
        <f ca="1">SUM(E82:E86)</f>
        <v>0</v>
      </c>
      <c r="F87" s="72">
        <f t="shared" ref="F87:G87" ca="1" si="35">SUM(F82:F86)</f>
        <v>0</v>
      </c>
      <c r="G87" s="74">
        <f t="shared" ca="1" si="35"/>
        <v>-10</v>
      </c>
      <c r="H87" s="72"/>
      <c r="I87" s="72"/>
      <c r="J87" s="72"/>
    </row>
    <row r="88" spans="1:10" x14ac:dyDescent="0.25">
      <c r="A88" s="3"/>
      <c r="B88" s="3"/>
      <c r="C88" s="21"/>
      <c r="D88" s="21"/>
      <c r="E88" s="17"/>
      <c r="F88" s="21"/>
      <c r="G88" s="4"/>
      <c r="H88" s="21"/>
      <c r="I88" s="21"/>
      <c r="J88" s="21"/>
    </row>
    <row r="89" spans="1:10" x14ac:dyDescent="0.25">
      <c r="A89" s="3">
        <v>10</v>
      </c>
      <c r="B89" s="3" t="s">
        <v>13</v>
      </c>
      <c r="C89" s="52">
        <f ca="1">[1]!CODA_browseDataValueByCode( "BAL-BSMMR", "CYR", "E1 NAME", "80450", "CO", "GSF MITI SPI")</f>
        <v>-115850.95</v>
      </c>
      <c r="D89" s="52">
        <f ca="1">[1]!CODA_browseDataValueByCode( "BAL-BSMMR", "CYR", "E1 NAME", "80460", "CO", "GSF MITI SPI")</f>
        <v>0</v>
      </c>
      <c r="E89" s="51">
        <f ca="1">[1]!CODA_browseDataValueByCode( "BAL-BSMMR", "CYR", "E1 NAME", "80480", "CO", "GSF MITI SPI")</f>
        <v>0</v>
      </c>
      <c r="F89" s="52">
        <f ca="1">[1]!CODA_browseDataValueByCode( "BAL-BSMMR", "CYR", "E1 NAME", "80490", "CO", "GSF MITI SPI")</f>
        <v>0</v>
      </c>
      <c r="G89" s="60">
        <f ca="1">[1]!CODA_browseDataValueByCode( "BAL-BSMMR", "CYR", "E1 NAME", "86000",  "E2 NAME", "SSD014", "CO", "GSF MITI SPI")</f>
        <v>9389.5</v>
      </c>
      <c r="H89" s="52"/>
      <c r="I89" s="52"/>
      <c r="J89" s="52"/>
    </row>
    <row r="90" spans="1:10" x14ac:dyDescent="0.25">
      <c r="A90" s="3">
        <v>11</v>
      </c>
      <c r="B90" s="3" t="s">
        <v>14</v>
      </c>
      <c r="C90" s="52">
        <f ca="1">[1]!CODA_browseDataValueByCode( "BAL-BSMMR", "CYR", "E1 NAME", "80450", "CO", "GSF MIDA SPI")</f>
        <v>0</v>
      </c>
      <c r="D90" s="52">
        <f ca="1">[1]!CODA_browseDataValueByCode( "BAL-BSMMR", "CYR", "E1 NAME", "80460", "CO", "GSF MIDA SPI")</f>
        <v>0</v>
      </c>
      <c r="E90" s="51">
        <f ca="1">[1]!CODA_browseDataValueByCode( "BAL-BSMMR", "CYR", "E1 NAME", "80480", "CO", "GSF MIDA SPI")</f>
        <v>0</v>
      </c>
      <c r="F90" s="52">
        <f ca="1">[1]!CODA_browseDataValueByCode( "BAL-BSMMR", "CYR", "E1 NAME", "80490", "CO", "GSF MIDA SPI")</f>
        <v>0</v>
      </c>
      <c r="G90" s="60">
        <f ca="1">[1]!CODA_browseDataValueByCode( "BAL-BSMMR", "CYR", "E1 NAME", "86000",  "E2 NAME", "SSD014", "CO", "GSF MIDA SPI")</f>
        <v>244.94</v>
      </c>
      <c r="H90" s="52"/>
      <c r="I90" s="52"/>
      <c r="J90" s="52"/>
    </row>
    <row r="91" spans="1:10" x14ac:dyDescent="0.25">
      <c r="A91" s="3">
        <v>12</v>
      </c>
      <c r="B91" s="3" t="s">
        <v>15</v>
      </c>
      <c r="C91" s="52">
        <f ca="1">[1]!CODA_browseDataValueByCode( "BAL-BSMMR", "CYR", "E1 NAME", "80450", "CO", "GSF SME SPI")</f>
        <v>32448.58</v>
      </c>
      <c r="D91" s="52">
        <f ca="1">[1]!CODA_browseDataValueByCode( "BAL-BSMMR", "CYR", "E1 NAME", "80460", "CO", "GSF SME SPI")</f>
        <v>-2935.83</v>
      </c>
      <c r="E91" s="51">
        <f ca="1">[1]!CODA_browseDataValueByCode( "BAL-BSMMR", "CYR", "E1 NAME", "80480", "CO", "GSF SME SPI")</f>
        <v>0</v>
      </c>
      <c r="F91" s="52">
        <f ca="1">[1]!CODA_browseDataValueByCode( "BAL-BSMMR", "CYR", "E1 NAME", "80490", "CO", "GSF SME SPI")</f>
        <v>0</v>
      </c>
      <c r="G91" s="60">
        <f ca="1">[1]!CODA_browseDataValueByCode( "BAL-BSMMR", "CYR", "E1 NAME", "86000",  "E2 NAME", "SSD014", "CO", "GSF SME SPI")</f>
        <v>-5227.8</v>
      </c>
      <c r="H91" s="52"/>
      <c r="I91" s="52"/>
      <c r="J91" s="52"/>
    </row>
    <row r="92" spans="1:10" x14ac:dyDescent="0.25">
      <c r="A92" s="3">
        <v>13</v>
      </c>
      <c r="B92" s="3" t="s">
        <v>16</v>
      </c>
      <c r="C92" s="52">
        <f ca="1">[1]!CODA_browseDataValueByCode( "BAL-BSMMR", "CYR", "E1 NAME", "80450", "CO", "GSF MTDE SPI")</f>
        <v>0</v>
      </c>
      <c r="D92" s="52">
        <f ca="1">[1]!CODA_browseDataValueByCode( "BAL-BSMMR", "CYR", "E1 NAME", "80460", "CO", "GSF MTDE SPI")</f>
        <v>0</v>
      </c>
      <c r="E92" s="51">
        <f ca="1">[1]!CODA_browseDataValueByCode( "BAL-BSMMR", "CYR", "E1 NAME", "80480", "CO", "GSF MTDE SPI")</f>
        <v>0</v>
      </c>
      <c r="F92" s="52">
        <f ca="1">[1]!CODA_browseDataValueByCode( "BAL-BSMMR", "CYR", "E1 NAME", "80490", "CO", "GSF MTDE SPI")</f>
        <v>0</v>
      </c>
      <c r="G92" s="60">
        <f ca="1">[1]!CODA_browseDataValueByCode( "BAL-BSMMR", "CYR", "E1 NAME", "86000",  "E2 NAME", "SSD014", "CO", "GSF MTDE SPI")</f>
        <v>0</v>
      </c>
      <c r="H92" s="52"/>
      <c r="I92" s="52"/>
      <c r="J92" s="52"/>
    </row>
    <row r="93" spans="1:10" x14ac:dyDescent="0.25">
      <c r="A93" s="3">
        <v>14</v>
      </c>
      <c r="B93" s="3" t="s">
        <v>17</v>
      </c>
      <c r="C93" s="54">
        <f ca="1">[1]!CODA_browseDataValueByCode( "BAL-BSMMR", "CYR", "E1 NAME", "80450", "CO", "GSF BCF SPI")</f>
        <v>0</v>
      </c>
      <c r="D93" s="54">
        <f ca="1">[1]!CODA_browseDataValueByCode( "BAL-BSMMR", "CYR", "E1 NAME", "80460", "CO", "GSF BCF SPI")</f>
        <v>0</v>
      </c>
      <c r="E93" s="55">
        <f ca="1">[1]!CODA_browseDataValueByCode( "BAL-BSMMR", "CYR", "E1 NAME", "80480", "CO", "GSF BCF SPI")</f>
        <v>0</v>
      </c>
      <c r="F93" s="54">
        <f ca="1">[1]!CODA_browseDataValueByCode( "BAL-BSMMR", "CYR", "E1 NAME", "80490", "CO", "GSF BCF SPI")</f>
        <v>0</v>
      </c>
      <c r="G93" s="56">
        <f ca="1">[1]!CODA_browseDataValueByCode( "BAL-BSMMR", "CYR", "E1 NAME", "86000",  "E2 NAME", "SSD014", "CO", "GSF BCF SPI")</f>
        <v>0</v>
      </c>
      <c r="H93" s="54"/>
      <c r="I93" s="54"/>
      <c r="J93" s="54"/>
    </row>
    <row r="94" spans="1:10" x14ac:dyDescent="0.25">
      <c r="A94" s="3"/>
      <c r="B94" s="3"/>
      <c r="C94" s="72">
        <f t="shared" ref="C94:D94" ca="1" si="36">SUM(C89:C93)</f>
        <v>-83402.37</v>
      </c>
      <c r="D94" s="72">
        <f t="shared" ca="1" si="36"/>
        <v>-2935.83</v>
      </c>
      <c r="E94" s="73">
        <f ca="1">SUM(E89:E93)</f>
        <v>0</v>
      </c>
      <c r="F94" s="72">
        <f t="shared" ref="F94:G94" ca="1" si="37">SUM(F89:F93)</f>
        <v>0</v>
      </c>
      <c r="G94" s="74">
        <f t="shared" ca="1" si="37"/>
        <v>4406.6400000000003</v>
      </c>
      <c r="H94" s="72"/>
      <c r="I94" s="72"/>
      <c r="J94" s="72"/>
    </row>
    <row r="95" spans="1:10" x14ac:dyDescent="0.25">
      <c r="A95" s="3"/>
      <c r="B95" s="3"/>
      <c r="C95" s="21"/>
      <c r="D95" s="21"/>
      <c r="E95" s="17"/>
      <c r="F95" s="21"/>
      <c r="G95" s="4"/>
      <c r="H95" s="21"/>
      <c r="I95" s="21"/>
      <c r="J95" s="21"/>
    </row>
    <row r="96" spans="1:10" ht="15.75" thickBot="1" x14ac:dyDescent="0.3">
      <c r="A96" s="3"/>
      <c r="B96" s="36" t="s">
        <v>7</v>
      </c>
      <c r="C96" s="65">
        <f t="shared" ref="C96:D96" ca="1" si="38">C87+C94</f>
        <v>-102672.11</v>
      </c>
      <c r="D96" s="65">
        <f t="shared" ca="1" si="38"/>
        <v>-2935.83</v>
      </c>
      <c r="E96" s="66">
        <f ca="1">E87+E94</f>
        <v>0</v>
      </c>
      <c r="F96" s="65">
        <f t="shared" ref="F96:G96" ca="1" si="39">F87+F94</f>
        <v>0</v>
      </c>
      <c r="G96" s="67">
        <f t="shared" ca="1" si="39"/>
        <v>4396.6400000000003</v>
      </c>
      <c r="H96" s="65"/>
      <c r="I96" s="65"/>
      <c r="J96" s="65"/>
    </row>
    <row r="97" spans="1:10" ht="15.75" thickTop="1" x14ac:dyDescent="0.25">
      <c r="A97" s="3"/>
      <c r="B97" s="45"/>
      <c r="C97" s="68"/>
      <c r="D97" s="68"/>
      <c r="E97" s="75"/>
      <c r="F97" s="68"/>
      <c r="G97" s="69"/>
      <c r="H97" s="68"/>
      <c r="I97" s="68"/>
      <c r="J97" s="68"/>
    </row>
    <row r="98" spans="1:10" x14ac:dyDescent="0.25">
      <c r="A98" s="3">
        <v>15</v>
      </c>
      <c r="B98" s="3" t="s">
        <v>18</v>
      </c>
      <c r="C98" s="51">
        <f ca="1">[1]!CODA_browseDataValueByCode( "BAL-BSMMR", "CYR", "E1 NAME", "80450", "CO", "BIOTECH")</f>
        <v>0</v>
      </c>
      <c r="D98" s="52">
        <f ca="1">[1]!CODA_browseDataValueByCode( "BAL-BSMMR", "CYR", "E1 NAME", "80460", "CO", "BIOTECH")</f>
        <v>0</v>
      </c>
      <c r="E98" s="51">
        <f ca="1">[1]!CODA_browseDataValueByCode( "BAL-BSMMR", "CYR", "E1 NAME", "80480", "CO", "BIOTECH")</f>
        <v>0</v>
      </c>
      <c r="F98" s="52">
        <f ca="1">[1]!CODA_browseDataValueByCode( "BAL-BSMMR", "CYR", "E1 NAME", "80490", "CO", "BIOTECH")</f>
        <v>0</v>
      </c>
      <c r="G98" s="60">
        <f ca="1">[1]!CODA_browseDataValueByCode( "BAL-BSMMR", "CYR", "E1 NAME", "86000",  "E2 NAME", "SSD014", "CO", "BIOTECH")</f>
        <v>0</v>
      </c>
      <c r="H98" s="52"/>
      <c r="I98" s="51"/>
      <c r="J98" s="54"/>
    </row>
    <row r="99" spans="1:10" ht="15.75" thickBot="1" x14ac:dyDescent="0.3">
      <c r="A99" s="3"/>
      <c r="B99" s="36" t="s">
        <v>19</v>
      </c>
      <c r="C99" s="47">
        <f t="shared" ref="C99:D99" ca="1" si="40">C80+C96+C98</f>
        <v>-53080.25</v>
      </c>
      <c r="D99" s="47">
        <f t="shared" ca="1" si="40"/>
        <v>-2935.83</v>
      </c>
      <c r="E99" s="47">
        <f t="shared" ref="E99:G99" ca="1" si="41">E80+E96+E98</f>
        <v>0</v>
      </c>
      <c r="F99" s="48">
        <f t="shared" ca="1" si="41"/>
        <v>0</v>
      </c>
      <c r="G99" s="76">
        <f t="shared" ca="1" si="41"/>
        <v>-23626.86</v>
      </c>
      <c r="H99" s="48"/>
      <c r="I99" s="48"/>
      <c r="J99" s="48"/>
    </row>
    <row r="100" spans="1:10" ht="15.75" thickTop="1" x14ac:dyDescent="0.25"/>
  </sheetData>
  <mergeCells count="3">
    <mergeCell ref="J1:J2"/>
    <mergeCell ref="J34:J35"/>
    <mergeCell ref="J67:J68"/>
  </mergeCells>
  <pageMargins left="0.45" right="0" top="0.5" bottom="0.5" header="0.3" footer="0.3"/>
  <pageSetup paperSize="9" scale="97" fitToHeight="2" orientation="landscape" r:id="rId1"/>
  <headerFooter>
    <oddHeader>&amp;C&amp;"-,Bold Italic"&amp;14Printed on &amp;D  and  [&amp;T]</oddHeader>
    <oddFooter>Page &amp;P of &amp;N</oddFooter>
  </headerFooter>
  <rowBreaks count="2" manualBreakCount="2">
    <brk id="33" max="9" man="1"/>
    <brk id="66" max="9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 RECON</vt:lpstr>
      <vt:lpstr>'LOAN RECON'!Print_Area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Roslinner Ab Rashid</dc:creator>
  <cp:lastModifiedBy>RPA</cp:lastModifiedBy>
  <cp:lastPrinted>2020-08-06T04:24:12Z</cp:lastPrinted>
  <dcterms:created xsi:type="dcterms:W3CDTF">2019-03-22T04:23:46Z</dcterms:created>
  <dcterms:modified xsi:type="dcterms:W3CDTF">2020-12-15T09:52:24Z</dcterms:modified>
</cp:coreProperties>
</file>