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_raza\Documents\Projects\dataintodb\lgs 2.0\"/>
    </mc:Choice>
  </mc:AlternateContent>
  <xr:revisionPtr revIDLastSave="0" documentId="13_ncr:1_{B1415495-128A-49AF-94E7-03CCA9B030A9}" xr6:coauthVersionLast="47" xr6:coauthVersionMax="47" xr10:uidLastSave="{00000000-0000-0000-0000-000000000000}"/>
  <bookViews>
    <workbookView xWindow="-120" yWindow="-120" windowWidth="29040" windowHeight="15840" tabRatio="910" firstSheet="17" activeTab="36" xr2:uid="{879B3FE8-D48A-4FD5-A032-78B1A117DCC7}"/>
  </bookViews>
  <sheets>
    <sheet name="Crop_Norms" sheetId="1" r:id="rId1"/>
    <sheet name="Soil Suitability" sheetId="66" r:id="rId2"/>
    <sheet name="Alfalfa" sheetId="43" r:id="rId3"/>
    <sheet name="Barley" sheetId="11" r:id="rId4"/>
    <sheet name="Bottle Gourd" sheetId="16" r:id="rId5"/>
    <sheet name="Brinjal" sheetId="8" r:id="rId6"/>
    <sheet name="Broccoli" sheetId="17" r:id="rId7"/>
    <sheet name="Cabbage" sheetId="18" r:id="rId8"/>
    <sheet name="Canary Seed" sheetId="14" r:id="rId9"/>
    <sheet name="Canola" sheetId="19" r:id="rId10"/>
    <sheet name="Carrot" sheetId="20" r:id="rId11"/>
    <sheet name="Cauliflower" sheetId="21" r:id="rId12"/>
    <sheet name="Chickpea Kabuli" sheetId="22" r:id="rId13"/>
    <sheet name="Coriander (Seeds)" sheetId="23" r:id="rId14"/>
    <sheet name="Cotton" sheetId="24" r:id="rId15"/>
    <sheet name="Cucumber" sheetId="25" r:id="rId16"/>
    <sheet name="Flax Seed" sheetId="26" r:id="rId17"/>
    <sheet name="French Beans" sheetId="4" r:id="rId18"/>
    <sheet name="Kidney Beans" sheetId="5" r:id="rId19"/>
    <sheet name="Lentil" sheetId="27" r:id="rId20"/>
    <sheet name="Maize" sheetId="28" r:id="rId21"/>
    <sheet name="Mash" sheetId="29" r:id="rId22"/>
    <sheet name="Millet" sheetId="10" r:id="rId23"/>
    <sheet name="Mustard" sheetId="30" r:id="rId24"/>
    <sheet name="Oat" sheetId="12" r:id="rId25"/>
    <sheet name="Okra" sheetId="31" r:id="rId26"/>
    <sheet name="Onion" sheetId="32" r:id="rId27"/>
    <sheet name="Pea" sheetId="9" r:id="rId28"/>
    <sheet name="Peanut" sheetId="33" r:id="rId29"/>
    <sheet name="Potato" sheetId="34" r:id="rId30"/>
    <sheet name="Radish" sheetId="35" r:id="rId31"/>
    <sheet name="Rice" sheetId="36" r:id="rId32"/>
    <sheet name="Sesame" sheetId="15" r:id="rId33"/>
    <sheet name="Sorghum" sheetId="13" r:id="rId34"/>
    <sheet name="Sponge Gourd" sheetId="37" r:id="rId35"/>
    <sheet name="Sugar Beet" sheetId="38" r:id="rId36"/>
    <sheet name="Sunflower" sheetId="39" r:id="rId37"/>
    <sheet name="Tinda Gourd" sheetId="40" r:id="rId38"/>
    <sheet name="Tomato" sheetId="6" r:id="rId39"/>
    <sheet name="Turnip" sheetId="41" r:id="rId40"/>
    <sheet name="Vegetable Marrow" sheetId="7" r:id="rId41"/>
    <sheet name="Watermelon" sheetId="42" r:id="rId42"/>
    <sheet name="Wheat" sheetId="2" r:id="rId43"/>
    <sheet name="Banana" sheetId="44" r:id="rId44"/>
    <sheet name="Cassava" sheetId="45" r:id="rId45"/>
    <sheet name="Citrus" sheetId="46" r:id="rId46"/>
    <sheet name="CowPea" sheetId="47" r:id="rId47"/>
    <sheet name="Napier Grass" sheetId="48" r:id="rId48"/>
    <sheet name="Buckwheat" sheetId="49" r:id="rId49"/>
    <sheet name="Jatropha" sheetId="50" r:id="rId50"/>
    <sheet name="Rapseed" sheetId="51" r:id="rId51"/>
    <sheet name="Pigeon Pea" sheetId="52" r:id="rId52"/>
    <sheet name="Reed Canary Seed" sheetId="53" r:id="rId53"/>
    <sheet name="Olive" sheetId="54" r:id="rId54"/>
    <sheet name="Tobacco" sheetId="55" r:id="rId55"/>
    <sheet name="Sugarcane" sheetId="56" r:id="rId56"/>
    <sheet name="Sweet Potato" sheetId="57" r:id="rId57"/>
    <sheet name="Yam" sheetId="58" r:id="rId58"/>
    <sheet name="Tea" sheetId="59" r:id="rId59"/>
    <sheet name="Switch Grass" sheetId="60" r:id="rId60"/>
    <sheet name="Miscanthus" sheetId="61" r:id="rId61"/>
    <sheet name="Rye" sheetId="62" r:id="rId62"/>
    <sheet name="Foxtail Millet" sheetId="63" r:id="rId63"/>
    <sheet name="Pearl Millet" sheetId="64" r:id="rId64"/>
    <sheet name="Silage Maize" sheetId="65" r:id="rId65"/>
  </sheets>
  <definedNames>
    <definedName name="_xlnm._FilterDatabase" localSheetId="0" hidden="1">Crop_Norms!$CO$8:$CR$83</definedName>
    <definedName name="_xlnm._FilterDatabase" localSheetId="1" hidden="1">'Soil Suitability'!$B$1:$I$336</definedName>
    <definedName name="_xlnm.Criteria" localSheetId="0">Crop_Norms!$CQ$8</definedName>
    <definedName name="_xlnm.Extract" localSheetId="0">Crop_Norms!#REF!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3" i="1" l="1"/>
  <c r="X374" i="1"/>
  <c r="Y373" i="1" a="1"/>
  <c r="Y373" i="1" s="1"/>
  <c r="Y374" i="1" a="1"/>
  <c r="Y374" i="1" s="1"/>
  <c r="AU373" i="1"/>
  <c r="AV373" i="1" s="1"/>
  <c r="AU374" i="1"/>
  <c r="AV374" i="1" s="1"/>
  <c r="AX373" i="1"/>
  <c r="AZ373" i="1" s="1"/>
  <c r="BB373" i="1" s="1"/>
  <c r="BR373" i="1" a="1"/>
  <c r="BR373" i="1" s="1"/>
  <c r="BE373" i="1" s="1"/>
  <c r="BR374" i="1" a="1"/>
  <c r="BR374" i="1" s="1"/>
  <c r="BE374" i="1" s="1"/>
  <c r="BS373" i="1" a="1"/>
  <c r="BS373" i="1" s="1"/>
  <c r="BG373" i="1" s="1"/>
  <c r="BS374" i="1" a="1"/>
  <c r="BS374" i="1" s="1"/>
  <c r="BG374" i="1" s="1"/>
  <c r="BT373" i="1" a="1"/>
  <c r="BT373" i="1"/>
  <c r="BI373" i="1" s="1"/>
  <c r="BT374" i="1" a="1"/>
  <c r="BT374" i="1" s="1"/>
  <c r="BI374" i="1" s="1"/>
  <c r="BU373" i="1" a="1"/>
  <c r="BU373" i="1" s="1"/>
  <c r="BU374" i="1" a="1"/>
  <c r="BU374" i="1" s="1"/>
  <c r="X375" i="1"/>
  <c r="X376" i="1"/>
  <c r="X377" i="1"/>
  <c r="X378" i="1"/>
  <c r="X379" i="1"/>
  <c r="Y375" i="1" a="1"/>
  <c r="Y375" i="1" s="1"/>
  <c r="Y376" i="1" a="1"/>
  <c r="Y376" i="1" s="1"/>
  <c r="Y377" i="1" a="1"/>
  <c r="Y377" i="1" s="1"/>
  <c r="Y378" i="1" a="1"/>
  <c r="Y378" i="1" s="1"/>
  <c r="Y379" i="1" a="1"/>
  <c r="Y379" i="1" s="1"/>
  <c r="AU375" i="1"/>
  <c r="AX375" i="1" s="1"/>
  <c r="AZ375" i="1" s="1"/>
  <c r="BB375" i="1" s="1"/>
  <c r="AU376" i="1"/>
  <c r="AV376" i="1" s="1"/>
  <c r="AU377" i="1"/>
  <c r="AV377" i="1" s="1"/>
  <c r="AU378" i="1"/>
  <c r="AU379" i="1"/>
  <c r="AV379" i="1" s="1"/>
  <c r="AV378" i="1"/>
  <c r="AX377" i="1"/>
  <c r="AZ377" i="1" s="1"/>
  <c r="BB377" i="1" s="1"/>
  <c r="AX378" i="1"/>
  <c r="AZ378" i="1" s="1"/>
  <c r="BB378" i="1" s="1"/>
  <c r="AX379" i="1"/>
  <c r="AZ379" i="1" s="1"/>
  <c r="BB379" i="1" s="1"/>
  <c r="BR375" i="1" a="1"/>
  <c r="BR375" i="1" s="1"/>
  <c r="BE375" i="1" s="1"/>
  <c r="BR376" i="1" a="1"/>
  <c r="BR376" i="1" s="1"/>
  <c r="BE376" i="1" s="1"/>
  <c r="BR377" i="1" a="1"/>
  <c r="BR377" i="1" s="1"/>
  <c r="BE377" i="1" s="1"/>
  <c r="BR378" i="1" a="1"/>
  <c r="BR378" i="1" s="1"/>
  <c r="BE378" i="1" s="1"/>
  <c r="BR379" i="1" a="1"/>
  <c r="BR379" i="1" s="1"/>
  <c r="BE379" i="1" s="1"/>
  <c r="BS375" i="1" a="1"/>
  <c r="BS375" i="1" s="1"/>
  <c r="BG375" i="1" s="1"/>
  <c r="BS376" i="1" a="1"/>
  <c r="BS376" i="1" s="1"/>
  <c r="BG376" i="1" s="1"/>
  <c r="BS377" i="1" a="1"/>
  <c r="BS377" i="1" s="1"/>
  <c r="BG377" i="1" s="1"/>
  <c r="BS378" i="1" a="1"/>
  <c r="BS378" i="1" s="1"/>
  <c r="BG378" i="1" s="1"/>
  <c r="BS379" i="1" a="1"/>
  <c r="BS379" i="1" s="1"/>
  <c r="BG379" i="1" s="1"/>
  <c r="BT375" i="1" a="1"/>
  <c r="BT375" i="1" s="1"/>
  <c r="BI375" i="1" s="1"/>
  <c r="BT376" i="1" a="1"/>
  <c r="BT376" i="1" s="1"/>
  <c r="BI376" i="1" s="1"/>
  <c r="BT377" i="1" a="1"/>
  <c r="BT377" i="1" s="1"/>
  <c r="BI377" i="1" s="1"/>
  <c r="BT378" i="1" a="1"/>
  <c r="BT378" i="1" s="1"/>
  <c r="BI378" i="1" s="1"/>
  <c r="BT379" i="1" a="1"/>
  <c r="BT379" i="1" s="1"/>
  <c r="BI379" i="1" s="1"/>
  <c r="BU375" i="1" a="1"/>
  <c r="BU375" i="1" s="1"/>
  <c r="BU376" i="1" a="1"/>
  <c r="BU376" i="1" s="1"/>
  <c r="BU377" i="1" a="1"/>
  <c r="BU377" i="1" s="1"/>
  <c r="BU378" i="1" a="1"/>
  <c r="BU378" i="1" s="1"/>
  <c r="BU379" i="1" a="1"/>
  <c r="BU379" i="1" s="1"/>
  <c r="X380" i="1"/>
  <c r="Y380" i="1" a="1"/>
  <c r="Y380" i="1" s="1"/>
  <c r="AU380" i="1"/>
  <c r="AV380" i="1" s="1"/>
  <c r="BR380" i="1" a="1"/>
  <c r="BR380" i="1" s="1"/>
  <c r="BE380" i="1" s="1"/>
  <c r="BS380" i="1" a="1"/>
  <c r="BS380" i="1" s="1"/>
  <c r="BG380" i="1" s="1"/>
  <c r="BT380" i="1" a="1"/>
  <c r="BT380" i="1" s="1"/>
  <c r="BI380" i="1" s="1"/>
  <c r="BU380" i="1" a="1"/>
  <c r="BU380" i="1" s="1"/>
  <c r="X381" i="1"/>
  <c r="Y381" i="1" a="1"/>
  <c r="Y381" i="1" s="1"/>
  <c r="AU381" i="1"/>
  <c r="AV381" i="1" s="1"/>
  <c r="BR381" i="1" a="1"/>
  <c r="BR381" i="1" s="1"/>
  <c r="BE381" i="1" s="1"/>
  <c r="BS381" i="1" a="1"/>
  <c r="BS381" i="1" s="1"/>
  <c r="BG381" i="1" s="1"/>
  <c r="BT381" i="1" a="1"/>
  <c r="BT381" i="1" s="1"/>
  <c r="BI381" i="1" s="1"/>
  <c r="BU381" i="1" a="1"/>
  <c r="BU381" i="1" s="1"/>
  <c r="X382" i="1"/>
  <c r="Y382" i="1" a="1"/>
  <c r="Y382" i="1" s="1"/>
  <c r="AU382" i="1"/>
  <c r="AV382" i="1" s="1"/>
  <c r="BR382" i="1" a="1"/>
  <c r="BR382" i="1" s="1"/>
  <c r="BE382" i="1" s="1"/>
  <c r="BS382" i="1" a="1"/>
  <c r="BS382" i="1" s="1"/>
  <c r="BG382" i="1" s="1"/>
  <c r="BT382" i="1" a="1"/>
  <c r="BT382" i="1" s="1"/>
  <c r="BI382" i="1" s="1"/>
  <c r="BU382" i="1" a="1"/>
  <c r="BU382" i="1" s="1"/>
  <c r="X383" i="1"/>
  <c r="Y383" i="1" a="1"/>
  <c r="Y383" i="1" s="1"/>
  <c r="AU383" i="1"/>
  <c r="AV383" i="1" s="1"/>
  <c r="BR383" i="1" a="1"/>
  <c r="BR383" i="1" s="1"/>
  <c r="BE383" i="1" s="1"/>
  <c r="BS383" i="1" a="1"/>
  <c r="BS383" i="1" s="1"/>
  <c r="BG383" i="1" s="1"/>
  <c r="BT383" i="1" a="1"/>
  <c r="BT383" i="1" s="1"/>
  <c r="BI383" i="1" s="1"/>
  <c r="BU383" i="1" a="1"/>
  <c r="BU383" i="1" s="1"/>
  <c r="X384" i="1"/>
  <c r="Y384" i="1" a="1"/>
  <c r="Y384" i="1" s="1"/>
  <c r="AU384" i="1"/>
  <c r="AV384" i="1" s="1"/>
  <c r="BR384" i="1" a="1"/>
  <c r="BR384" i="1" s="1"/>
  <c r="BE384" i="1" s="1"/>
  <c r="BS384" i="1" a="1"/>
  <c r="BS384" i="1" s="1"/>
  <c r="BG384" i="1" s="1"/>
  <c r="BT384" i="1" a="1"/>
  <c r="BT384" i="1" s="1"/>
  <c r="BI384" i="1" s="1"/>
  <c r="BU384" i="1" a="1"/>
  <c r="BU384" i="1" s="1"/>
  <c r="BF373" i="1" l="1"/>
  <c r="BH373" i="1" s="1"/>
  <c r="BD373" i="1"/>
  <c r="Z374" i="1"/>
  <c r="AA374" i="1" s="1"/>
  <c r="AH374" i="1" s="1"/>
  <c r="Z373" i="1"/>
  <c r="AA373" i="1"/>
  <c r="AH373" i="1" s="1"/>
  <c r="AV375" i="1"/>
  <c r="AX382" i="1"/>
  <c r="AZ382" i="1" s="1"/>
  <c r="BB382" i="1" s="1"/>
  <c r="BD382" i="1" s="1"/>
  <c r="AX374" i="1"/>
  <c r="AZ374" i="1" s="1"/>
  <c r="BB374" i="1" s="1"/>
  <c r="BF379" i="1"/>
  <c r="BH379" i="1" s="1"/>
  <c r="BD379" i="1"/>
  <c r="BF375" i="1"/>
  <c r="BH375" i="1" s="1"/>
  <c r="BD375" i="1"/>
  <c r="BF378" i="1"/>
  <c r="BH378" i="1" s="1"/>
  <c r="BD378" i="1"/>
  <c r="Z377" i="1"/>
  <c r="AA377" i="1" s="1"/>
  <c r="AH377" i="1" s="1"/>
  <c r="BF377" i="1"/>
  <c r="BH377" i="1" s="1"/>
  <c r="BD377" i="1"/>
  <c r="Z376" i="1"/>
  <c r="AA376" i="1" s="1"/>
  <c r="AH376" i="1" s="1"/>
  <c r="Z378" i="1"/>
  <c r="AA378" i="1" s="1"/>
  <c r="AH378" i="1" s="1"/>
  <c r="Z375" i="1"/>
  <c r="AA375" i="1" s="1"/>
  <c r="AH375" i="1" s="1"/>
  <c r="Z379" i="1"/>
  <c r="AA379" i="1" s="1"/>
  <c r="AH379" i="1" s="1"/>
  <c r="AX376" i="1"/>
  <c r="AZ376" i="1" s="1"/>
  <c r="BB376" i="1" s="1"/>
  <c r="AX380" i="1"/>
  <c r="AZ380" i="1" s="1"/>
  <c r="BB380" i="1" s="1"/>
  <c r="BF380" i="1" s="1"/>
  <c r="BH380" i="1" s="1"/>
  <c r="Z380" i="1"/>
  <c r="AA380" i="1" s="1"/>
  <c r="AH380" i="1" s="1"/>
  <c r="Z381" i="1"/>
  <c r="AA381" i="1" s="1"/>
  <c r="AH381" i="1" s="1"/>
  <c r="Z382" i="1"/>
  <c r="AA382" i="1" s="1"/>
  <c r="AH382" i="1" s="1"/>
  <c r="AX381" i="1"/>
  <c r="AZ381" i="1" s="1"/>
  <c r="BB381" i="1" s="1"/>
  <c r="Z384" i="1"/>
  <c r="AA384" i="1" s="1"/>
  <c r="AH384" i="1" s="1"/>
  <c r="Z383" i="1"/>
  <c r="AA383" i="1" s="1"/>
  <c r="AH383" i="1" s="1"/>
  <c r="AX384" i="1"/>
  <c r="AZ384" i="1" s="1"/>
  <c r="BB384" i="1" s="1"/>
  <c r="AX383" i="1"/>
  <c r="AZ383" i="1" s="1"/>
  <c r="BB383" i="1" s="1"/>
  <c r="BF382" i="1" l="1"/>
  <c r="BH382" i="1" s="1"/>
  <c r="BD380" i="1"/>
  <c r="BL380" i="1" s="1" a="1"/>
  <c r="BL380" i="1" s="1"/>
  <c r="BF374" i="1"/>
  <c r="BH374" i="1" s="1"/>
  <c r="BD374" i="1"/>
  <c r="BL373" i="1" a="1"/>
  <c r="BL373" i="1" s="1"/>
  <c r="BJ373" i="1" a="1"/>
  <c r="BJ373" i="1" s="1"/>
  <c r="BL377" i="1" a="1"/>
  <c r="BL377" i="1" s="1"/>
  <c r="BJ377" i="1" a="1"/>
  <c r="BJ377" i="1" s="1"/>
  <c r="BJ375" i="1" a="1"/>
  <c r="BJ375" i="1" s="1"/>
  <c r="BL375" i="1" a="1"/>
  <c r="BL375" i="1" s="1"/>
  <c r="BF376" i="1"/>
  <c r="BH376" i="1" s="1"/>
  <c r="BD376" i="1"/>
  <c r="BL378" i="1" a="1"/>
  <c r="BL378" i="1" s="1"/>
  <c r="BJ378" i="1" a="1"/>
  <c r="BJ378" i="1" s="1"/>
  <c r="BL379" i="1" a="1"/>
  <c r="BL379" i="1" s="1"/>
  <c r="BJ379" i="1" a="1"/>
  <c r="BJ379" i="1" s="1"/>
  <c r="BJ380" i="1" a="1"/>
  <c r="BJ380" i="1" s="1"/>
  <c r="BD381" i="1"/>
  <c r="BF381" i="1"/>
  <c r="BH381" i="1" s="1"/>
  <c r="BD384" i="1"/>
  <c r="BF384" i="1"/>
  <c r="BH384" i="1" s="1"/>
  <c r="BD383" i="1"/>
  <c r="BF383" i="1"/>
  <c r="BH383" i="1" s="1"/>
  <c r="BJ382" i="1" l="1" a="1"/>
  <c r="BJ382" i="1" s="1"/>
  <c r="BK382" i="1" s="1" a="1"/>
  <c r="BK382" i="1" s="1"/>
  <c r="BM382" i="1" s="1" a="1"/>
  <c r="BM382" i="1" s="1"/>
  <c r="BL382" i="1" a="1"/>
  <c r="BL382" i="1" s="1"/>
  <c r="BK373" i="1" a="1"/>
  <c r="BK373" i="1" s="1"/>
  <c r="BM373" i="1" s="1" a="1"/>
  <c r="BM373" i="1" s="1"/>
  <c r="BJ374" i="1" a="1"/>
  <c r="BJ374" i="1" s="1"/>
  <c r="BL374" i="1" a="1"/>
  <c r="BL374" i="1" s="1"/>
  <c r="BK378" i="1" a="1"/>
  <c r="BK378" i="1" s="1"/>
  <c r="BM378" i="1" s="1" a="1"/>
  <c r="BM378" i="1" s="1"/>
  <c r="BK379" i="1" a="1"/>
  <c r="BK379" i="1" s="1"/>
  <c r="BM379" i="1" s="1" a="1"/>
  <c r="BM379" i="1" s="1"/>
  <c r="BJ376" i="1" a="1"/>
  <c r="BJ376" i="1" s="1"/>
  <c r="BL376" i="1" a="1"/>
  <c r="BL376" i="1" s="1"/>
  <c r="BK377" i="1" a="1"/>
  <c r="BK377" i="1" s="1"/>
  <c r="BM377" i="1" s="1" a="1"/>
  <c r="BM377" i="1" s="1"/>
  <c r="BK375" i="1" a="1"/>
  <c r="BK375" i="1" s="1"/>
  <c r="BM375" i="1" s="1" a="1"/>
  <c r="BM375" i="1" s="1"/>
  <c r="BK380" i="1" a="1"/>
  <c r="BK380" i="1" s="1"/>
  <c r="BM380" i="1" s="1" a="1"/>
  <c r="BM380" i="1" s="1"/>
  <c r="BJ381" i="1" a="1"/>
  <c r="BJ381" i="1" s="1"/>
  <c r="BL381" i="1" a="1"/>
  <c r="BL381" i="1" s="1"/>
  <c r="BJ383" i="1" a="1"/>
  <c r="BJ383" i="1" s="1"/>
  <c r="BL383" i="1" a="1"/>
  <c r="BL383" i="1" s="1"/>
  <c r="BJ384" i="1" a="1"/>
  <c r="BJ384" i="1" s="1"/>
  <c r="BL384" i="1" a="1"/>
  <c r="BL384" i="1" s="1"/>
  <c r="BK374" i="1" l="1" a="1"/>
  <c r="BK374" i="1" s="1"/>
  <c r="BM374" i="1" s="1" a="1"/>
  <c r="BM374" i="1" s="1"/>
  <c r="BK376" i="1" a="1"/>
  <c r="BK376" i="1" s="1"/>
  <c r="BM376" i="1" s="1" a="1"/>
  <c r="BM376" i="1" s="1"/>
  <c r="BK381" i="1" a="1"/>
  <c r="BK381" i="1" s="1"/>
  <c r="BM381" i="1" s="1" a="1"/>
  <c r="BM381" i="1" s="1"/>
  <c r="BK384" i="1" a="1"/>
  <c r="BK384" i="1" s="1"/>
  <c r="BM384" i="1" s="1" a="1"/>
  <c r="BM384" i="1" s="1"/>
  <c r="BK383" i="1" a="1"/>
  <c r="BK383" i="1" s="1"/>
  <c r="BM383" i="1" s="1" a="1"/>
  <c r="BM383" i="1" s="1"/>
  <c r="BU419" i="1" l="1" a="1"/>
  <c r="BU419" i="1" s="1"/>
  <c r="BU420" i="1" a="1"/>
  <c r="BU420" i="1" s="1"/>
  <c r="BU421" i="1" a="1"/>
  <c r="BU421" i="1" s="1"/>
  <c r="BU422" i="1" a="1"/>
  <c r="BU422" i="1" s="1"/>
  <c r="BU423" i="1" a="1"/>
  <c r="BU423" i="1" s="1"/>
  <c r="BU424" i="1" a="1"/>
  <c r="BU424" i="1" s="1"/>
  <c r="BU425" i="1" a="1"/>
  <c r="BU425" i="1" s="1"/>
  <c r="BU426" i="1" a="1"/>
  <c r="BU426" i="1" s="1"/>
  <c r="BU427" i="1" a="1"/>
  <c r="BU427" i="1" s="1"/>
  <c r="BU428" i="1" a="1"/>
  <c r="BU428" i="1" s="1"/>
  <c r="BU429" i="1" a="1"/>
  <c r="BU429" i="1" s="1"/>
  <c r="BU430" i="1" a="1"/>
  <c r="BU430" i="1" s="1"/>
  <c r="BU431" i="1" a="1"/>
  <c r="BU431" i="1" s="1"/>
  <c r="BU432" i="1" a="1"/>
  <c r="BU432" i="1" s="1"/>
  <c r="BU433" i="1" a="1"/>
  <c r="BU433" i="1" s="1"/>
  <c r="BU434" i="1" a="1"/>
  <c r="BU434" i="1" s="1"/>
  <c r="BU435" i="1" a="1"/>
  <c r="BU435" i="1" s="1"/>
  <c r="BU436" i="1" a="1"/>
  <c r="BU436" i="1" s="1"/>
  <c r="BU437" i="1" a="1"/>
  <c r="BU437" i="1" s="1"/>
  <c r="BU438" i="1" a="1"/>
  <c r="BU438" i="1" s="1"/>
  <c r="BU439" i="1" a="1"/>
  <c r="BU439" i="1" s="1"/>
  <c r="BU440" i="1" a="1"/>
  <c r="BU440" i="1" s="1"/>
  <c r="BU441" i="1" a="1"/>
  <c r="BU441" i="1" s="1"/>
  <c r="BU442" i="1" a="1"/>
  <c r="BU442" i="1" s="1"/>
  <c r="BU443" i="1" a="1"/>
  <c r="BU443" i="1" s="1"/>
  <c r="BU444" i="1" a="1"/>
  <c r="BU444" i="1" s="1"/>
  <c r="BU445" i="1" a="1"/>
  <c r="BU445" i="1" s="1"/>
  <c r="BU446" i="1" a="1"/>
  <c r="BU446" i="1" s="1"/>
  <c r="BU447" i="1" a="1"/>
  <c r="BU447" i="1" s="1"/>
  <c r="BU448" i="1" a="1"/>
  <c r="BU448" i="1" s="1"/>
  <c r="BU449" i="1" a="1"/>
  <c r="BU449" i="1" s="1"/>
  <c r="BU450" i="1" a="1"/>
  <c r="BU450" i="1" s="1"/>
  <c r="BU451" i="1" a="1"/>
  <c r="BU451" i="1" s="1"/>
  <c r="BU452" i="1" a="1"/>
  <c r="BU452" i="1" s="1"/>
  <c r="BU453" i="1" a="1"/>
  <c r="BU453" i="1" s="1"/>
  <c r="BU454" i="1" a="1"/>
  <c r="BU454" i="1" s="1"/>
  <c r="BU455" i="1" a="1"/>
  <c r="BU455" i="1" s="1"/>
  <c r="BU456" i="1" a="1"/>
  <c r="BU456" i="1" s="1"/>
  <c r="BU457" i="1" a="1"/>
  <c r="BU457" i="1" s="1"/>
  <c r="BU458" i="1" a="1"/>
  <c r="BU458" i="1" s="1"/>
  <c r="BU459" i="1" a="1"/>
  <c r="BU459" i="1" s="1"/>
  <c r="BU460" i="1" a="1"/>
  <c r="BU460" i="1" s="1"/>
  <c r="BU461" i="1" a="1"/>
  <c r="BU461" i="1" s="1"/>
  <c r="BU462" i="1" a="1"/>
  <c r="BU462" i="1" s="1"/>
  <c r="BU463" i="1" a="1"/>
  <c r="BU463" i="1" s="1"/>
  <c r="BU464" i="1" a="1"/>
  <c r="BU464" i="1" s="1"/>
  <c r="BU465" i="1" a="1"/>
  <c r="BU465" i="1" s="1"/>
  <c r="BU466" i="1" a="1"/>
  <c r="BU466" i="1" s="1"/>
  <c r="BU467" i="1" a="1"/>
  <c r="BU467" i="1" s="1"/>
  <c r="BU468" i="1" a="1"/>
  <c r="BU468" i="1" s="1"/>
  <c r="BU469" i="1" a="1"/>
  <c r="BU469" i="1" s="1"/>
  <c r="BU470" i="1" a="1"/>
  <c r="BU470" i="1" s="1"/>
  <c r="BU471" i="1" a="1"/>
  <c r="BU471" i="1" s="1"/>
  <c r="BU472" i="1" a="1"/>
  <c r="BU472" i="1" s="1"/>
  <c r="BU473" i="1" a="1"/>
  <c r="BU473" i="1" s="1"/>
  <c r="BU474" i="1" a="1"/>
  <c r="BU474" i="1" s="1"/>
  <c r="BU475" i="1" a="1"/>
  <c r="BU475" i="1" s="1"/>
  <c r="BU476" i="1" a="1"/>
  <c r="BU476" i="1" s="1"/>
  <c r="BU477" i="1" a="1"/>
  <c r="BU477" i="1" s="1"/>
  <c r="BU478" i="1" a="1"/>
  <c r="BU478" i="1" s="1"/>
  <c r="BU479" i="1" a="1"/>
  <c r="BU479" i="1" s="1"/>
  <c r="BU480" i="1" a="1"/>
  <c r="BU480" i="1" s="1"/>
  <c r="BU481" i="1" a="1"/>
  <c r="BU481" i="1" s="1"/>
  <c r="BU482" i="1" a="1"/>
  <c r="BU482" i="1" s="1"/>
  <c r="BU483" i="1" a="1"/>
  <c r="BU483" i="1" s="1"/>
  <c r="BU484" i="1" a="1"/>
  <c r="BU484" i="1" s="1"/>
  <c r="BU485" i="1" a="1"/>
  <c r="BU485" i="1" s="1"/>
  <c r="BU486" i="1" a="1"/>
  <c r="BU486" i="1" s="1"/>
  <c r="BU487" i="1" a="1"/>
  <c r="BU487" i="1" s="1"/>
  <c r="BU488" i="1" a="1"/>
  <c r="BU488" i="1" s="1"/>
  <c r="BU489" i="1" a="1"/>
  <c r="BU489" i="1" s="1"/>
  <c r="BU490" i="1" a="1"/>
  <c r="BU490" i="1" s="1"/>
  <c r="BU491" i="1" a="1"/>
  <c r="BU491" i="1" s="1"/>
  <c r="BU492" i="1" a="1"/>
  <c r="BU492" i="1" s="1"/>
  <c r="BU493" i="1" a="1"/>
  <c r="BU493" i="1" s="1"/>
  <c r="BU494" i="1" a="1"/>
  <c r="BU494" i="1" s="1"/>
  <c r="BU495" i="1" a="1"/>
  <c r="BU495" i="1" s="1"/>
  <c r="BU496" i="1" a="1"/>
  <c r="BU496" i="1" s="1"/>
  <c r="BU497" i="1" a="1"/>
  <c r="BU497" i="1" s="1"/>
  <c r="BU498" i="1" a="1"/>
  <c r="BU498" i="1" s="1"/>
  <c r="BU499" i="1" a="1"/>
  <c r="BU499" i="1" s="1"/>
  <c r="BU500" i="1" a="1"/>
  <c r="BU500" i="1" s="1"/>
  <c r="BU501" i="1" a="1"/>
  <c r="BU501" i="1" s="1"/>
  <c r="BU502" i="1" a="1"/>
  <c r="BU502" i="1" s="1"/>
  <c r="BU503" i="1" a="1"/>
  <c r="BU503" i="1" s="1"/>
  <c r="BU504" i="1" a="1"/>
  <c r="BU504" i="1" s="1"/>
  <c r="BU505" i="1" a="1"/>
  <c r="BU505" i="1" s="1"/>
  <c r="BT419" i="1" a="1"/>
  <c r="BT419" i="1" s="1"/>
  <c r="BT420" i="1" a="1"/>
  <c r="BT420" i="1" s="1"/>
  <c r="BT421" i="1" a="1"/>
  <c r="BT421" i="1" s="1"/>
  <c r="BT422" i="1" a="1"/>
  <c r="BT422" i="1" s="1"/>
  <c r="BT423" i="1" a="1"/>
  <c r="BT423" i="1" s="1"/>
  <c r="BT424" i="1" a="1"/>
  <c r="BT424" i="1" s="1"/>
  <c r="BT425" i="1" a="1"/>
  <c r="BT425" i="1" s="1"/>
  <c r="BT426" i="1" a="1"/>
  <c r="BT426" i="1" s="1"/>
  <c r="BT427" i="1" a="1"/>
  <c r="BT427" i="1" s="1"/>
  <c r="BT428" i="1" a="1"/>
  <c r="BT428" i="1" s="1"/>
  <c r="BT429" i="1" a="1"/>
  <c r="BT429" i="1" s="1"/>
  <c r="BT430" i="1" a="1"/>
  <c r="BT430" i="1" s="1"/>
  <c r="BT431" i="1" a="1"/>
  <c r="BT431" i="1" s="1"/>
  <c r="BT432" i="1" a="1"/>
  <c r="BT432" i="1" s="1"/>
  <c r="BT433" i="1" a="1"/>
  <c r="BT433" i="1" s="1"/>
  <c r="BT434" i="1" a="1"/>
  <c r="BT434" i="1" s="1"/>
  <c r="BT435" i="1" a="1"/>
  <c r="BT435" i="1" s="1"/>
  <c r="BT436" i="1" a="1"/>
  <c r="BT436" i="1" s="1"/>
  <c r="BT437" i="1" a="1"/>
  <c r="BT437" i="1" s="1"/>
  <c r="BT438" i="1" a="1"/>
  <c r="BT438" i="1" s="1"/>
  <c r="BT439" i="1" a="1"/>
  <c r="BT439" i="1" s="1"/>
  <c r="BT440" i="1" a="1"/>
  <c r="BT440" i="1" s="1"/>
  <c r="BT441" i="1" a="1"/>
  <c r="BT441" i="1" s="1"/>
  <c r="BT442" i="1" a="1"/>
  <c r="BT442" i="1" s="1"/>
  <c r="BT443" i="1" a="1"/>
  <c r="BT443" i="1" s="1"/>
  <c r="BT444" i="1" a="1"/>
  <c r="BT444" i="1" s="1"/>
  <c r="BT445" i="1" a="1"/>
  <c r="BT445" i="1" s="1"/>
  <c r="BT446" i="1" a="1"/>
  <c r="BT446" i="1" s="1"/>
  <c r="BT447" i="1" a="1"/>
  <c r="BT447" i="1" s="1"/>
  <c r="BT448" i="1" a="1"/>
  <c r="BT448" i="1" s="1"/>
  <c r="BT449" i="1" a="1"/>
  <c r="BT449" i="1" s="1"/>
  <c r="BT450" i="1" a="1"/>
  <c r="BT450" i="1" s="1"/>
  <c r="BT451" i="1" a="1"/>
  <c r="BT451" i="1" s="1"/>
  <c r="BT452" i="1" a="1"/>
  <c r="BT452" i="1" s="1"/>
  <c r="BT453" i="1" a="1"/>
  <c r="BT453" i="1" s="1"/>
  <c r="BT454" i="1" a="1"/>
  <c r="BT454" i="1" s="1"/>
  <c r="BT455" i="1" a="1"/>
  <c r="BT455" i="1" s="1"/>
  <c r="BT456" i="1" a="1"/>
  <c r="BT456" i="1" s="1"/>
  <c r="BT457" i="1" a="1"/>
  <c r="BT457" i="1" s="1"/>
  <c r="BT458" i="1" a="1"/>
  <c r="BT458" i="1" s="1"/>
  <c r="BT459" i="1" a="1"/>
  <c r="BT459" i="1" s="1"/>
  <c r="BT460" i="1" a="1"/>
  <c r="BT460" i="1" s="1"/>
  <c r="BT461" i="1" a="1"/>
  <c r="BT461" i="1" s="1"/>
  <c r="BT462" i="1" a="1"/>
  <c r="BT462" i="1" s="1"/>
  <c r="BT463" i="1" a="1"/>
  <c r="BT463" i="1" s="1"/>
  <c r="BT464" i="1" a="1"/>
  <c r="BT464" i="1" s="1"/>
  <c r="BT465" i="1" a="1"/>
  <c r="BT465" i="1" s="1"/>
  <c r="BT466" i="1" a="1"/>
  <c r="BT466" i="1" s="1"/>
  <c r="BT467" i="1" a="1"/>
  <c r="BT467" i="1" s="1"/>
  <c r="BT468" i="1" a="1"/>
  <c r="BT468" i="1" s="1"/>
  <c r="BT469" i="1" a="1"/>
  <c r="BT469" i="1" s="1"/>
  <c r="BT470" i="1" a="1"/>
  <c r="BT470" i="1" s="1"/>
  <c r="BT471" i="1" a="1"/>
  <c r="BT471" i="1" s="1"/>
  <c r="BT472" i="1" a="1"/>
  <c r="BT472" i="1" s="1"/>
  <c r="BT473" i="1" a="1"/>
  <c r="BT473" i="1" s="1"/>
  <c r="BT474" i="1" a="1"/>
  <c r="BT474" i="1" s="1"/>
  <c r="BT475" i="1" a="1"/>
  <c r="BT475" i="1" s="1"/>
  <c r="BT476" i="1" a="1"/>
  <c r="BT476" i="1" s="1"/>
  <c r="BT477" i="1" a="1"/>
  <c r="BT477" i="1" s="1"/>
  <c r="BT478" i="1" a="1"/>
  <c r="BT478" i="1" s="1"/>
  <c r="BT479" i="1" a="1"/>
  <c r="BT479" i="1" s="1"/>
  <c r="BT480" i="1" a="1"/>
  <c r="BT480" i="1" s="1"/>
  <c r="BT481" i="1" a="1"/>
  <c r="BT481" i="1" s="1"/>
  <c r="BT482" i="1" a="1"/>
  <c r="BT482" i="1" s="1"/>
  <c r="BT483" i="1" a="1"/>
  <c r="BT483" i="1" s="1"/>
  <c r="BT484" i="1" a="1"/>
  <c r="BT484" i="1" s="1"/>
  <c r="BT485" i="1" a="1"/>
  <c r="BT485" i="1" s="1"/>
  <c r="BT486" i="1" a="1"/>
  <c r="BT486" i="1" s="1"/>
  <c r="BT487" i="1" a="1"/>
  <c r="BT487" i="1" s="1"/>
  <c r="BT488" i="1" a="1"/>
  <c r="BT488" i="1" s="1"/>
  <c r="BT489" i="1" a="1"/>
  <c r="BT489" i="1" s="1"/>
  <c r="BT490" i="1" a="1"/>
  <c r="BT490" i="1" s="1"/>
  <c r="BT491" i="1" a="1"/>
  <c r="BT491" i="1" s="1"/>
  <c r="BT492" i="1" a="1"/>
  <c r="BT492" i="1" s="1"/>
  <c r="BT493" i="1" a="1"/>
  <c r="BT493" i="1" s="1"/>
  <c r="BT494" i="1" a="1"/>
  <c r="BT494" i="1" s="1"/>
  <c r="BT495" i="1" a="1"/>
  <c r="BT495" i="1" s="1"/>
  <c r="BT496" i="1" a="1"/>
  <c r="BT496" i="1" s="1"/>
  <c r="BT497" i="1" a="1"/>
  <c r="BT497" i="1" s="1"/>
  <c r="BT498" i="1" a="1"/>
  <c r="BT498" i="1" s="1"/>
  <c r="BT499" i="1" a="1"/>
  <c r="BT499" i="1" s="1"/>
  <c r="BT500" i="1" a="1"/>
  <c r="BT500" i="1" s="1"/>
  <c r="BT501" i="1" a="1"/>
  <c r="BT501" i="1" s="1"/>
  <c r="BT502" i="1" a="1"/>
  <c r="BT502" i="1" s="1"/>
  <c r="BT503" i="1" a="1"/>
  <c r="BT503" i="1" s="1"/>
  <c r="BT504" i="1" a="1"/>
  <c r="BT504" i="1" s="1"/>
  <c r="BT505" i="1" a="1"/>
  <c r="BT505" i="1" s="1"/>
  <c r="BS419" i="1" a="1"/>
  <c r="BS419" i="1" s="1"/>
  <c r="BS420" i="1" a="1"/>
  <c r="BS420" i="1" s="1"/>
  <c r="BS421" i="1" a="1"/>
  <c r="BS421" i="1" s="1"/>
  <c r="BS422" i="1" a="1"/>
  <c r="BS422" i="1" s="1"/>
  <c r="BS423" i="1" a="1"/>
  <c r="BS423" i="1" s="1"/>
  <c r="BS424" i="1" a="1"/>
  <c r="BS424" i="1" s="1"/>
  <c r="BS425" i="1" a="1"/>
  <c r="BS425" i="1" s="1"/>
  <c r="BS426" i="1" a="1"/>
  <c r="BS426" i="1" s="1"/>
  <c r="BS427" i="1" a="1"/>
  <c r="BS427" i="1" s="1"/>
  <c r="BS428" i="1" a="1"/>
  <c r="BS428" i="1" s="1"/>
  <c r="BS429" i="1" a="1"/>
  <c r="BS429" i="1" s="1"/>
  <c r="BS430" i="1" a="1"/>
  <c r="BS430" i="1" s="1"/>
  <c r="BS431" i="1" a="1"/>
  <c r="BS431" i="1" s="1"/>
  <c r="BS432" i="1" a="1"/>
  <c r="BS432" i="1" s="1"/>
  <c r="BS433" i="1" a="1"/>
  <c r="BS433" i="1" s="1"/>
  <c r="BS434" i="1" a="1"/>
  <c r="BS434" i="1" s="1"/>
  <c r="BS435" i="1" a="1"/>
  <c r="BS435" i="1" s="1"/>
  <c r="BS436" i="1" a="1"/>
  <c r="BS436" i="1" s="1"/>
  <c r="BS437" i="1" a="1"/>
  <c r="BS437" i="1" s="1"/>
  <c r="BS438" i="1" a="1"/>
  <c r="BS438" i="1" s="1"/>
  <c r="BS439" i="1" a="1"/>
  <c r="BS439" i="1" s="1"/>
  <c r="BS440" i="1" a="1"/>
  <c r="BS440" i="1" s="1"/>
  <c r="BS441" i="1" a="1"/>
  <c r="BS441" i="1" s="1"/>
  <c r="BS442" i="1" a="1"/>
  <c r="BS442" i="1" s="1"/>
  <c r="BS443" i="1" a="1"/>
  <c r="BS443" i="1" s="1"/>
  <c r="BS444" i="1" a="1"/>
  <c r="BS444" i="1" s="1"/>
  <c r="BS445" i="1" a="1"/>
  <c r="BS445" i="1" s="1"/>
  <c r="BS446" i="1" a="1"/>
  <c r="BS446" i="1" s="1"/>
  <c r="BS447" i="1" a="1"/>
  <c r="BS447" i="1" s="1"/>
  <c r="BS448" i="1" a="1"/>
  <c r="BS448" i="1" s="1"/>
  <c r="BS449" i="1" a="1"/>
  <c r="BS449" i="1" s="1"/>
  <c r="BS450" i="1" a="1"/>
  <c r="BS450" i="1" s="1"/>
  <c r="BS451" i="1" a="1"/>
  <c r="BS451" i="1" s="1"/>
  <c r="BS452" i="1" a="1"/>
  <c r="BS452" i="1" s="1"/>
  <c r="BS453" i="1" a="1"/>
  <c r="BS453" i="1" s="1"/>
  <c r="BS454" i="1" a="1"/>
  <c r="BS454" i="1" s="1"/>
  <c r="BS455" i="1" a="1"/>
  <c r="BS455" i="1" s="1"/>
  <c r="BS456" i="1" a="1"/>
  <c r="BS456" i="1" s="1"/>
  <c r="BS457" i="1" a="1"/>
  <c r="BS457" i="1" s="1"/>
  <c r="BS458" i="1" a="1"/>
  <c r="BS458" i="1" s="1"/>
  <c r="BS459" i="1" a="1"/>
  <c r="BS459" i="1" s="1"/>
  <c r="BS460" i="1" a="1"/>
  <c r="BS460" i="1" s="1"/>
  <c r="BS461" i="1" a="1"/>
  <c r="BS461" i="1" s="1"/>
  <c r="BS462" i="1" a="1"/>
  <c r="BS462" i="1" s="1"/>
  <c r="BS463" i="1" a="1"/>
  <c r="BS463" i="1" s="1"/>
  <c r="BS464" i="1" a="1"/>
  <c r="BS464" i="1" s="1"/>
  <c r="BS465" i="1" a="1"/>
  <c r="BS465" i="1" s="1"/>
  <c r="BS466" i="1" a="1"/>
  <c r="BS466" i="1" s="1"/>
  <c r="BS467" i="1" a="1"/>
  <c r="BS467" i="1" s="1"/>
  <c r="BS468" i="1" a="1"/>
  <c r="BS468" i="1" s="1"/>
  <c r="BS469" i="1" a="1"/>
  <c r="BS469" i="1" s="1"/>
  <c r="BS470" i="1" a="1"/>
  <c r="BS470" i="1" s="1"/>
  <c r="BS471" i="1" a="1"/>
  <c r="BS471" i="1" s="1"/>
  <c r="BS472" i="1" a="1"/>
  <c r="BS472" i="1" s="1"/>
  <c r="BS473" i="1" a="1"/>
  <c r="BS473" i="1" s="1"/>
  <c r="BS474" i="1" a="1"/>
  <c r="BS474" i="1" s="1"/>
  <c r="BS475" i="1" a="1"/>
  <c r="BS475" i="1" s="1"/>
  <c r="BS476" i="1" a="1"/>
  <c r="BS476" i="1" s="1"/>
  <c r="BS477" i="1" a="1"/>
  <c r="BS477" i="1" s="1"/>
  <c r="BS478" i="1" a="1"/>
  <c r="BS478" i="1" s="1"/>
  <c r="BS479" i="1" a="1"/>
  <c r="BS479" i="1" s="1"/>
  <c r="BS480" i="1" a="1"/>
  <c r="BS480" i="1" s="1"/>
  <c r="BS481" i="1" a="1"/>
  <c r="BS481" i="1" s="1"/>
  <c r="BS482" i="1" a="1"/>
  <c r="BS482" i="1" s="1"/>
  <c r="BS483" i="1" a="1"/>
  <c r="BS483" i="1" s="1"/>
  <c r="BS484" i="1" a="1"/>
  <c r="BS484" i="1" s="1"/>
  <c r="BS485" i="1" a="1"/>
  <c r="BS485" i="1" s="1"/>
  <c r="BS486" i="1" a="1"/>
  <c r="BS486" i="1" s="1"/>
  <c r="BS487" i="1" a="1"/>
  <c r="BS487" i="1" s="1"/>
  <c r="BS488" i="1" a="1"/>
  <c r="BS488" i="1" s="1"/>
  <c r="BS489" i="1" a="1"/>
  <c r="BS489" i="1" s="1"/>
  <c r="BS490" i="1" a="1"/>
  <c r="BS490" i="1" s="1"/>
  <c r="BS491" i="1" a="1"/>
  <c r="BS491" i="1" s="1"/>
  <c r="BS492" i="1" a="1"/>
  <c r="BS492" i="1" s="1"/>
  <c r="BS493" i="1" a="1"/>
  <c r="BS493" i="1" s="1"/>
  <c r="BS494" i="1" a="1"/>
  <c r="BS494" i="1" s="1"/>
  <c r="BS495" i="1" a="1"/>
  <c r="BS495" i="1" s="1"/>
  <c r="BS496" i="1" a="1"/>
  <c r="BS496" i="1" s="1"/>
  <c r="BS497" i="1" a="1"/>
  <c r="BS497" i="1" s="1"/>
  <c r="BS498" i="1" a="1"/>
  <c r="BS498" i="1" s="1"/>
  <c r="BS499" i="1" a="1"/>
  <c r="BS499" i="1" s="1"/>
  <c r="BS500" i="1" a="1"/>
  <c r="BS500" i="1" s="1"/>
  <c r="BS501" i="1" a="1"/>
  <c r="BS501" i="1" s="1"/>
  <c r="BS502" i="1" a="1"/>
  <c r="BS502" i="1" s="1"/>
  <c r="BS503" i="1" a="1"/>
  <c r="BS503" i="1" s="1"/>
  <c r="BS504" i="1" a="1"/>
  <c r="BS504" i="1" s="1"/>
  <c r="BS505" i="1" a="1"/>
  <c r="BS505" i="1" s="1"/>
  <c r="BR419" i="1" a="1"/>
  <c r="BR419" i="1" s="1"/>
  <c r="BE419" i="1" s="1"/>
  <c r="BR420" i="1" a="1"/>
  <c r="BR420" i="1" s="1"/>
  <c r="BR421" i="1" a="1"/>
  <c r="BR421" i="1" s="1"/>
  <c r="BR422" i="1" a="1"/>
  <c r="BR422" i="1" s="1"/>
  <c r="BR423" i="1" a="1"/>
  <c r="BR423" i="1" s="1"/>
  <c r="BR424" i="1" a="1"/>
  <c r="BR424" i="1" s="1"/>
  <c r="BR425" i="1" a="1"/>
  <c r="BR425" i="1" s="1"/>
  <c r="BR426" i="1" a="1"/>
  <c r="BR426" i="1" s="1"/>
  <c r="BR427" i="1" a="1"/>
  <c r="BR427" i="1" s="1"/>
  <c r="BR428" i="1" a="1"/>
  <c r="BR428" i="1" s="1"/>
  <c r="BR429" i="1" a="1"/>
  <c r="BR429" i="1" s="1"/>
  <c r="BR430" i="1" a="1"/>
  <c r="BR430" i="1" s="1"/>
  <c r="BR431" i="1" a="1"/>
  <c r="BR431" i="1" s="1"/>
  <c r="BR432" i="1" a="1"/>
  <c r="BR432" i="1" s="1"/>
  <c r="BR433" i="1" a="1"/>
  <c r="BR433" i="1" s="1"/>
  <c r="BR434" i="1" a="1"/>
  <c r="BR434" i="1" s="1"/>
  <c r="BR435" i="1" a="1"/>
  <c r="BR435" i="1" s="1"/>
  <c r="BR436" i="1" a="1"/>
  <c r="BR436" i="1" s="1"/>
  <c r="BR437" i="1" a="1"/>
  <c r="BR437" i="1" s="1"/>
  <c r="BR438" i="1" a="1"/>
  <c r="BR438" i="1" s="1"/>
  <c r="BR439" i="1" a="1"/>
  <c r="BR439" i="1" s="1"/>
  <c r="BR440" i="1" a="1"/>
  <c r="BR440" i="1" s="1"/>
  <c r="BR441" i="1" a="1"/>
  <c r="BR441" i="1" s="1"/>
  <c r="BR442" i="1" a="1"/>
  <c r="BR442" i="1" s="1"/>
  <c r="BR443" i="1" a="1"/>
  <c r="BR443" i="1" s="1"/>
  <c r="BR444" i="1" a="1"/>
  <c r="BR444" i="1" s="1"/>
  <c r="BR445" i="1" a="1"/>
  <c r="BR445" i="1" s="1"/>
  <c r="BR446" i="1" a="1"/>
  <c r="BR446" i="1" s="1"/>
  <c r="BR447" i="1" a="1"/>
  <c r="BR447" i="1" s="1"/>
  <c r="BR448" i="1" a="1"/>
  <c r="BR448" i="1" s="1"/>
  <c r="BR449" i="1" a="1"/>
  <c r="BR449" i="1" s="1"/>
  <c r="BR450" i="1" a="1"/>
  <c r="BR450" i="1" s="1"/>
  <c r="BR451" i="1" a="1"/>
  <c r="BR451" i="1" s="1"/>
  <c r="BR452" i="1" a="1"/>
  <c r="BR452" i="1" s="1"/>
  <c r="BR453" i="1" a="1"/>
  <c r="BR453" i="1" s="1"/>
  <c r="BR454" i="1" a="1"/>
  <c r="BR454" i="1" s="1"/>
  <c r="BR455" i="1" a="1"/>
  <c r="BR455" i="1" s="1"/>
  <c r="BR456" i="1" a="1"/>
  <c r="BR456" i="1" s="1"/>
  <c r="BR457" i="1" a="1"/>
  <c r="BR457" i="1" s="1"/>
  <c r="BR458" i="1" a="1"/>
  <c r="BR458" i="1" s="1"/>
  <c r="BR459" i="1" a="1"/>
  <c r="BR459" i="1" s="1"/>
  <c r="BR460" i="1" a="1"/>
  <c r="BR460" i="1" s="1"/>
  <c r="BR461" i="1" a="1"/>
  <c r="BR461" i="1" s="1"/>
  <c r="BR462" i="1" a="1"/>
  <c r="BR462" i="1" s="1"/>
  <c r="BR463" i="1" a="1"/>
  <c r="BR463" i="1" s="1"/>
  <c r="BR464" i="1" a="1"/>
  <c r="BR464" i="1" s="1"/>
  <c r="BR465" i="1" a="1"/>
  <c r="BR465" i="1" s="1"/>
  <c r="BR466" i="1" a="1"/>
  <c r="BR466" i="1" s="1"/>
  <c r="BR467" i="1" a="1"/>
  <c r="BR467" i="1" s="1"/>
  <c r="BR468" i="1" a="1"/>
  <c r="BR468" i="1" s="1"/>
  <c r="BR469" i="1" a="1"/>
  <c r="BR469" i="1" s="1"/>
  <c r="BR470" i="1" a="1"/>
  <c r="BR470" i="1" s="1"/>
  <c r="BR471" i="1" a="1"/>
  <c r="BR471" i="1" s="1"/>
  <c r="BR472" i="1" a="1"/>
  <c r="BR472" i="1" s="1"/>
  <c r="BR473" i="1" a="1"/>
  <c r="BR473" i="1" s="1"/>
  <c r="BR474" i="1" a="1"/>
  <c r="BR474" i="1" s="1"/>
  <c r="BR475" i="1" a="1"/>
  <c r="BR475" i="1" s="1"/>
  <c r="BR476" i="1" a="1"/>
  <c r="BR476" i="1" s="1"/>
  <c r="BR477" i="1" a="1"/>
  <c r="BR477" i="1" s="1"/>
  <c r="BR478" i="1" a="1"/>
  <c r="BR478" i="1" s="1"/>
  <c r="BR479" i="1" a="1"/>
  <c r="BR479" i="1" s="1"/>
  <c r="BR480" i="1" a="1"/>
  <c r="BR480" i="1" s="1"/>
  <c r="BR481" i="1" a="1"/>
  <c r="BR481" i="1" s="1"/>
  <c r="BR482" i="1" a="1"/>
  <c r="BR482" i="1" s="1"/>
  <c r="BR483" i="1" a="1"/>
  <c r="BR483" i="1" s="1"/>
  <c r="BR484" i="1" a="1"/>
  <c r="BR484" i="1" s="1"/>
  <c r="BR485" i="1" a="1"/>
  <c r="BR485" i="1" s="1"/>
  <c r="BR486" i="1" a="1"/>
  <c r="BR486" i="1" s="1"/>
  <c r="BR487" i="1" a="1"/>
  <c r="BR487" i="1" s="1"/>
  <c r="BR488" i="1" a="1"/>
  <c r="BR488" i="1" s="1"/>
  <c r="BR489" i="1" a="1"/>
  <c r="BR489" i="1" s="1"/>
  <c r="BR490" i="1" a="1"/>
  <c r="BR490" i="1" s="1"/>
  <c r="BR491" i="1" a="1"/>
  <c r="BR491" i="1" s="1"/>
  <c r="BR492" i="1" a="1"/>
  <c r="BR492" i="1" s="1"/>
  <c r="BR493" i="1" a="1"/>
  <c r="BR493" i="1" s="1"/>
  <c r="BR494" i="1" a="1"/>
  <c r="BR494" i="1" s="1"/>
  <c r="BR495" i="1" a="1"/>
  <c r="BR495" i="1" s="1"/>
  <c r="BR496" i="1" a="1"/>
  <c r="BR496" i="1" s="1"/>
  <c r="BR497" i="1" a="1"/>
  <c r="BR497" i="1" s="1"/>
  <c r="BR498" i="1" a="1"/>
  <c r="BR498" i="1" s="1"/>
  <c r="BR499" i="1" a="1"/>
  <c r="BR499" i="1" s="1"/>
  <c r="BR500" i="1" a="1"/>
  <c r="BR500" i="1" s="1"/>
  <c r="BR501" i="1" a="1"/>
  <c r="BR501" i="1" s="1"/>
  <c r="BR502" i="1" a="1"/>
  <c r="BR502" i="1" s="1"/>
  <c r="BR503" i="1" a="1"/>
  <c r="BR503" i="1" s="1"/>
  <c r="BR504" i="1" a="1"/>
  <c r="BR504" i="1" s="1"/>
  <c r="BR505" i="1" a="1"/>
  <c r="BR505" i="1" s="1"/>
  <c r="BU344" i="1" a="1"/>
  <c r="BU344" i="1" s="1"/>
  <c r="BU345" i="1" a="1"/>
  <c r="BU345" i="1" s="1"/>
  <c r="BU346" i="1" a="1"/>
  <c r="BU346" i="1" s="1"/>
  <c r="BU347" i="1" a="1"/>
  <c r="BU347" i="1" s="1"/>
  <c r="BU348" i="1" a="1"/>
  <c r="BU348" i="1" s="1"/>
  <c r="BU349" i="1" a="1"/>
  <c r="BU349" i="1" s="1"/>
  <c r="BU350" i="1" a="1"/>
  <c r="BU350" i="1" s="1"/>
  <c r="BU351" i="1" a="1"/>
  <c r="BU351" i="1" s="1"/>
  <c r="BU352" i="1" a="1"/>
  <c r="BU352" i="1" s="1"/>
  <c r="BU353" i="1" a="1"/>
  <c r="BU353" i="1" s="1"/>
  <c r="BU354" i="1" a="1"/>
  <c r="BU354" i="1" s="1"/>
  <c r="BU355" i="1" a="1"/>
  <c r="BU355" i="1" s="1"/>
  <c r="BU356" i="1" a="1"/>
  <c r="BU356" i="1" s="1"/>
  <c r="BU357" i="1" a="1"/>
  <c r="BU357" i="1" s="1"/>
  <c r="BU358" i="1" a="1"/>
  <c r="BU358" i="1" s="1"/>
  <c r="BU359" i="1" a="1"/>
  <c r="BU359" i="1" s="1"/>
  <c r="BU360" i="1" a="1"/>
  <c r="BU360" i="1" s="1"/>
  <c r="BU361" i="1" a="1"/>
  <c r="BU361" i="1" s="1"/>
  <c r="BU362" i="1" a="1"/>
  <c r="BU362" i="1" s="1"/>
  <c r="BU363" i="1" a="1"/>
  <c r="BU363" i="1" s="1"/>
  <c r="BT344" i="1" a="1"/>
  <c r="BT344" i="1" s="1"/>
  <c r="BI344" i="1" s="1"/>
  <c r="BT345" i="1" a="1"/>
  <c r="BT345" i="1" s="1"/>
  <c r="BI345" i="1" s="1"/>
  <c r="BT346" i="1" a="1"/>
  <c r="BT346" i="1" s="1"/>
  <c r="BI346" i="1" s="1"/>
  <c r="BT347" i="1" a="1"/>
  <c r="BT347" i="1" s="1"/>
  <c r="BI347" i="1" s="1"/>
  <c r="BT348" i="1" a="1"/>
  <c r="BT348" i="1" s="1"/>
  <c r="BI348" i="1" s="1"/>
  <c r="BT349" i="1" a="1"/>
  <c r="BT349" i="1" s="1"/>
  <c r="BI349" i="1" s="1"/>
  <c r="BT350" i="1" a="1"/>
  <c r="BT350" i="1" s="1"/>
  <c r="BI350" i="1" s="1"/>
  <c r="BT351" i="1" a="1"/>
  <c r="BT351" i="1" s="1"/>
  <c r="BI351" i="1" s="1"/>
  <c r="BT352" i="1" a="1"/>
  <c r="BT352" i="1" s="1"/>
  <c r="BI352" i="1" s="1"/>
  <c r="BT353" i="1" a="1"/>
  <c r="BT353" i="1" s="1"/>
  <c r="BI353" i="1" s="1"/>
  <c r="BT354" i="1" a="1"/>
  <c r="BT354" i="1" s="1"/>
  <c r="BI354" i="1" s="1"/>
  <c r="BT355" i="1" a="1"/>
  <c r="BT355" i="1" s="1"/>
  <c r="BI355" i="1" s="1"/>
  <c r="BT356" i="1" a="1"/>
  <c r="BT356" i="1" s="1"/>
  <c r="BI356" i="1" s="1"/>
  <c r="BT357" i="1" a="1"/>
  <c r="BT357" i="1" s="1"/>
  <c r="BI357" i="1" s="1"/>
  <c r="BT358" i="1" a="1"/>
  <c r="BT358" i="1" s="1"/>
  <c r="BI358" i="1" s="1"/>
  <c r="BT359" i="1" a="1"/>
  <c r="BT359" i="1" s="1"/>
  <c r="BI359" i="1" s="1"/>
  <c r="BT360" i="1" a="1"/>
  <c r="BT360" i="1" s="1"/>
  <c r="BI360" i="1" s="1"/>
  <c r="BT361" i="1" a="1"/>
  <c r="BT361" i="1" s="1"/>
  <c r="BI361" i="1" s="1"/>
  <c r="BT362" i="1" a="1"/>
  <c r="BT362" i="1" s="1"/>
  <c r="BI362" i="1" s="1"/>
  <c r="BT363" i="1" a="1"/>
  <c r="BT363" i="1" s="1"/>
  <c r="BI363" i="1" s="1"/>
  <c r="BS344" i="1" a="1"/>
  <c r="BS344" i="1" s="1"/>
  <c r="BG344" i="1" s="1"/>
  <c r="BS345" i="1" a="1"/>
  <c r="BS345" i="1" s="1"/>
  <c r="BG345" i="1" s="1"/>
  <c r="BS346" i="1" a="1"/>
  <c r="BS346" i="1" s="1"/>
  <c r="BG346" i="1" s="1"/>
  <c r="BS347" i="1" a="1"/>
  <c r="BS347" i="1" s="1"/>
  <c r="BG347" i="1" s="1"/>
  <c r="BS348" i="1" a="1"/>
  <c r="BS348" i="1" s="1"/>
  <c r="BG348" i="1" s="1"/>
  <c r="BS349" i="1" a="1"/>
  <c r="BS349" i="1" s="1"/>
  <c r="BG349" i="1" s="1"/>
  <c r="BS350" i="1" a="1"/>
  <c r="BS350" i="1" s="1"/>
  <c r="BG350" i="1" s="1"/>
  <c r="BS351" i="1" a="1"/>
  <c r="BS351" i="1" s="1"/>
  <c r="BG351" i="1" s="1"/>
  <c r="BS352" i="1" a="1"/>
  <c r="BS352" i="1" s="1"/>
  <c r="BG352" i="1" s="1"/>
  <c r="BS353" i="1" a="1"/>
  <c r="BS353" i="1" s="1"/>
  <c r="BG353" i="1" s="1"/>
  <c r="BS354" i="1" a="1"/>
  <c r="BS354" i="1" s="1"/>
  <c r="BG354" i="1" s="1"/>
  <c r="BS355" i="1" a="1"/>
  <c r="BS355" i="1" s="1"/>
  <c r="BG355" i="1" s="1"/>
  <c r="BS356" i="1" a="1"/>
  <c r="BS356" i="1" s="1"/>
  <c r="BG356" i="1" s="1"/>
  <c r="BS357" i="1" a="1"/>
  <c r="BS357" i="1" s="1"/>
  <c r="BG357" i="1" s="1"/>
  <c r="BS358" i="1" a="1"/>
  <c r="BS358" i="1" s="1"/>
  <c r="BG358" i="1" s="1"/>
  <c r="BS359" i="1" a="1"/>
  <c r="BS359" i="1" s="1"/>
  <c r="BG359" i="1" s="1"/>
  <c r="BS360" i="1" a="1"/>
  <c r="BS360" i="1" s="1"/>
  <c r="BG360" i="1" s="1"/>
  <c r="BS361" i="1" a="1"/>
  <c r="BS361" i="1" s="1"/>
  <c r="BG361" i="1" s="1"/>
  <c r="BS362" i="1" a="1"/>
  <c r="BS362" i="1" s="1"/>
  <c r="BG362" i="1" s="1"/>
  <c r="BS363" i="1" a="1"/>
  <c r="BS363" i="1" s="1"/>
  <c r="BG363" i="1" s="1"/>
  <c r="BR344" i="1" a="1"/>
  <c r="BR344" i="1" s="1"/>
  <c r="BE344" i="1" s="1"/>
  <c r="BR345" i="1" a="1"/>
  <c r="BR345" i="1" s="1"/>
  <c r="BE345" i="1" s="1"/>
  <c r="BR346" i="1" a="1"/>
  <c r="BR346" i="1" s="1"/>
  <c r="BE346" i="1" s="1"/>
  <c r="BR347" i="1" a="1"/>
  <c r="BR347" i="1" s="1"/>
  <c r="BE347" i="1" s="1"/>
  <c r="BR348" i="1" a="1"/>
  <c r="BR348" i="1" s="1"/>
  <c r="BE348" i="1" s="1"/>
  <c r="BR349" i="1" a="1"/>
  <c r="BR349" i="1" s="1"/>
  <c r="BE349" i="1" s="1"/>
  <c r="BR350" i="1" a="1"/>
  <c r="BR350" i="1" s="1"/>
  <c r="BE350" i="1" s="1"/>
  <c r="BR351" i="1" a="1"/>
  <c r="BR351" i="1" s="1"/>
  <c r="BE351" i="1" s="1"/>
  <c r="BR352" i="1" a="1"/>
  <c r="BR352" i="1" s="1"/>
  <c r="BE352" i="1" s="1"/>
  <c r="BR353" i="1" a="1"/>
  <c r="BR353" i="1" s="1"/>
  <c r="BE353" i="1" s="1"/>
  <c r="BR354" i="1" a="1"/>
  <c r="BR354" i="1" s="1"/>
  <c r="BE354" i="1" s="1"/>
  <c r="BR355" i="1" a="1"/>
  <c r="BR355" i="1" s="1"/>
  <c r="BE355" i="1" s="1"/>
  <c r="BR356" i="1" a="1"/>
  <c r="BR356" i="1" s="1"/>
  <c r="BE356" i="1" s="1"/>
  <c r="BR357" i="1" a="1"/>
  <c r="BR357" i="1" s="1"/>
  <c r="BE357" i="1" s="1"/>
  <c r="BR358" i="1" a="1"/>
  <c r="BR358" i="1" s="1"/>
  <c r="BE358" i="1" s="1"/>
  <c r="BR359" i="1" a="1"/>
  <c r="BR359" i="1" s="1"/>
  <c r="BE359" i="1" s="1"/>
  <c r="BR360" i="1" a="1"/>
  <c r="BR360" i="1" s="1"/>
  <c r="BE360" i="1" s="1"/>
  <c r="BR361" i="1" a="1"/>
  <c r="BR361" i="1" s="1"/>
  <c r="BE361" i="1" s="1"/>
  <c r="BR362" i="1" a="1"/>
  <c r="BR362" i="1" s="1"/>
  <c r="BE362" i="1" s="1"/>
  <c r="BR363" i="1" a="1"/>
  <c r="BR363" i="1" s="1"/>
  <c r="BE363" i="1" s="1"/>
  <c r="Y344" i="1" a="1"/>
  <c r="Y344" i="1" s="1"/>
  <c r="Y345" i="1" a="1"/>
  <c r="Y345" i="1" s="1"/>
  <c r="Y346" i="1" a="1"/>
  <c r="Y346" i="1" s="1"/>
  <c r="Y347" i="1" a="1"/>
  <c r="Y347" i="1" s="1"/>
  <c r="Y348" i="1" a="1"/>
  <c r="Y348" i="1" s="1"/>
  <c r="Y349" i="1" a="1"/>
  <c r="Y349" i="1" s="1"/>
  <c r="Y350" i="1" a="1"/>
  <c r="Y350" i="1" s="1"/>
  <c r="Y351" i="1" a="1"/>
  <c r="Y351" i="1" s="1"/>
  <c r="Y352" i="1" a="1"/>
  <c r="Y352" i="1" s="1"/>
  <c r="Y353" i="1" a="1"/>
  <c r="Y353" i="1" s="1"/>
  <c r="Y354" i="1" a="1"/>
  <c r="Y354" i="1" s="1"/>
  <c r="Y355" i="1" a="1"/>
  <c r="Y355" i="1" s="1"/>
  <c r="Y356" i="1" a="1"/>
  <c r="Y356" i="1" s="1"/>
  <c r="Y357" i="1" a="1"/>
  <c r="Y357" i="1" s="1"/>
  <c r="Y358" i="1" a="1"/>
  <c r="Y358" i="1" s="1"/>
  <c r="Y359" i="1" a="1"/>
  <c r="Y359" i="1" s="1"/>
  <c r="Y360" i="1" a="1"/>
  <c r="Y360" i="1" s="1"/>
  <c r="Y361" i="1" a="1"/>
  <c r="Y361" i="1" s="1"/>
  <c r="Y362" i="1" a="1"/>
  <c r="Y362" i="1" s="1"/>
  <c r="Y363" i="1" a="1"/>
  <c r="Y363" i="1" s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AU363" i="1"/>
  <c r="AX363" i="1" s="1"/>
  <c r="AZ363" i="1" s="1"/>
  <c r="BB363" i="1" s="1"/>
  <c r="BF363" i="1" s="1"/>
  <c r="BH363" i="1" s="1"/>
  <c r="AU362" i="1"/>
  <c r="AX362" i="1" s="1"/>
  <c r="AZ362" i="1" s="1"/>
  <c r="BB362" i="1" s="1"/>
  <c r="AU361" i="1"/>
  <c r="AX361" i="1" s="1"/>
  <c r="AZ361" i="1" s="1"/>
  <c r="BB361" i="1" s="1"/>
  <c r="AU360" i="1"/>
  <c r="AX360" i="1" s="1"/>
  <c r="AZ360" i="1" s="1"/>
  <c r="BB360" i="1" s="1"/>
  <c r="AU359" i="1"/>
  <c r="AV359" i="1" s="1"/>
  <c r="AU358" i="1"/>
  <c r="AV358" i="1" s="1"/>
  <c r="AU357" i="1"/>
  <c r="AX357" i="1" s="1"/>
  <c r="AZ357" i="1" s="1"/>
  <c r="BB357" i="1" s="1"/>
  <c r="BF357" i="1" s="1"/>
  <c r="BH357" i="1" s="1"/>
  <c r="AU356" i="1"/>
  <c r="AX356" i="1" s="1"/>
  <c r="AZ356" i="1" s="1"/>
  <c r="BB356" i="1" s="1"/>
  <c r="AU355" i="1"/>
  <c r="AV355" i="1" s="1"/>
  <c r="AU354" i="1"/>
  <c r="AV354" i="1" s="1"/>
  <c r="AU353" i="1"/>
  <c r="AX353" i="1" s="1"/>
  <c r="AZ353" i="1" s="1"/>
  <c r="BB353" i="1" s="1"/>
  <c r="AU352" i="1"/>
  <c r="AX352" i="1" s="1"/>
  <c r="AZ352" i="1" s="1"/>
  <c r="BB352" i="1" s="1"/>
  <c r="AU351" i="1"/>
  <c r="AV351" i="1" s="1"/>
  <c r="AU350" i="1"/>
  <c r="AV350" i="1" s="1"/>
  <c r="AU349" i="1"/>
  <c r="AX349" i="1" s="1"/>
  <c r="AZ349" i="1" s="1"/>
  <c r="BB349" i="1" s="1"/>
  <c r="BD349" i="1" s="1"/>
  <c r="AU348" i="1"/>
  <c r="AX348" i="1" s="1"/>
  <c r="AZ348" i="1" s="1"/>
  <c r="BB348" i="1" s="1"/>
  <c r="AU347" i="1"/>
  <c r="AV347" i="1" s="1"/>
  <c r="AU346" i="1"/>
  <c r="AV346" i="1" s="1"/>
  <c r="AU345" i="1"/>
  <c r="AV345" i="1" s="1"/>
  <c r="AU344" i="1"/>
  <c r="AX344" i="1" s="1"/>
  <c r="AZ344" i="1" s="1"/>
  <c r="BB344" i="1" s="1"/>
  <c r="AX347" i="1" l="1"/>
  <c r="AZ347" i="1" s="1"/>
  <c r="BB347" i="1" s="1"/>
  <c r="BD347" i="1" s="1"/>
  <c r="AX355" i="1"/>
  <c r="AZ355" i="1" s="1"/>
  <c r="BB355" i="1" s="1"/>
  <c r="BD355" i="1" s="1"/>
  <c r="AV361" i="1"/>
  <c r="AV357" i="1"/>
  <c r="AX351" i="1"/>
  <c r="AZ351" i="1" s="1"/>
  <c r="BB351" i="1" s="1"/>
  <c r="BF351" i="1" s="1"/>
  <c r="BH351" i="1" s="1"/>
  <c r="BD353" i="1"/>
  <c r="BF353" i="1"/>
  <c r="BH353" i="1" s="1"/>
  <c r="AV349" i="1"/>
  <c r="AV363" i="1"/>
  <c r="AX345" i="1"/>
  <c r="AZ345" i="1" s="1"/>
  <c r="BB345" i="1" s="1"/>
  <c r="BF345" i="1" s="1"/>
  <c r="BH345" i="1" s="1"/>
  <c r="AX359" i="1"/>
  <c r="AZ359" i="1" s="1"/>
  <c r="BB359" i="1" s="1"/>
  <c r="AV353" i="1"/>
  <c r="BD363" i="1"/>
  <c r="BJ363" i="1" s="1" a="1"/>
  <c r="BJ363" i="1" s="1"/>
  <c r="BD361" i="1"/>
  <c r="BF361" i="1"/>
  <c r="BH361" i="1" s="1"/>
  <c r="BD362" i="1"/>
  <c r="BF362" i="1"/>
  <c r="BH362" i="1" s="1"/>
  <c r="BD348" i="1"/>
  <c r="BF348" i="1"/>
  <c r="BH348" i="1" s="1"/>
  <c r="BD356" i="1"/>
  <c r="BF356" i="1"/>
  <c r="BH356" i="1" s="1"/>
  <c r="BD344" i="1"/>
  <c r="BF344" i="1"/>
  <c r="BH344" i="1" s="1"/>
  <c r="BD352" i="1"/>
  <c r="BF352" i="1"/>
  <c r="BH352" i="1" s="1"/>
  <c r="BD360" i="1"/>
  <c r="BF360" i="1"/>
  <c r="BH360" i="1" s="1"/>
  <c r="AX346" i="1"/>
  <c r="AZ346" i="1" s="1"/>
  <c r="BB346" i="1" s="1"/>
  <c r="AX350" i="1"/>
  <c r="AZ350" i="1" s="1"/>
  <c r="BB350" i="1" s="1"/>
  <c r="AX354" i="1"/>
  <c r="AZ354" i="1" s="1"/>
  <c r="BB354" i="1" s="1"/>
  <c r="AX358" i="1"/>
  <c r="AZ358" i="1" s="1"/>
  <c r="BB358" i="1" s="1"/>
  <c r="AV344" i="1"/>
  <c r="AV348" i="1"/>
  <c r="AV352" i="1"/>
  <c r="AV356" i="1"/>
  <c r="AV360" i="1"/>
  <c r="BD357" i="1"/>
  <c r="BF349" i="1"/>
  <c r="BH349" i="1" s="1"/>
  <c r="AV362" i="1"/>
  <c r="Z347" i="1"/>
  <c r="AA347" i="1" s="1"/>
  <c r="AH347" i="1" s="1"/>
  <c r="Z360" i="1"/>
  <c r="AA360" i="1" s="1"/>
  <c r="AH360" i="1" s="1"/>
  <c r="Z350" i="1"/>
  <c r="AA350" i="1" s="1"/>
  <c r="AH350" i="1" s="1"/>
  <c r="Z354" i="1"/>
  <c r="AA354" i="1" s="1"/>
  <c r="AH354" i="1" s="1"/>
  <c r="Z351" i="1"/>
  <c r="AA351" i="1" s="1"/>
  <c r="AH351" i="1" s="1"/>
  <c r="Z355" i="1"/>
  <c r="AA355" i="1" s="1"/>
  <c r="AH355" i="1" s="1"/>
  <c r="Z346" i="1"/>
  <c r="AA346" i="1" s="1"/>
  <c r="AH346" i="1" s="1"/>
  <c r="Z359" i="1"/>
  <c r="AA359" i="1" s="1"/>
  <c r="AH359" i="1" s="1"/>
  <c r="Z349" i="1"/>
  <c r="AA349" i="1" s="1"/>
  <c r="AH349" i="1" s="1"/>
  <c r="Z344" i="1"/>
  <c r="AA344" i="1" s="1"/>
  <c r="AH344" i="1" s="1"/>
  <c r="Z348" i="1"/>
  <c r="AA348" i="1" s="1"/>
  <c r="AH348" i="1" s="1"/>
  <c r="Z352" i="1"/>
  <c r="AA352" i="1" s="1"/>
  <c r="AH352" i="1" s="1"/>
  <c r="Z357" i="1"/>
  <c r="AA357" i="1" s="1"/>
  <c r="AH357" i="1" s="1"/>
  <c r="Z361" i="1"/>
  <c r="AA361" i="1" s="1"/>
  <c r="AH361" i="1" s="1"/>
  <c r="Z345" i="1"/>
  <c r="AA345" i="1" s="1"/>
  <c r="AH345" i="1" s="1"/>
  <c r="Z353" i="1"/>
  <c r="AA353" i="1" s="1"/>
  <c r="AH353" i="1" s="1"/>
  <c r="Z363" i="1"/>
  <c r="AA363" i="1" s="1"/>
  <c r="AH363" i="1" s="1"/>
  <c r="Z356" i="1"/>
  <c r="AA356" i="1" s="1"/>
  <c r="AH356" i="1" s="1"/>
  <c r="Z358" i="1"/>
  <c r="AA358" i="1" s="1"/>
  <c r="AH358" i="1" s="1"/>
  <c r="Z362" i="1"/>
  <c r="AA362" i="1" s="1"/>
  <c r="AH362" i="1" s="1"/>
  <c r="BF347" i="1" l="1"/>
  <c r="BH347" i="1" s="1"/>
  <c r="BL347" i="1" s="1" a="1"/>
  <c r="BL347" i="1" s="1"/>
  <c r="BL363" i="1" a="1"/>
  <c r="BL363" i="1" s="1"/>
  <c r="BF355" i="1"/>
  <c r="BH355" i="1" s="1"/>
  <c r="BD345" i="1"/>
  <c r="BJ345" i="1" s="1" a="1"/>
  <c r="BJ345" i="1" s="1"/>
  <c r="BL353" i="1" a="1"/>
  <c r="BL353" i="1" s="1"/>
  <c r="BJ353" i="1" a="1"/>
  <c r="BJ353" i="1" s="1"/>
  <c r="BK353" i="1" s="1" a="1"/>
  <c r="BK353" i="1" s="1"/>
  <c r="BD351" i="1"/>
  <c r="BD359" i="1"/>
  <c r="BF359" i="1"/>
  <c r="BH359" i="1" s="1"/>
  <c r="BL356" i="1" a="1"/>
  <c r="BL356" i="1" s="1"/>
  <c r="BJ356" i="1" a="1"/>
  <c r="BJ356" i="1" s="1"/>
  <c r="BL357" i="1" a="1"/>
  <c r="BL357" i="1" s="1"/>
  <c r="BJ357" i="1" a="1"/>
  <c r="BJ357" i="1" s="1"/>
  <c r="BJ349" i="1" a="1"/>
  <c r="BJ349" i="1" s="1"/>
  <c r="BL349" i="1" a="1"/>
  <c r="BL349" i="1" s="1"/>
  <c r="BL360" i="1" a="1"/>
  <c r="BL360" i="1" s="1"/>
  <c r="BJ360" i="1" a="1"/>
  <c r="BJ360" i="1" s="1"/>
  <c r="BL348" i="1" a="1"/>
  <c r="BL348" i="1" s="1"/>
  <c r="BJ348" i="1" a="1"/>
  <c r="BJ348" i="1" s="1"/>
  <c r="BK363" i="1" a="1"/>
  <c r="BK363" i="1" s="1"/>
  <c r="BF358" i="1"/>
  <c r="BH358" i="1" s="1"/>
  <c r="BD358" i="1"/>
  <c r="BD354" i="1"/>
  <c r="BF354" i="1"/>
  <c r="BH354" i="1" s="1"/>
  <c r="BL352" i="1" a="1"/>
  <c r="BL352" i="1" s="1"/>
  <c r="BJ352" i="1" a="1"/>
  <c r="BJ352" i="1" s="1"/>
  <c r="BL362" i="1" a="1"/>
  <c r="BL362" i="1" s="1"/>
  <c r="BJ362" i="1" a="1"/>
  <c r="BJ362" i="1" s="1"/>
  <c r="BD350" i="1"/>
  <c r="BF350" i="1"/>
  <c r="BH350" i="1" s="1"/>
  <c r="BF346" i="1"/>
  <c r="BH346" i="1" s="1"/>
  <c r="BD346" i="1"/>
  <c r="BL344" i="1" a="1"/>
  <c r="BL344" i="1" s="1"/>
  <c r="BJ344" i="1" a="1"/>
  <c r="BJ344" i="1" s="1"/>
  <c r="BL361" i="1" a="1"/>
  <c r="BL361" i="1" s="1"/>
  <c r="BJ361" i="1" a="1"/>
  <c r="BJ361" i="1" s="1"/>
  <c r="Y419" i="1" a="1"/>
  <c r="Y419" i="1" s="1"/>
  <c r="Y420" i="1" a="1"/>
  <c r="Y420" i="1" s="1"/>
  <c r="Y421" i="1" a="1"/>
  <c r="Y421" i="1" s="1"/>
  <c r="Y422" i="1" a="1"/>
  <c r="Y422" i="1" s="1"/>
  <c r="Y423" i="1" a="1"/>
  <c r="Y423" i="1" s="1"/>
  <c r="Y424" i="1" a="1"/>
  <c r="Y424" i="1" s="1"/>
  <c r="Y425" i="1" a="1"/>
  <c r="Y425" i="1" s="1"/>
  <c r="Y426" i="1" a="1"/>
  <c r="Y426" i="1" s="1"/>
  <c r="Y427" i="1" a="1"/>
  <c r="Y427" i="1" s="1"/>
  <c r="Y428" i="1" a="1"/>
  <c r="Y428" i="1" s="1"/>
  <c r="Y429" i="1" a="1"/>
  <c r="Y429" i="1" s="1"/>
  <c r="Y430" i="1" a="1"/>
  <c r="Y430" i="1" s="1"/>
  <c r="Y431" i="1" a="1"/>
  <c r="Y431" i="1" s="1"/>
  <c r="Y432" i="1" a="1"/>
  <c r="Y432" i="1" s="1"/>
  <c r="Y433" i="1" a="1"/>
  <c r="Y433" i="1" s="1"/>
  <c r="Y434" i="1" a="1"/>
  <c r="Y434" i="1" s="1"/>
  <c r="Y435" i="1" a="1"/>
  <c r="Y435" i="1" s="1"/>
  <c r="Y436" i="1" a="1"/>
  <c r="Y436" i="1" s="1"/>
  <c r="Y437" i="1" a="1"/>
  <c r="Y437" i="1" s="1"/>
  <c r="Y438" i="1" a="1"/>
  <c r="Y438" i="1" s="1"/>
  <c r="Y439" i="1" a="1"/>
  <c r="Y439" i="1" s="1"/>
  <c r="Y440" i="1" a="1"/>
  <c r="Y440" i="1" s="1"/>
  <c r="Y441" i="1" a="1"/>
  <c r="Y441" i="1" s="1"/>
  <c r="Y442" i="1" a="1"/>
  <c r="Y442" i="1" s="1"/>
  <c r="Y443" i="1" a="1"/>
  <c r="Y443" i="1" s="1"/>
  <c r="Y444" i="1" a="1"/>
  <c r="Y444" i="1" s="1"/>
  <c r="Y445" i="1" a="1"/>
  <c r="Y445" i="1" s="1"/>
  <c r="Y446" i="1" a="1"/>
  <c r="Y446" i="1" s="1"/>
  <c r="Y447" i="1" a="1"/>
  <c r="Y447" i="1" s="1"/>
  <c r="Y448" i="1" a="1"/>
  <c r="Y448" i="1" s="1"/>
  <c r="Y449" i="1" a="1"/>
  <c r="Y449" i="1" s="1"/>
  <c r="Y450" i="1" a="1"/>
  <c r="Y450" i="1" s="1"/>
  <c r="Y451" i="1" a="1"/>
  <c r="Y451" i="1" s="1"/>
  <c r="Y452" i="1" a="1"/>
  <c r="Y452" i="1" s="1"/>
  <c r="Y453" i="1" a="1"/>
  <c r="Y453" i="1" s="1"/>
  <c r="Y454" i="1" a="1"/>
  <c r="Y454" i="1" s="1"/>
  <c r="Y455" i="1" a="1"/>
  <c r="Y455" i="1" s="1"/>
  <c r="Y456" i="1" a="1"/>
  <c r="Y456" i="1" s="1"/>
  <c r="Y457" i="1" a="1"/>
  <c r="Y457" i="1" s="1"/>
  <c r="Y458" i="1" a="1"/>
  <c r="Y458" i="1" s="1"/>
  <c r="Y459" i="1" a="1"/>
  <c r="Y459" i="1" s="1"/>
  <c r="Y460" i="1" a="1"/>
  <c r="Y460" i="1" s="1"/>
  <c r="Y461" i="1" a="1"/>
  <c r="Y461" i="1" s="1"/>
  <c r="Y462" i="1" a="1"/>
  <c r="Y462" i="1" s="1"/>
  <c r="Y463" i="1" a="1"/>
  <c r="Y463" i="1" s="1"/>
  <c r="Y464" i="1" a="1"/>
  <c r="Y464" i="1" s="1"/>
  <c r="Y465" i="1" a="1"/>
  <c r="Y465" i="1" s="1"/>
  <c r="Y466" i="1" a="1"/>
  <c r="Y466" i="1" s="1"/>
  <c r="Y467" i="1" a="1"/>
  <c r="Y467" i="1" s="1"/>
  <c r="Y468" i="1" a="1"/>
  <c r="Y468" i="1" s="1"/>
  <c r="Y469" i="1" a="1"/>
  <c r="Y469" i="1" s="1"/>
  <c r="Y470" i="1" a="1"/>
  <c r="Y470" i="1" s="1"/>
  <c r="Y471" i="1" a="1"/>
  <c r="Y471" i="1" s="1"/>
  <c r="Y472" i="1" a="1"/>
  <c r="Y472" i="1" s="1"/>
  <c r="Y473" i="1" a="1"/>
  <c r="Y473" i="1" s="1"/>
  <c r="Y474" i="1" a="1"/>
  <c r="Y474" i="1" s="1"/>
  <c r="Y475" i="1" a="1"/>
  <c r="Y475" i="1" s="1"/>
  <c r="Y476" i="1" a="1"/>
  <c r="Y476" i="1" s="1"/>
  <c r="Y477" i="1" a="1"/>
  <c r="Y477" i="1" s="1"/>
  <c r="Y478" i="1" a="1"/>
  <c r="Y478" i="1" s="1"/>
  <c r="Y479" i="1" a="1"/>
  <c r="Y479" i="1" s="1"/>
  <c r="Y480" i="1" a="1"/>
  <c r="Y480" i="1" s="1"/>
  <c r="Y481" i="1" a="1"/>
  <c r="Y481" i="1" s="1"/>
  <c r="Y482" i="1" a="1"/>
  <c r="Y482" i="1" s="1"/>
  <c r="Y483" i="1" a="1"/>
  <c r="Y483" i="1" s="1"/>
  <c r="Y484" i="1" a="1"/>
  <c r="Y484" i="1" s="1"/>
  <c r="Y485" i="1" a="1"/>
  <c r="Y485" i="1" s="1"/>
  <c r="Y486" i="1" a="1"/>
  <c r="Y486" i="1" s="1"/>
  <c r="Y487" i="1" a="1"/>
  <c r="Y487" i="1" s="1"/>
  <c r="Y488" i="1" a="1"/>
  <c r="Y488" i="1" s="1"/>
  <c r="Y489" i="1" a="1"/>
  <c r="Y489" i="1" s="1"/>
  <c r="Y490" i="1" a="1"/>
  <c r="Y490" i="1" s="1"/>
  <c r="Y491" i="1" a="1"/>
  <c r="Y491" i="1" s="1"/>
  <c r="Y492" i="1" a="1"/>
  <c r="Y492" i="1" s="1"/>
  <c r="Y493" i="1" a="1"/>
  <c r="Y493" i="1" s="1"/>
  <c r="Y494" i="1" a="1"/>
  <c r="Y494" i="1" s="1"/>
  <c r="Y495" i="1" a="1"/>
  <c r="Y495" i="1" s="1"/>
  <c r="Y496" i="1" a="1"/>
  <c r="Y496" i="1" s="1"/>
  <c r="Y497" i="1" a="1"/>
  <c r="Y497" i="1" s="1"/>
  <c r="Y498" i="1" a="1"/>
  <c r="Y498" i="1" s="1"/>
  <c r="Y499" i="1" a="1"/>
  <c r="Y499" i="1" s="1"/>
  <c r="Y500" i="1" a="1"/>
  <c r="Y500" i="1" s="1"/>
  <c r="Y501" i="1" a="1"/>
  <c r="Y501" i="1" s="1"/>
  <c r="Y502" i="1" a="1"/>
  <c r="Y502" i="1" s="1"/>
  <c r="Y503" i="1" a="1"/>
  <c r="Y503" i="1" s="1"/>
  <c r="Y504" i="1" a="1"/>
  <c r="Y504" i="1" s="1"/>
  <c r="Y505" i="1" a="1"/>
  <c r="Y505" i="1" s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BI505" i="1"/>
  <c r="BG505" i="1"/>
  <c r="BE505" i="1"/>
  <c r="AU505" i="1"/>
  <c r="AX505" i="1" s="1"/>
  <c r="AZ505" i="1" s="1"/>
  <c r="BB505" i="1" s="1"/>
  <c r="BF505" i="1" s="1"/>
  <c r="BH505" i="1" s="1"/>
  <c r="BI504" i="1"/>
  <c r="BG504" i="1"/>
  <c r="BE504" i="1"/>
  <c r="BN504" i="1"/>
  <c r="AU504" i="1"/>
  <c r="AV504" i="1" s="1"/>
  <c r="BI503" i="1"/>
  <c r="BG503" i="1"/>
  <c r="BE503" i="1"/>
  <c r="BN503" i="1"/>
  <c r="AU503" i="1"/>
  <c r="BI502" i="1"/>
  <c r="BG502" i="1"/>
  <c r="BE502" i="1"/>
  <c r="AU502" i="1"/>
  <c r="AX502" i="1" s="1"/>
  <c r="AZ502" i="1" s="1"/>
  <c r="BB502" i="1" s="1"/>
  <c r="BI501" i="1"/>
  <c r="BG501" i="1"/>
  <c r="BE501" i="1"/>
  <c r="AU501" i="1"/>
  <c r="AX501" i="1" s="1"/>
  <c r="AZ501" i="1" s="1"/>
  <c r="BB501" i="1" s="1"/>
  <c r="BI500" i="1"/>
  <c r="BG500" i="1"/>
  <c r="BE500" i="1"/>
  <c r="AU500" i="1"/>
  <c r="AV500" i="1" s="1"/>
  <c r="BI499" i="1"/>
  <c r="BG499" i="1"/>
  <c r="BE499" i="1"/>
  <c r="BN499" i="1"/>
  <c r="AU499" i="1"/>
  <c r="AX499" i="1" s="1"/>
  <c r="AZ499" i="1" s="1"/>
  <c r="BB499" i="1" s="1"/>
  <c r="BD499" i="1" s="1"/>
  <c r="BI498" i="1"/>
  <c r="BG498" i="1"/>
  <c r="BE498" i="1"/>
  <c r="BN498" i="1"/>
  <c r="AU498" i="1"/>
  <c r="AV498" i="1" s="1"/>
  <c r="BI497" i="1"/>
  <c r="BG497" i="1"/>
  <c r="BE497" i="1"/>
  <c r="BN497" i="1"/>
  <c r="AU497" i="1"/>
  <c r="AX497" i="1" s="1"/>
  <c r="AZ497" i="1" s="1"/>
  <c r="BB497" i="1" s="1"/>
  <c r="BI496" i="1"/>
  <c r="BG496" i="1"/>
  <c r="BE496" i="1"/>
  <c r="BN496" i="1"/>
  <c r="AU496" i="1"/>
  <c r="BI495" i="1"/>
  <c r="BG495" i="1"/>
  <c r="BE495" i="1"/>
  <c r="AU495" i="1"/>
  <c r="BI494" i="1"/>
  <c r="BG494" i="1"/>
  <c r="BE494" i="1"/>
  <c r="BN494" i="1"/>
  <c r="AU494" i="1"/>
  <c r="AV494" i="1" s="1"/>
  <c r="BI493" i="1"/>
  <c r="BG493" i="1"/>
  <c r="BE493" i="1"/>
  <c r="BN493" i="1"/>
  <c r="AU493" i="1"/>
  <c r="AX493" i="1" s="1"/>
  <c r="AZ493" i="1" s="1"/>
  <c r="BB493" i="1" s="1"/>
  <c r="BF493" i="1" s="1"/>
  <c r="BH493" i="1" s="1"/>
  <c r="BI492" i="1"/>
  <c r="BG492" i="1"/>
  <c r="BE492" i="1"/>
  <c r="BN492" i="1"/>
  <c r="AU492" i="1"/>
  <c r="AX492" i="1" s="1"/>
  <c r="AZ492" i="1" s="1"/>
  <c r="BB492" i="1" s="1"/>
  <c r="BF492" i="1" s="1"/>
  <c r="BH492" i="1" s="1"/>
  <c r="BI491" i="1"/>
  <c r="BG491" i="1"/>
  <c r="BE491" i="1"/>
  <c r="BN491" i="1"/>
  <c r="AU491" i="1"/>
  <c r="AV491" i="1" s="1"/>
  <c r="BI490" i="1"/>
  <c r="BG490" i="1"/>
  <c r="BE490" i="1"/>
  <c r="BN490" i="1"/>
  <c r="AU490" i="1"/>
  <c r="AX490" i="1" s="1"/>
  <c r="AZ490" i="1" s="1"/>
  <c r="BB490" i="1" s="1"/>
  <c r="BF490" i="1" s="1"/>
  <c r="BH490" i="1" s="1"/>
  <c r="BI489" i="1"/>
  <c r="BG489" i="1"/>
  <c r="BE489" i="1"/>
  <c r="BN489" i="1"/>
  <c r="AU489" i="1"/>
  <c r="AX489" i="1" s="1"/>
  <c r="AZ489" i="1" s="1"/>
  <c r="BB489" i="1" s="1"/>
  <c r="BI488" i="1"/>
  <c r="BG488" i="1"/>
  <c r="BE488" i="1"/>
  <c r="BN488" i="1"/>
  <c r="AU488" i="1"/>
  <c r="AX488" i="1" s="1"/>
  <c r="AZ488" i="1" s="1"/>
  <c r="BB488" i="1" s="1"/>
  <c r="BI487" i="1"/>
  <c r="BG487" i="1"/>
  <c r="BE487" i="1"/>
  <c r="BN487" i="1"/>
  <c r="AU487" i="1"/>
  <c r="BI486" i="1"/>
  <c r="BG486" i="1"/>
  <c r="BE486" i="1"/>
  <c r="AU486" i="1"/>
  <c r="AX486" i="1" s="1"/>
  <c r="AZ486" i="1" s="1"/>
  <c r="BB486" i="1" s="1"/>
  <c r="BI485" i="1"/>
  <c r="BG485" i="1"/>
  <c r="BE485" i="1"/>
  <c r="AU485" i="1"/>
  <c r="AX485" i="1" s="1"/>
  <c r="AZ485" i="1" s="1"/>
  <c r="BB485" i="1" s="1"/>
  <c r="BI484" i="1"/>
  <c r="BG484" i="1"/>
  <c r="BE484" i="1"/>
  <c r="AU484" i="1"/>
  <c r="AV484" i="1" s="1"/>
  <c r="BI483" i="1"/>
  <c r="BG483" i="1"/>
  <c r="BE483" i="1"/>
  <c r="AU483" i="1"/>
  <c r="AX483" i="1" s="1"/>
  <c r="AZ483" i="1" s="1"/>
  <c r="BB483" i="1" s="1"/>
  <c r="BI482" i="1"/>
  <c r="BG482" i="1"/>
  <c r="BE482" i="1"/>
  <c r="AU482" i="1"/>
  <c r="AX482" i="1" s="1"/>
  <c r="AZ482" i="1" s="1"/>
  <c r="BB482" i="1" s="1"/>
  <c r="BI481" i="1"/>
  <c r="BG481" i="1"/>
  <c r="BE481" i="1"/>
  <c r="AU481" i="1"/>
  <c r="AX481" i="1" s="1"/>
  <c r="AZ481" i="1" s="1"/>
  <c r="BB481" i="1" s="1"/>
  <c r="BI480" i="1"/>
  <c r="BG480" i="1"/>
  <c r="BE480" i="1"/>
  <c r="AU480" i="1"/>
  <c r="AX480" i="1" s="1"/>
  <c r="AZ480" i="1" s="1"/>
  <c r="BB480" i="1" s="1"/>
  <c r="BI479" i="1"/>
  <c r="BG479" i="1"/>
  <c r="BE479" i="1"/>
  <c r="BN479" i="1"/>
  <c r="AU479" i="1"/>
  <c r="AX479" i="1" s="1"/>
  <c r="AZ479" i="1" s="1"/>
  <c r="BB479" i="1" s="1"/>
  <c r="BI478" i="1"/>
  <c r="BG478" i="1"/>
  <c r="BE478" i="1"/>
  <c r="BN478" i="1"/>
  <c r="AU478" i="1"/>
  <c r="AX478" i="1" s="1"/>
  <c r="AZ478" i="1" s="1"/>
  <c r="BB478" i="1" s="1"/>
  <c r="BI477" i="1"/>
  <c r="BG477" i="1"/>
  <c r="BE477" i="1"/>
  <c r="BN477" i="1"/>
  <c r="AU477" i="1"/>
  <c r="AV477" i="1" s="1"/>
  <c r="BI476" i="1"/>
  <c r="BG476" i="1"/>
  <c r="BE476" i="1"/>
  <c r="AU476" i="1"/>
  <c r="AX476" i="1" s="1"/>
  <c r="AZ476" i="1" s="1"/>
  <c r="BB476" i="1" s="1"/>
  <c r="BI475" i="1"/>
  <c r="BG475" i="1"/>
  <c r="BE475" i="1"/>
  <c r="BN475" i="1"/>
  <c r="AU475" i="1"/>
  <c r="AX475" i="1" s="1"/>
  <c r="AZ475" i="1" s="1"/>
  <c r="BB475" i="1" s="1"/>
  <c r="BI474" i="1"/>
  <c r="BG474" i="1"/>
  <c r="BE474" i="1"/>
  <c r="BN474" i="1"/>
  <c r="AU474" i="1"/>
  <c r="AX474" i="1" s="1"/>
  <c r="AZ474" i="1" s="1"/>
  <c r="BB474" i="1" s="1"/>
  <c r="BI473" i="1"/>
  <c r="BG473" i="1"/>
  <c r="BE473" i="1"/>
  <c r="BN473" i="1"/>
  <c r="AU473" i="1"/>
  <c r="AX473" i="1" s="1"/>
  <c r="AZ473" i="1" s="1"/>
  <c r="BB473" i="1" s="1"/>
  <c r="BI472" i="1"/>
  <c r="BG472" i="1"/>
  <c r="BE472" i="1"/>
  <c r="AU472" i="1"/>
  <c r="AX472" i="1" s="1"/>
  <c r="AZ472" i="1" s="1"/>
  <c r="BB472" i="1" s="1"/>
  <c r="BI471" i="1"/>
  <c r="BG471" i="1"/>
  <c r="BE471" i="1"/>
  <c r="AU471" i="1"/>
  <c r="AX471" i="1" s="1"/>
  <c r="AZ471" i="1" s="1"/>
  <c r="BB471" i="1" s="1"/>
  <c r="BI470" i="1"/>
  <c r="BG470" i="1"/>
  <c r="BE470" i="1"/>
  <c r="AU470" i="1"/>
  <c r="BI469" i="1"/>
  <c r="BG469" i="1"/>
  <c r="BE469" i="1"/>
  <c r="AU469" i="1"/>
  <c r="AX469" i="1" s="1"/>
  <c r="AZ469" i="1" s="1"/>
  <c r="BB469" i="1" s="1"/>
  <c r="BI468" i="1"/>
  <c r="BG468" i="1"/>
  <c r="BE468" i="1"/>
  <c r="AU468" i="1"/>
  <c r="AX468" i="1" s="1"/>
  <c r="AZ468" i="1" s="1"/>
  <c r="BB468" i="1" s="1"/>
  <c r="BI467" i="1"/>
  <c r="BG467" i="1"/>
  <c r="BE467" i="1"/>
  <c r="BN467" i="1"/>
  <c r="AU467" i="1"/>
  <c r="AV467" i="1" s="1"/>
  <c r="BI466" i="1"/>
  <c r="BG466" i="1"/>
  <c r="BE466" i="1"/>
  <c r="BN466" i="1"/>
  <c r="AU466" i="1"/>
  <c r="AV466" i="1" s="1"/>
  <c r="BI465" i="1"/>
  <c r="BG465" i="1"/>
  <c r="BE465" i="1"/>
  <c r="AU465" i="1"/>
  <c r="AX465" i="1" s="1"/>
  <c r="AZ465" i="1" s="1"/>
  <c r="BB465" i="1" s="1"/>
  <c r="BI464" i="1"/>
  <c r="BG464" i="1"/>
  <c r="BE464" i="1"/>
  <c r="AU464" i="1"/>
  <c r="AX464" i="1" s="1"/>
  <c r="AZ464" i="1" s="1"/>
  <c r="BB464" i="1" s="1"/>
  <c r="BI463" i="1"/>
  <c r="BG463" i="1"/>
  <c r="BE463" i="1"/>
  <c r="AU463" i="1"/>
  <c r="AV463" i="1" s="1"/>
  <c r="BI462" i="1"/>
  <c r="BG462" i="1"/>
  <c r="BE462" i="1"/>
  <c r="BN462" i="1"/>
  <c r="AU462" i="1"/>
  <c r="AX462" i="1" s="1"/>
  <c r="AZ462" i="1" s="1"/>
  <c r="BB462" i="1" s="1"/>
  <c r="BI461" i="1"/>
  <c r="BG461" i="1"/>
  <c r="BE461" i="1"/>
  <c r="AU461" i="1"/>
  <c r="AX461" i="1" s="1"/>
  <c r="AZ461" i="1" s="1"/>
  <c r="BB461" i="1" s="1"/>
  <c r="BI460" i="1"/>
  <c r="BG460" i="1"/>
  <c r="BE460" i="1"/>
  <c r="BN460" i="1"/>
  <c r="AU460" i="1"/>
  <c r="AX460" i="1" s="1"/>
  <c r="AZ460" i="1" s="1"/>
  <c r="BB460" i="1" s="1"/>
  <c r="BI459" i="1"/>
  <c r="BG459" i="1"/>
  <c r="BE459" i="1"/>
  <c r="AU459" i="1"/>
  <c r="AX459" i="1" s="1"/>
  <c r="AZ459" i="1" s="1"/>
  <c r="BB459" i="1" s="1"/>
  <c r="BI458" i="1"/>
  <c r="BG458" i="1"/>
  <c r="BE458" i="1"/>
  <c r="BN458" i="1"/>
  <c r="AU458" i="1"/>
  <c r="AV458" i="1" s="1"/>
  <c r="BI457" i="1"/>
  <c r="BG457" i="1"/>
  <c r="BE457" i="1"/>
  <c r="BN457" i="1"/>
  <c r="AU457" i="1"/>
  <c r="AX457" i="1" s="1"/>
  <c r="AZ457" i="1" s="1"/>
  <c r="BB457" i="1" s="1"/>
  <c r="BI456" i="1"/>
  <c r="BG456" i="1"/>
  <c r="BE456" i="1"/>
  <c r="AU456" i="1"/>
  <c r="AV456" i="1" s="1"/>
  <c r="BI455" i="1"/>
  <c r="BG455" i="1"/>
  <c r="BE455" i="1"/>
  <c r="BN455" i="1"/>
  <c r="AU455" i="1"/>
  <c r="AX455" i="1" s="1"/>
  <c r="AZ455" i="1" s="1"/>
  <c r="BB455" i="1" s="1"/>
  <c r="BI454" i="1"/>
  <c r="BG454" i="1"/>
  <c r="BE454" i="1"/>
  <c r="BN454" i="1"/>
  <c r="AU454" i="1"/>
  <c r="BI453" i="1"/>
  <c r="BG453" i="1"/>
  <c r="BE453" i="1"/>
  <c r="AU453" i="1"/>
  <c r="AX453" i="1" s="1"/>
  <c r="AZ453" i="1" s="1"/>
  <c r="BB453" i="1" s="1"/>
  <c r="BI452" i="1"/>
  <c r="BG452" i="1"/>
  <c r="BE452" i="1"/>
  <c r="AU452" i="1"/>
  <c r="AX452" i="1" s="1"/>
  <c r="AZ452" i="1" s="1"/>
  <c r="BB452" i="1" s="1"/>
  <c r="BI451" i="1"/>
  <c r="BG451" i="1"/>
  <c r="BE451" i="1"/>
  <c r="AU451" i="1"/>
  <c r="AX451" i="1" s="1"/>
  <c r="AZ451" i="1" s="1"/>
  <c r="BB451" i="1" s="1"/>
  <c r="BI450" i="1"/>
  <c r="BG450" i="1"/>
  <c r="BE450" i="1"/>
  <c r="BN450" i="1"/>
  <c r="AU450" i="1"/>
  <c r="AV450" i="1" s="1"/>
  <c r="BI449" i="1"/>
  <c r="BG449" i="1"/>
  <c r="BE449" i="1"/>
  <c r="BN449" i="1"/>
  <c r="AU449" i="1"/>
  <c r="AV449" i="1" s="1"/>
  <c r="BI448" i="1"/>
  <c r="BG448" i="1"/>
  <c r="BE448" i="1"/>
  <c r="BN448" i="1"/>
  <c r="AU448" i="1"/>
  <c r="AV448" i="1" s="1"/>
  <c r="BI447" i="1"/>
  <c r="BG447" i="1"/>
  <c r="BE447" i="1"/>
  <c r="BN447" i="1"/>
  <c r="AU447" i="1"/>
  <c r="AV447" i="1" s="1"/>
  <c r="BI446" i="1"/>
  <c r="BG446" i="1"/>
  <c r="BE446" i="1"/>
  <c r="AU446" i="1"/>
  <c r="AV446" i="1" s="1"/>
  <c r="BI445" i="1"/>
  <c r="BG445" i="1"/>
  <c r="BE445" i="1"/>
  <c r="BN445" i="1"/>
  <c r="AU445" i="1"/>
  <c r="AX445" i="1" s="1"/>
  <c r="AZ445" i="1" s="1"/>
  <c r="BB445" i="1" s="1"/>
  <c r="BI444" i="1"/>
  <c r="BG444" i="1"/>
  <c r="BE444" i="1"/>
  <c r="BN444" i="1"/>
  <c r="AU444" i="1"/>
  <c r="AV444" i="1" s="1"/>
  <c r="BI443" i="1"/>
  <c r="BG443" i="1"/>
  <c r="BE443" i="1"/>
  <c r="BN443" i="1"/>
  <c r="AU443" i="1"/>
  <c r="AV443" i="1" s="1"/>
  <c r="BI442" i="1"/>
  <c r="BG442" i="1"/>
  <c r="BE442" i="1"/>
  <c r="BN442" i="1"/>
  <c r="AU442" i="1"/>
  <c r="AX442" i="1" s="1"/>
  <c r="AZ442" i="1" s="1"/>
  <c r="BB442" i="1" s="1"/>
  <c r="BI441" i="1"/>
  <c r="BG441" i="1"/>
  <c r="BE441" i="1"/>
  <c r="BN441" i="1"/>
  <c r="AU441" i="1"/>
  <c r="AX441" i="1" s="1"/>
  <c r="AZ441" i="1" s="1"/>
  <c r="BB441" i="1" s="1"/>
  <c r="BI440" i="1"/>
  <c r="BG440" i="1"/>
  <c r="BE440" i="1"/>
  <c r="BN440" i="1"/>
  <c r="AU440" i="1"/>
  <c r="AX440" i="1" s="1"/>
  <c r="AZ440" i="1" s="1"/>
  <c r="BB440" i="1" s="1"/>
  <c r="BI439" i="1"/>
  <c r="BG439" i="1"/>
  <c r="BE439" i="1"/>
  <c r="BN439" i="1"/>
  <c r="AU439" i="1"/>
  <c r="AX439" i="1" s="1"/>
  <c r="AZ439" i="1" s="1"/>
  <c r="BB439" i="1" s="1"/>
  <c r="BI438" i="1"/>
  <c r="BG438" i="1"/>
  <c r="BE438" i="1"/>
  <c r="AU438" i="1"/>
  <c r="AV438" i="1" s="1"/>
  <c r="BI437" i="1"/>
  <c r="BG437" i="1"/>
  <c r="BE437" i="1"/>
  <c r="AU437" i="1"/>
  <c r="AV437" i="1" s="1"/>
  <c r="BI436" i="1"/>
  <c r="BG436" i="1"/>
  <c r="BE436" i="1"/>
  <c r="AU436" i="1"/>
  <c r="AX436" i="1" s="1"/>
  <c r="AZ436" i="1" s="1"/>
  <c r="BB436" i="1" s="1"/>
  <c r="BI435" i="1"/>
  <c r="BG435" i="1"/>
  <c r="BE435" i="1"/>
  <c r="BN435" i="1"/>
  <c r="AU435" i="1"/>
  <c r="AX435" i="1" s="1"/>
  <c r="AZ435" i="1" s="1"/>
  <c r="BB435" i="1" s="1"/>
  <c r="BI434" i="1"/>
  <c r="BG434" i="1"/>
  <c r="BE434" i="1"/>
  <c r="AU434" i="1"/>
  <c r="AX434" i="1" s="1"/>
  <c r="AZ434" i="1" s="1"/>
  <c r="BB434" i="1" s="1"/>
  <c r="BI433" i="1"/>
  <c r="BG433" i="1"/>
  <c r="BE433" i="1"/>
  <c r="AU433" i="1"/>
  <c r="AX433" i="1" s="1"/>
  <c r="AZ433" i="1" s="1"/>
  <c r="BB433" i="1" s="1"/>
  <c r="BI432" i="1"/>
  <c r="BG432" i="1"/>
  <c r="BE432" i="1"/>
  <c r="AU432" i="1"/>
  <c r="AX432" i="1" s="1"/>
  <c r="AZ432" i="1" s="1"/>
  <c r="BB432" i="1" s="1"/>
  <c r="BI431" i="1"/>
  <c r="BG431" i="1"/>
  <c r="BE431" i="1"/>
  <c r="BN431" i="1"/>
  <c r="AU431" i="1"/>
  <c r="AX431" i="1" s="1"/>
  <c r="AZ431" i="1" s="1"/>
  <c r="BB431" i="1" s="1"/>
  <c r="BI430" i="1"/>
  <c r="BG430" i="1"/>
  <c r="BE430" i="1"/>
  <c r="AU430" i="1"/>
  <c r="AX430" i="1" s="1"/>
  <c r="AZ430" i="1" s="1"/>
  <c r="BB430" i="1" s="1"/>
  <c r="BI429" i="1"/>
  <c r="BG429" i="1"/>
  <c r="BE429" i="1"/>
  <c r="BN429" i="1"/>
  <c r="AU429" i="1"/>
  <c r="AX429" i="1" s="1"/>
  <c r="AZ429" i="1" s="1"/>
  <c r="BB429" i="1" s="1"/>
  <c r="BI428" i="1"/>
  <c r="BG428" i="1"/>
  <c r="BE428" i="1"/>
  <c r="BN428" i="1"/>
  <c r="AU428" i="1"/>
  <c r="AX428" i="1" s="1"/>
  <c r="AZ428" i="1" s="1"/>
  <c r="BB428" i="1" s="1"/>
  <c r="BI427" i="1"/>
  <c r="BG427" i="1"/>
  <c r="BE427" i="1"/>
  <c r="AU427" i="1"/>
  <c r="AV427" i="1" s="1"/>
  <c r="BI426" i="1"/>
  <c r="BG426" i="1"/>
  <c r="BE426" i="1"/>
  <c r="BN426" i="1"/>
  <c r="AU426" i="1"/>
  <c r="AV426" i="1" s="1"/>
  <c r="BI425" i="1"/>
  <c r="BG425" i="1"/>
  <c r="BE425" i="1"/>
  <c r="AU425" i="1"/>
  <c r="AX425" i="1" s="1"/>
  <c r="AZ425" i="1" s="1"/>
  <c r="BB425" i="1" s="1"/>
  <c r="BI424" i="1"/>
  <c r="BG424" i="1"/>
  <c r="BE424" i="1"/>
  <c r="AU424" i="1"/>
  <c r="AX424" i="1" s="1"/>
  <c r="AZ424" i="1" s="1"/>
  <c r="BB424" i="1" s="1"/>
  <c r="BI423" i="1"/>
  <c r="BG423" i="1"/>
  <c r="BE423" i="1"/>
  <c r="AU423" i="1"/>
  <c r="AX423" i="1" s="1"/>
  <c r="AZ423" i="1" s="1"/>
  <c r="BB423" i="1" s="1"/>
  <c r="BI422" i="1"/>
  <c r="BG422" i="1"/>
  <c r="BE422" i="1"/>
  <c r="AU422" i="1"/>
  <c r="AX422" i="1" s="1"/>
  <c r="AZ422" i="1" s="1"/>
  <c r="BB422" i="1" s="1"/>
  <c r="BI421" i="1"/>
  <c r="BG421" i="1"/>
  <c r="BE421" i="1"/>
  <c r="AU421" i="1"/>
  <c r="AV421" i="1" s="1"/>
  <c r="BI420" i="1"/>
  <c r="BG420" i="1"/>
  <c r="BE420" i="1"/>
  <c r="BN420" i="1"/>
  <c r="AU420" i="1"/>
  <c r="AV420" i="1" s="1"/>
  <c r="BI419" i="1"/>
  <c r="BG419" i="1"/>
  <c r="AU419" i="1"/>
  <c r="AV419" i="1" s="1"/>
  <c r="BM353" i="1" l="1" a="1"/>
  <c r="BM353" i="1" s="1"/>
  <c r="BM363" i="1" a="1"/>
  <c r="BM363" i="1" s="1"/>
  <c r="BJ347" i="1" a="1"/>
  <c r="BJ347" i="1" s="1"/>
  <c r="BK347" i="1" s="1" a="1"/>
  <c r="BK347" i="1" s="1"/>
  <c r="BM347" i="1" s="1" a="1"/>
  <c r="BM347" i="1" s="1"/>
  <c r="BL355" i="1" a="1"/>
  <c r="BL355" i="1" s="1"/>
  <c r="BL345" i="1" a="1"/>
  <c r="BL345" i="1" s="1"/>
  <c r="BJ355" i="1" a="1"/>
  <c r="BJ355" i="1" s="1"/>
  <c r="BK355" i="1" s="1" a="1"/>
  <c r="BK355" i="1" s="1"/>
  <c r="BJ351" i="1" a="1"/>
  <c r="BJ351" i="1" s="1"/>
  <c r="BK351" i="1" s="1" a="1"/>
  <c r="BK351" i="1" s="1"/>
  <c r="BL351" i="1" a="1"/>
  <c r="BL351" i="1" s="1"/>
  <c r="AV457" i="1"/>
  <c r="BL359" i="1" a="1"/>
  <c r="BL359" i="1" s="1"/>
  <c r="BJ359" i="1" a="1"/>
  <c r="BJ359" i="1" s="1"/>
  <c r="BL346" i="1" a="1"/>
  <c r="BL346" i="1" s="1"/>
  <c r="BJ346" i="1" a="1"/>
  <c r="BJ346" i="1" s="1"/>
  <c r="BL358" i="1" a="1"/>
  <c r="BL358" i="1" s="1"/>
  <c r="BJ358" i="1" a="1"/>
  <c r="BJ358" i="1" s="1"/>
  <c r="AX443" i="1"/>
  <c r="AZ443" i="1" s="1"/>
  <c r="BB443" i="1" s="1"/>
  <c r="BD443" i="1" s="1"/>
  <c r="BK349" i="1" a="1"/>
  <c r="BK349" i="1" s="1"/>
  <c r="BM349" i="1" s="1" a="1"/>
  <c r="BM349" i="1" s="1"/>
  <c r="BL350" i="1" a="1"/>
  <c r="BL350" i="1" s="1"/>
  <c r="BJ350" i="1" a="1"/>
  <c r="BJ350" i="1" s="1"/>
  <c r="BK362" i="1" a="1"/>
  <c r="BK362" i="1" s="1"/>
  <c r="BM362" i="1" s="1" a="1"/>
  <c r="BM362" i="1" s="1"/>
  <c r="BK348" i="1" a="1"/>
  <c r="BK348" i="1" s="1"/>
  <c r="BM348" i="1" s="1" a="1"/>
  <c r="BM348" i="1" s="1"/>
  <c r="BK357" i="1" a="1"/>
  <c r="BK357" i="1" s="1"/>
  <c r="BM357" i="1" s="1" a="1"/>
  <c r="BM357" i="1" s="1"/>
  <c r="BK352" i="1" a="1"/>
  <c r="BK352" i="1" s="1"/>
  <c r="BM352" i="1" s="1" a="1"/>
  <c r="BM352" i="1" s="1"/>
  <c r="BK356" i="1" a="1"/>
  <c r="BK356" i="1" s="1"/>
  <c r="BM356" i="1" s="1" a="1"/>
  <c r="BM356" i="1" s="1"/>
  <c r="BK361" i="1" a="1"/>
  <c r="BK361" i="1" s="1"/>
  <c r="BM361" i="1" s="1" a="1"/>
  <c r="BM361" i="1" s="1"/>
  <c r="BK360" i="1" a="1"/>
  <c r="BK360" i="1" s="1"/>
  <c r="BM360" i="1" s="1" a="1"/>
  <c r="BM360" i="1" s="1"/>
  <c r="BK345" i="1" a="1"/>
  <c r="BK345" i="1" s="1"/>
  <c r="BL354" i="1" a="1"/>
  <c r="BL354" i="1" s="1"/>
  <c r="BJ354" i="1" a="1"/>
  <c r="BJ354" i="1" s="1"/>
  <c r="BK344" i="1" a="1"/>
  <c r="BK344" i="1" s="1"/>
  <c r="BM344" i="1" s="1" a="1"/>
  <c r="BM344" i="1" s="1"/>
  <c r="AV435" i="1"/>
  <c r="AV479" i="1"/>
  <c r="AV483" i="1"/>
  <c r="AV481" i="1"/>
  <c r="AV485" i="1"/>
  <c r="AX494" i="1"/>
  <c r="AZ494" i="1" s="1"/>
  <c r="BB494" i="1" s="1"/>
  <c r="BF494" i="1" s="1"/>
  <c r="BH494" i="1" s="1"/>
  <c r="AV464" i="1"/>
  <c r="AX500" i="1"/>
  <c r="AZ500" i="1" s="1"/>
  <c r="BB500" i="1" s="1"/>
  <c r="BD500" i="1" s="1"/>
  <c r="AV497" i="1"/>
  <c r="AV429" i="1"/>
  <c r="AX484" i="1"/>
  <c r="AZ484" i="1" s="1"/>
  <c r="BB484" i="1" s="1"/>
  <c r="BF484" i="1" s="1"/>
  <c r="BH484" i="1" s="1"/>
  <c r="AX491" i="1"/>
  <c r="AZ491" i="1" s="1"/>
  <c r="BB491" i="1" s="1"/>
  <c r="BF491" i="1" s="1"/>
  <c r="BH491" i="1" s="1"/>
  <c r="AV493" i="1"/>
  <c r="AV430" i="1"/>
  <c r="AV490" i="1"/>
  <c r="AX477" i="1"/>
  <c r="AZ477" i="1" s="1"/>
  <c r="BB477" i="1" s="1"/>
  <c r="BD477" i="1" s="1"/>
  <c r="AV433" i="1"/>
  <c r="AV455" i="1"/>
  <c r="AX463" i="1"/>
  <c r="AZ463" i="1" s="1"/>
  <c r="BB463" i="1" s="1"/>
  <c r="BD463" i="1" s="1"/>
  <c r="AX504" i="1"/>
  <c r="AZ504" i="1" s="1"/>
  <c r="BB504" i="1" s="1"/>
  <c r="BF504" i="1" s="1"/>
  <c r="BH504" i="1" s="1"/>
  <c r="AV425" i="1"/>
  <c r="AV489" i="1"/>
  <c r="AX467" i="1"/>
  <c r="AZ467" i="1" s="1"/>
  <c r="BB467" i="1" s="1"/>
  <c r="BF467" i="1" s="1"/>
  <c r="BH467" i="1" s="1"/>
  <c r="AV478" i="1"/>
  <c r="AV486" i="1"/>
  <c r="AX498" i="1"/>
  <c r="AZ498" i="1" s="1"/>
  <c r="BB498" i="1" s="1"/>
  <c r="BD498" i="1" s="1"/>
  <c r="AV501" i="1"/>
  <c r="AX420" i="1"/>
  <c r="AZ420" i="1" s="1"/>
  <c r="BB420" i="1" s="1"/>
  <c r="BF420" i="1" s="1"/>
  <c r="BH420" i="1" s="1"/>
  <c r="AX437" i="1"/>
  <c r="AZ437" i="1" s="1"/>
  <c r="BB437" i="1" s="1"/>
  <c r="BD437" i="1" s="1"/>
  <c r="AX466" i="1"/>
  <c r="AZ466" i="1" s="1"/>
  <c r="BB466" i="1" s="1"/>
  <c r="BF466" i="1" s="1"/>
  <c r="BH466" i="1" s="1"/>
  <c r="AV471" i="1"/>
  <c r="AX447" i="1"/>
  <c r="AZ447" i="1" s="1"/>
  <c r="BB447" i="1" s="1"/>
  <c r="BF447" i="1" s="1"/>
  <c r="BH447" i="1" s="1"/>
  <c r="AV473" i="1"/>
  <c r="AV488" i="1"/>
  <c r="AX449" i="1"/>
  <c r="AZ449" i="1" s="1"/>
  <c r="BB449" i="1" s="1"/>
  <c r="BF449" i="1" s="1"/>
  <c r="BH449" i="1" s="1"/>
  <c r="BD453" i="1"/>
  <c r="BF453" i="1"/>
  <c r="BH453" i="1" s="1"/>
  <c r="BF455" i="1"/>
  <c r="BH455" i="1" s="1"/>
  <c r="BD455" i="1"/>
  <c r="BF482" i="1"/>
  <c r="BH482" i="1" s="1"/>
  <c r="BD482" i="1"/>
  <c r="BD451" i="1"/>
  <c r="BF451" i="1"/>
  <c r="BH451" i="1" s="1"/>
  <c r="BF468" i="1"/>
  <c r="BH468" i="1" s="1"/>
  <c r="BD468" i="1"/>
  <c r="BD462" i="1"/>
  <c r="BF462" i="1"/>
  <c r="BH462" i="1" s="1"/>
  <c r="BD425" i="1"/>
  <c r="BF425" i="1"/>
  <c r="BH425" i="1" s="1"/>
  <c r="BF435" i="1"/>
  <c r="BH435" i="1" s="1"/>
  <c r="BD435" i="1"/>
  <c r="BF457" i="1"/>
  <c r="BH457" i="1" s="1"/>
  <c r="BD457" i="1"/>
  <c r="BF432" i="1"/>
  <c r="BH432" i="1" s="1"/>
  <c r="BD432" i="1"/>
  <c r="BF479" i="1"/>
  <c r="BH479" i="1" s="1"/>
  <c r="BD479" i="1"/>
  <c r="BD486" i="1"/>
  <c r="BF486" i="1"/>
  <c r="BH486" i="1" s="1"/>
  <c r="BF430" i="1"/>
  <c r="BH430" i="1" s="1"/>
  <c r="BD430" i="1"/>
  <c r="BF442" i="1"/>
  <c r="BH442" i="1" s="1"/>
  <c r="BD442" i="1"/>
  <c r="BF481" i="1"/>
  <c r="BH481" i="1" s="1"/>
  <c r="BD481" i="1"/>
  <c r="BF469" i="1"/>
  <c r="BH469" i="1" s="1"/>
  <c r="BD469" i="1"/>
  <c r="BD473" i="1"/>
  <c r="BF473" i="1"/>
  <c r="BH473" i="1" s="1"/>
  <c r="BF483" i="1"/>
  <c r="BH483" i="1" s="1"/>
  <c r="BD483" i="1"/>
  <c r="BD488" i="1"/>
  <c r="BF488" i="1"/>
  <c r="BH488" i="1" s="1"/>
  <c r="BD460" i="1"/>
  <c r="BF460" i="1"/>
  <c r="BH460" i="1" s="1"/>
  <c r="BD424" i="1"/>
  <c r="BF424" i="1"/>
  <c r="BH424" i="1" s="1"/>
  <c r="BD475" i="1"/>
  <c r="BF475" i="1"/>
  <c r="BH475" i="1" s="1"/>
  <c r="BD440" i="1"/>
  <c r="BF440" i="1"/>
  <c r="BH440" i="1" s="1"/>
  <c r="BF471" i="1"/>
  <c r="BH471" i="1" s="1"/>
  <c r="BD471" i="1"/>
  <c r="BF423" i="1"/>
  <c r="BH423" i="1" s="1"/>
  <c r="BD423" i="1"/>
  <c r="AV423" i="1"/>
  <c r="AV440" i="1"/>
  <c r="BF445" i="1"/>
  <c r="BH445" i="1" s="1"/>
  <c r="BD445" i="1"/>
  <c r="AX446" i="1"/>
  <c r="AZ446" i="1" s="1"/>
  <c r="BB446" i="1" s="1"/>
  <c r="BD452" i="1"/>
  <c r="BF452" i="1"/>
  <c r="BH452" i="1" s="1"/>
  <c r="BF459" i="1"/>
  <c r="BH459" i="1" s="1"/>
  <c r="BD459" i="1"/>
  <c r="BF502" i="1"/>
  <c r="BH502" i="1" s="1"/>
  <c r="BD502" i="1"/>
  <c r="BD429" i="1"/>
  <c r="BF429" i="1"/>
  <c r="BH429" i="1" s="1"/>
  <c r="AV445" i="1"/>
  <c r="AV452" i="1"/>
  <c r="AV459" i="1"/>
  <c r="AV482" i="1"/>
  <c r="AV462" i="1"/>
  <c r="BF422" i="1"/>
  <c r="BH422" i="1" s="1"/>
  <c r="BD422" i="1"/>
  <c r="BF433" i="1"/>
  <c r="BH433" i="1" s="1"/>
  <c r="BD433" i="1"/>
  <c r="BD439" i="1"/>
  <c r="BF439" i="1"/>
  <c r="BH439" i="1" s="1"/>
  <c r="AV422" i="1"/>
  <c r="BD476" i="1"/>
  <c r="BF476" i="1"/>
  <c r="BH476" i="1" s="1"/>
  <c r="BD489" i="1"/>
  <c r="BF489" i="1"/>
  <c r="BH489" i="1" s="1"/>
  <c r="AV432" i="1"/>
  <c r="BD436" i="1"/>
  <c r="BF436" i="1"/>
  <c r="BH436" i="1" s="1"/>
  <c r="AV442" i="1"/>
  <c r="AX444" i="1"/>
  <c r="AZ444" i="1" s="1"/>
  <c r="BB444" i="1" s="1"/>
  <c r="AV451" i="1"/>
  <c r="AX458" i="1"/>
  <c r="AZ458" i="1" s="1"/>
  <c r="BB458" i="1" s="1"/>
  <c r="BD472" i="1"/>
  <c r="BF472" i="1"/>
  <c r="BH472" i="1" s="1"/>
  <c r="AV475" i="1"/>
  <c r="BD485" i="1"/>
  <c r="BF485" i="1"/>
  <c r="BH485" i="1" s="1"/>
  <c r="BD501" i="1"/>
  <c r="BF501" i="1"/>
  <c r="BH501" i="1" s="1"/>
  <c r="BD428" i="1"/>
  <c r="BF428" i="1"/>
  <c r="BH428" i="1" s="1"/>
  <c r="AX448" i="1"/>
  <c r="AZ448" i="1" s="1"/>
  <c r="BB448" i="1" s="1"/>
  <c r="AV472" i="1"/>
  <c r="BF478" i="1"/>
  <c r="BH478" i="1" s="1"/>
  <c r="BD478" i="1"/>
  <c r="AX495" i="1"/>
  <c r="AZ495" i="1" s="1"/>
  <c r="BB495" i="1" s="1"/>
  <c r="AV495" i="1"/>
  <c r="AV424" i="1"/>
  <c r="BD461" i="1"/>
  <c r="BF461" i="1"/>
  <c r="BH461" i="1" s="1"/>
  <c r="BD465" i="1"/>
  <c r="BF465" i="1"/>
  <c r="BH465" i="1" s="1"/>
  <c r="BF480" i="1"/>
  <c r="BH480" i="1" s="1"/>
  <c r="BD480" i="1"/>
  <c r="BD441" i="1"/>
  <c r="BF441" i="1"/>
  <c r="BH441" i="1" s="1"/>
  <c r="AV453" i="1"/>
  <c r="AV460" i="1"/>
  <c r="AV465" i="1"/>
  <c r="AV469" i="1"/>
  <c r="AX427" i="1"/>
  <c r="AZ427" i="1" s="1"/>
  <c r="BB427" i="1" s="1"/>
  <c r="BF431" i="1"/>
  <c r="BH431" i="1" s="1"/>
  <c r="BD431" i="1"/>
  <c r="BD474" i="1"/>
  <c r="BF474" i="1"/>
  <c r="BH474" i="1" s="1"/>
  <c r="BD497" i="1"/>
  <c r="BF497" i="1"/>
  <c r="BH497" i="1" s="1"/>
  <c r="BF434" i="1"/>
  <c r="BH434" i="1" s="1"/>
  <c r="BD434" i="1"/>
  <c r="BD464" i="1"/>
  <c r="BF464" i="1"/>
  <c r="BH464" i="1" s="1"/>
  <c r="Z468" i="1"/>
  <c r="AA468" i="1" s="1"/>
  <c r="AH468" i="1" s="1"/>
  <c r="Z455" i="1"/>
  <c r="AA455" i="1" s="1"/>
  <c r="AH455" i="1" s="1"/>
  <c r="AV502" i="1"/>
  <c r="AV505" i="1"/>
  <c r="Z478" i="1"/>
  <c r="AA478" i="1" s="1"/>
  <c r="AH478" i="1" s="1"/>
  <c r="Z454" i="1"/>
  <c r="AA454" i="1" s="1"/>
  <c r="AH454" i="1" s="1"/>
  <c r="BD505" i="1"/>
  <c r="BL505" i="1" s="1" a="1"/>
  <c r="BL505" i="1" s="1"/>
  <c r="BD493" i="1"/>
  <c r="BL493" i="1" s="1" a="1"/>
  <c r="BL493" i="1" s="1"/>
  <c r="BF499" i="1"/>
  <c r="BH499" i="1" s="1"/>
  <c r="BD492" i="1"/>
  <c r="BL492" i="1" s="1" a="1"/>
  <c r="BL492" i="1" s="1"/>
  <c r="Z499" i="1"/>
  <c r="AA499" i="1" s="1"/>
  <c r="AH499" i="1" s="1"/>
  <c r="Z475" i="1"/>
  <c r="AA475" i="1" s="1"/>
  <c r="AH475" i="1" s="1"/>
  <c r="BD490" i="1"/>
  <c r="BL490" i="1" s="1" a="1"/>
  <c r="BL490" i="1" s="1"/>
  <c r="Z462" i="1"/>
  <c r="AA462" i="1" s="1"/>
  <c r="AH462" i="1" s="1"/>
  <c r="Z426" i="1"/>
  <c r="AA426" i="1" s="1"/>
  <c r="AH426" i="1" s="1"/>
  <c r="Z449" i="1"/>
  <c r="AA449" i="1" s="1"/>
  <c r="AH449" i="1" s="1"/>
  <c r="Z460" i="1"/>
  <c r="AA460" i="1" s="1"/>
  <c r="AH460" i="1" s="1"/>
  <c r="Z436" i="1"/>
  <c r="AA436" i="1" s="1"/>
  <c r="AH436" i="1" s="1"/>
  <c r="Z424" i="1"/>
  <c r="AA424" i="1" s="1"/>
  <c r="AH424" i="1" s="1"/>
  <c r="AV499" i="1"/>
  <c r="Z423" i="1"/>
  <c r="AA423" i="1" s="1"/>
  <c r="AH423" i="1" s="1"/>
  <c r="Z494" i="1"/>
  <c r="AA494" i="1" s="1"/>
  <c r="AH494" i="1" s="1"/>
  <c r="Z493" i="1"/>
  <c r="AA493" i="1" s="1"/>
  <c r="AH493" i="1" s="1"/>
  <c r="Z445" i="1"/>
  <c r="AA445" i="1" s="1"/>
  <c r="AH445" i="1" s="1"/>
  <c r="Z485" i="1"/>
  <c r="AA485" i="1" s="1"/>
  <c r="AH485" i="1" s="1"/>
  <c r="Z490" i="1"/>
  <c r="AA490" i="1" s="1"/>
  <c r="AH490" i="1" s="1"/>
  <c r="Z419" i="1"/>
  <c r="AA419" i="1" s="1"/>
  <c r="AH419" i="1" s="1"/>
  <c r="Z425" i="1"/>
  <c r="AA425" i="1" s="1"/>
  <c r="AH425" i="1" s="1"/>
  <c r="Z433" i="1"/>
  <c r="AA433" i="1" s="1"/>
  <c r="AH433" i="1" s="1"/>
  <c r="Z439" i="1"/>
  <c r="AA439" i="1" s="1"/>
  <c r="AH439" i="1" s="1"/>
  <c r="Z447" i="1"/>
  <c r="AA447" i="1" s="1"/>
  <c r="AH447" i="1" s="1"/>
  <c r="Z432" i="1"/>
  <c r="AA432" i="1" s="1"/>
  <c r="AH432" i="1" s="1"/>
  <c r="Z461" i="1"/>
  <c r="AA461" i="1" s="1"/>
  <c r="AH461" i="1" s="1"/>
  <c r="Z453" i="1"/>
  <c r="AA453" i="1" s="1"/>
  <c r="AH453" i="1" s="1"/>
  <c r="Z430" i="1"/>
  <c r="AA430" i="1" s="1"/>
  <c r="AH430" i="1" s="1"/>
  <c r="Z442" i="1"/>
  <c r="AA442" i="1" s="1"/>
  <c r="AH442" i="1" s="1"/>
  <c r="Z443" i="1"/>
  <c r="AA443" i="1" s="1"/>
  <c r="AH443" i="1" s="1"/>
  <c r="Z421" i="1"/>
  <c r="AA421" i="1" s="1"/>
  <c r="AH421" i="1" s="1"/>
  <c r="Z441" i="1"/>
  <c r="AA441" i="1" s="1"/>
  <c r="AH441" i="1" s="1"/>
  <c r="Z429" i="1"/>
  <c r="AA429" i="1" s="1"/>
  <c r="AH429" i="1" s="1"/>
  <c r="Z422" i="1"/>
  <c r="AA422" i="1" s="1"/>
  <c r="AH422" i="1" s="1"/>
  <c r="Z444" i="1"/>
  <c r="AA444" i="1" s="1"/>
  <c r="AH444" i="1" s="1"/>
  <c r="Z435" i="1"/>
  <c r="AA435" i="1" s="1"/>
  <c r="AH435" i="1" s="1"/>
  <c r="Z434" i="1"/>
  <c r="AA434" i="1" s="1"/>
  <c r="AH434" i="1" s="1"/>
  <c r="Z427" i="1"/>
  <c r="AA427" i="1" s="1"/>
  <c r="AH427" i="1" s="1"/>
  <c r="AX421" i="1"/>
  <c r="AZ421" i="1" s="1"/>
  <c r="BB421" i="1" s="1"/>
  <c r="AX426" i="1"/>
  <c r="AZ426" i="1" s="1"/>
  <c r="BB426" i="1" s="1"/>
  <c r="AX438" i="1"/>
  <c r="AZ438" i="1" s="1"/>
  <c r="BB438" i="1" s="1"/>
  <c r="AX450" i="1"/>
  <c r="AZ450" i="1" s="1"/>
  <c r="BB450" i="1" s="1"/>
  <c r="AX454" i="1"/>
  <c r="AZ454" i="1" s="1"/>
  <c r="BB454" i="1" s="1"/>
  <c r="AV454" i="1"/>
  <c r="Z474" i="1"/>
  <c r="AA474" i="1" s="1"/>
  <c r="AH474" i="1" s="1"/>
  <c r="Z477" i="1"/>
  <c r="AA477" i="1" s="1"/>
  <c r="AH477" i="1" s="1"/>
  <c r="AV431" i="1"/>
  <c r="Z440" i="1"/>
  <c r="AA440" i="1" s="1"/>
  <c r="AH440" i="1" s="1"/>
  <c r="Z451" i="1"/>
  <c r="AA451" i="1" s="1"/>
  <c r="AH451" i="1" s="1"/>
  <c r="Z484" i="1"/>
  <c r="AA484" i="1" s="1"/>
  <c r="AH484" i="1" s="1"/>
  <c r="Z471" i="1"/>
  <c r="AA471" i="1" s="1"/>
  <c r="AH471" i="1" s="1"/>
  <c r="Z479" i="1"/>
  <c r="AA479" i="1" s="1"/>
  <c r="AH479" i="1" s="1"/>
  <c r="Z492" i="1"/>
  <c r="AA492" i="1" s="1"/>
  <c r="AH492" i="1" s="1"/>
  <c r="Z428" i="1"/>
  <c r="AA428" i="1" s="1"/>
  <c r="AH428" i="1" s="1"/>
  <c r="AX419" i="1"/>
  <c r="AZ419" i="1" s="1"/>
  <c r="BB419" i="1" s="1"/>
  <c r="AV436" i="1"/>
  <c r="AV441" i="1"/>
  <c r="Z463" i="1"/>
  <c r="AA463" i="1" s="1"/>
  <c r="AH463" i="1" s="1"/>
  <c r="AX487" i="1"/>
  <c r="AZ487" i="1" s="1"/>
  <c r="BB487" i="1" s="1"/>
  <c r="AV487" i="1"/>
  <c r="Z495" i="1"/>
  <c r="AA495" i="1" s="1"/>
  <c r="AH495" i="1" s="1"/>
  <c r="Z466" i="1"/>
  <c r="AA466" i="1" s="1"/>
  <c r="AH466" i="1" s="1"/>
  <c r="Z480" i="1"/>
  <c r="AA480" i="1" s="1"/>
  <c r="AH480" i="1" s="1"/>
  <c r="Z483" i="1"/>
  <c r="AA483" i="1" s="1"/>
  <c r="AH483" i="1" s="1"/>
  <c r="Z497" i="1"/>
  <c r="AA497" i="1" s="1"/>
  <c r="AH497" i="1" s="1"/>
  <c r="Z504" i="1"/>
  <c r="AA504" i="1" s="1"/>
  <c r="AH504" i="1" s="1"/>
  <c r="Z452" i="1"/>
  <c r="AA452" i="1" s="1"/>
  <c r="AH452" i="1" s="1"/>
  <c r="Z456" i="1"/>
  <c r="AA456" i="1" s="1"/>
  <c r="AH456" i="1" s="1"/>
  <c r="Z464" i="1"/>
  <c r="AA464" i="1" s="1"/>
  <c r="AH464" i="1" s="1"/>
  <c r="Z469" i="1"/>
  <c r="AA469" i="1" s="1"/>
  <c r="AH469" i="1" s="1"/>
  <c r="Z481" i="1"/>
  <c r="AA481" i="1" s="1"/>
  <c r="AH481" i="1" s="1"/>
  <c r="Z438" i="1"/>
  <c r="AA438" i="1" s="1"/>
  <c r="AH438" i="1" s="1"/>
  <c r="Z457" i="1"/>
  <c r="AA457" i="1" s="1"/>
  <c r="AH457" i="1" s="1"/>
  <c r="Z465" i="1"/>
  <c r="AA465" i="1" s="1"/>
  <c r="AH465" i="1" s="1"/>
  <c r="Z500" i="1"/>
  <c r="AA500" i="1" s="1"/>
  <c r="AH500" i="1" s="1"/>
  <c r="Z420" i="1"/>
  <c r="AA420" i="1" s="1"/>
  <c r="AH420" i="1" s="1"/>
  <c r="AV428" i="1"/>
  <c r="Z446" i="1"/>
  <c r="AA446" i="1" s="1"/>
  <c r="AH446" i="1" s="1"/>
  <c r="Z467" i="1"/>
  <c r="AA467" i="1" s="1"/>
  <c r="AH467" i="1" s="1"/>
  <c r="AX470" i="1"/>
  <c r="AZ470" i="1" s="1"/>
  <c r="BB470" i="1" s="1"/>
  <c r="AV470" i="1"/>
  <c r="AV434" i="1"/>
  <c r="Z437" i="1"/>
  <c r="AA437" i="1" s="1"/>
  <c r="AH437" i="1" s="1"/>
  <c r="AV439" i="1"/>
  <c r="Z450" i="1"/>
  <c r="AA450" i="1" s="1"/>
  <c r="AH450" i="1" s="1"/>
  <c r="Z501" i="1"/>
  <c r="AA501" i="1" s="1"/>
  <c r="AH501" i="1" s="1"/>
  <c r="Z431" i="1"/>
  <c r="AA431" i="1" s="1"/>
  <c r="AH431" i="1" s="1"/>
  <c r="Z448" i="1"/>
  <c r="AA448" i="1" s="1"/>
  <c r="AH448" i="1" s="1"/>
  <c r="AX456" i="1"/>
  <c r="AZ456" i="1" s="1"/>
  <c r="BB456" i="1" s="1"/>
  <c r="AX496" i="1"/>
  <c r="AZ496" i="1" s="1"/>
  <c r="BB496" i="1" s="1"/>
  <c r="AV496" i="1"/>
  <c r="AX503" i="1"/>
  <c r="AZ503" i="1" s="1"/>
  <c r="BB503" i="1" s="1"/>
  <c r="AV503" i="1"/>
  <c r="Z458" i="1"/>
  <c r="AA458" i="1" s="1"/>
  <c r="AH458" i="1" s="1"/>
  <c r="Z488" i="1"/>
  <c r="AA488" i="1" s="1"/>
  <c r="AH488" i="1" s="1"/>
  <c r="Z491" i="1"/>
  <c r="AA491" i="1" s="1"/>
  <c r="AH491" i="1" s="1"/>
  <c r="Z502" i="1"/>
  <c r="AA502" i="1" s="1"/>
  <c r="AH502" i="1" s="1"/>
  <c r="Z459" i="1"/>
  <c r="AA459" i="1" s="1"/>
  <c r="AH459" i="1" s="1"/>
  <c r="Z473" i="1"/>
  <c r="AA473" i="1" s="1"/>
  <c r="AH473" i="1" s="1"/>
  <c r="AV476" i="1"/>
  <c r="Z472" i="1"/>
  <c r="AA472" i="1" s="1"/>
  <c r="AH472" i="1" s="1"/>
  <c r="AV474" i="1"/>
  <c r="AV461" i="1"/>
  <c r="AV468" i="1"/>
  <c r="AV480" i="1"/>
  <c r="Z489" i="1"/>
  <c r="AA489" i="1" s="1"/>
  <c r="AH489" i="1" s="1"/>
  <c r="AV492" i="1"/>
  <c r="Z498" i="1"/>
  <c r="AA498" i="1" s="1"/>
  <c r="AH498" i="1" s="1"/>
  <c r="Z505" i="1"/>
  <c r="AA505" i="1" s="1"/>
  <c r="AH505" i="1" s="1"/>
  <c r="Z482" i="1"/>
  <c r="AA482" i="1" s="1"/>
  <c r="AH482" i="1" s="1"/>
  <c r="Z487" i="1"/>
  <c r="AA487" i="1" s="1"/>
  <c r="AH487" i="1" s="1"/>
  <c r="Z496" i="1"/>
  <c r="AA496" i="1" s="1"/>
  <c r="AH496" i="1" s="1"/>
  <c r="Z470" i="1"/>
  <c r="AA470" i="1" s="1"/>
  <c r="AH470" i="1" s="1"/>
  <c r="Z476" i="1"/>
  <c r="AA476" i="1" s="1"/>
  <c r="AH476" i="1" s="1"/>
  <c r="Z503" i="1"/>
  <c r="AA503" i="1" s="1"/>
  <c r="AH503" i="1" s="1"/>
  <c r="Z486" i="1"/>
  <c r="AA486" i="1" s="1"/>
  <c r="AH486" i="1" s="1"/>
  <c r="BM345" i="1" l="1" a="1"/>
  <c r="BM345" i="1" s="1"/>
  <c r="BM351" i="1" a="1"/>
  <c r="BM351" i="1" s="1"/>
  <c r="BM355" i="1" a="1"/>
  <c r="BM355" i="1" s="1"/>
  <c r="BF498" i="1"/>
  <c r="BH498" i="1" s="1"/>
  <c r="BF463" i="1"/>
  <c r="BH463" i="1" s="1"/>
  <c r="BD420" i="1"/>
  <c r="BL420" i="1" s="1" a="1"/>
  <c r="BL420" i="1" s="1"/>
  <c r="BF437" i="1"/>
  <c r="BH437" i="1" s="1"/>
  <c r="BL442" i="1" a="1"/>
  <c r="BL442" i="1" s="1"/>
  <c r="BL481" i="1" a="1"/>
  <c r="BL481" i="1" s="1"/>
  <c r="BF443" i="1"/>
  <c r="BH443" i="1" s="1"/>
  <c r="BL443" i="1" s="1" a="1"/>
  <c r="BL443" i="1" s="1"/>
  <c r="BD494" i="1"/>
  <c r="BL494" i="1" s="1" a="1"/>
  <c r="BL494" i="1" s="1"/>
  <c r="BL473" i="1" a="1"/>
  <c r="BL473" i="1" s="1"/>
  <c r="BL462" i="1" a="1"/>
  <c r="BL462" i="1" s="1"/>
  <c r="BD484" i="1"/>
  <c r="BL484" i="1" s="1" a="1"/>
  <c r="BL484" i="1" s="1"/>
  <c r="BL475" i="1" a="1"/>
  <c r="BL475" i="1" s="1"/>
  <c r="BL429" i="1" a="1"/>
  <c r="BL429" i="1" s="1"/>
  <c r="BL423" i="1" a="1"/>
  <c r="BL423" i="1" s="1"/>
  <c r="BL482" i="1" a="1"/>
  <c r="BL482" i="1" s="1"/>
  <c r="BD449" i="1"/>
  <c r="BL449" i="1" s="1" a="1"/>
  <c r="BL449" i="1" s="1"/>
  <c r="BL459" i="1" a="1"/>
  <c r="BL459" i="1" s="1"/>
  <c r="BF477" i="1"/>
  <c r="BH477" i="1" s="1"/>
  <c r="BL471" i="1" a="1"/>
  <c r="BL471" i="1" s="1"/>
  <c r="BL441" i="1" a="1"/>
  <c r="BL441" i="1" s="1"/>
  <c r="BD504" i="1"/>
  <c r="BL504" i="1" s="1" a="1"/>
  <c r="BL504" i="1" s="1"/>
  <c r="BL464" i="1" a="1"/>
  <c r="BL464" i="1" s="1"/>
  <c r="BL476" i="1" a="1"/>
  <c r="BL476" i="1" s="1"/>
  <c r="BL434" i="1" a="1"/>
  <c r="BL434" i="1" s="1"/>
  <c r="BL478" i="1" a="1"/>
  <c r="BL478" i="1" s="1"/>
  <c r="BL485" i="1" a="1"/>
  <c r="BL485" i="1" s="1"/>
  <c r="BL489" i="1" a="1"/>
  <c r="BL489" i="1" s="1"/>
  <c r="BL457" i="1" a="1"/>
  <c r="BL457" i="1" s="1"/>
  <c r="BD467" i="1"/>
  <c r="BL467" i="1" s="1" a="1"/>
  <c r="BL467" i="1" s="1"/>
  <c r="BL430" i="1" a="1"/>
  <c r="BL430" i="1" s="1"/>
  <c r="BL435" i="1" a="1"/>
  <c r="BL435" i="1" s="1"/>
  <c r="BL455" i="1" a="1"/>
  <c r="BL455" i="1" s="1"/>
  <c r="BL439" i="1" a="1"/>
  <c r="BL439" i="1" s="1"/>
  <c r="BL445" i="1" a="1"/>
  <c r="BL445" i="1" s="1"/>
  <c r="BL486" i="1" a="1"/>
  <c r="BL486" i="1" s="1"/>
  <c r="BL425" i="1" a="1"/>
  <c r="BL425" i="1" s="1"/>
  <c r="BL453" i="1" a="1"/>
  <c r="BL453" i="1" s="1"/>
  <c r="BL433" i="1" a="1"/>
  <c r="BL433" i="1" s="1"/>
  <c r="BK359" i="1" a="1"/>
  <c r="BK359" i="1" s="1"/>
  <c r="BM359" i="1" s="1" a="1"/>
  <c r="BM359" i="1" s="1"/>
  <c r="BL501" i="1" a="1"/>
  <c r="BL501" i="1" s="1"/>
  <c r="BL422" i="1" a="1"/>
  <c r="BL422" i="1" s="1"/>
  <c r="BL472" i="1" a="1"/>
  <c r="BL472" i="1" s="1"/>
  <c r="BL424" i="1" a="1"/>
  <c r="BL424" i="1" s="1"/>
  <c r="BL451" i="1" a="1"/>
  <c r="BL451" i="1" s="1"/>
  <c r="BL497" i="1" a="1"/>
  <c r="BL497" i="1" s="1"/>
  <c r="BL480" i="1" a="1"/>
  <c r="BL480" i="1" s="1"/>
  <c r="BL452" i="1" a="1"/>
  <c r="BL452" i="1" s="1"/>
  <c r="BL460" i="1" a="1"/>
  <c r="BL460" i="1" s="1"/>
  <c r="BK350" i="1" a="1"/>
  <c r="BK350" i="1" s="1"/>
  <c r="BM350" i="1" s="1" a="1"/>
  <c r="BM350" i="1" s="1"/>
  <c r="BL474" i="1" a="1"/>
  <c r="BL474" i="1" s="1"/>
  <c r="BL428" i="1" a="1"/>
  <c r="BL428" i="1" s="1"/>
  <c r="BL488" i="1" a="1"/>
  <c r="BL488" i="1" s="1"/>
  <c r="BL498" i="1" a="1"/>
  <c r="BL498" i="1" s="1"/>
  <c r="BL499" i="1" a="1"/>
  <c r="BL499" i="1" s="1"/>
  <c r="BF500" i="1"/>
  <c r="BH500" i="1" s="1"/>
  <c r="BL431" i="1" a="1"/>
  <c r="BL431" i="1" s="1"/>
  <c r="BL465" i="1" a="1"/>
  <c r="BL465" i="1" s="1"/>
  <c r="BL436" i="1" a="1"/>
  <c r="BL436" i="1" s="1"/>
  <c r="BL483" i="1" a="1"/>
  <c r="BL483" i="1" s="1"/>
  <c r="BL461" i="1" a="1"/>
  <c r="BL461" i="1" s="1"/>
  <c r="BL440" i="1" a="1"/>
  <c r="BL440" i="1" s="1"/>
  <c r="BL479" i="1" a="1"/>
  <c r="BL479" i="1" s="1"/>
  <c r="BK354" i="1" a="1"/>
  <c r="BK354" i="1" s="1"/>
  <c r="BM354" i="1" s="1" a="1"/>
  <c r="BM354" i="1" s="1"/>
  <c r="BK358" i="1" a="1"/>
  <c r="BK358" i="1" s="1"/>
  <c r="BM358" i="1" s="1" a="1"/>
  <c r="BM358" i="1" s="1"/>
  <c r="BL502" i="1" a="1"/>
  <c r="BL502" i="1" s="1"/>
  <c r="BL469" i="1" a="1"/>
  <c r="BL469" i="1" s="1"/>
  <c r="BL432" i="1" a="1"/>
  <c r="BL432" i="1" s="1"/>
  <c r="BL468" i="1" a="1"/>
  <c r="BL468" i="1" s="1"/>
  <c r="BD491" i="1"/>
  <c r="BL491" i="1" s="1" a="1"/>
  <c r="BL491" i="1" s="1"/>
  <c r="BK346" i="1" a="1"/>
  <c r="BK346" i="1" s="1"/>
  <c r="BM346" i="1" s="1" a="1"/>
  <c r="BM346" i="1" s="1"/>
  <c r="BD447" i="1"/>
  <c r="BL447" i="1" s="1" a="1"/>
  <c r="BL447" i="1" s="1"/>
  <c r="BD466" i="1"/>
  <c r="BL466" i="1" s="1" a="1"/>
  <c r="BL466" i="1" s="1"/>
  <c r="BJ474" i="1" a="1"/>
  <c r="BJ474" i="1" s="1"/>
  <c r="BD448" i="1"/>
  <c r="BF448" i="1"/>
  <c r="BH448" i="1" s="1"/>
  <c r="BF444" i="1"/>
  <c r="BH444" i="1" s="1"/>
  <c r="BD444" i="1"/>
  <c r="BJ437" i="1" a="1"/>
  <c r="BJ437" i="1" s="1"/>
  <c r="BJ479" i="1" a="1"/>
  <c r="BJ479" i="1" s="1"/>
  <c r="BJ431" i="1" a="1"/>
  <c r="BJ431" i="1" s="1"/>
  <c r="BJ465" i="1" a="1"/>
  <c r="BJ465" i="1" s="1"/>
  <c r="BJ439" i="1" a="1"/>
  <c r="BJ439" i="1" s="1"/>
  <c r="BJ475" i="1" a="1"/>
  <c r="BJ475" i="1" s="1"/>
  <c r="BJ462" i="1" a="1"/>
  <c r="BJ462" i="1" s="1"/>
  <c r="BF419" i="1"/>
  <c r="BH419" i="1" s="1"/>
  <c r="BD419" i="1"/>
  <c r="BJ492" i="1" a="1"/>
  <c r="BJ492" i="1" s="1"/>
  <c r="BJ428" i="1" a="1"/>
  <c r="BJ428" i="1" s="1"/>
  <c r="BJ433" i="1" a="1"/>
  <c r="BJ433" i="1" s="1"/>
  <c r="BJ452" i="1" a="1"/>
  <c r="BJ452" i="1" s="1"/>
  <c r="BJ469" i="1" a="1"/>
  <c r="BJ469" i="1" s="1"/>
  <c r="BJ432" i="1" a="1"/>
  <c r="BJ432" i="1" s="1"/>
  <c r="BJ468" i="1" a="1"/>
  <c r="BJ468" i="1" s="1"/>
  <c r="BD427" i="1"/>
  <c r="BF427" i="1"/>
  <c r="BH427" i="1" s="1"/>
  <c r="BJ461" i="1" a="1"/>
  <c r="BJ461" i="1" s="1"/>
  <c r="BJ436" i="1" a="1"/>
  <c r="BJ436" i="1" s="1"/>
  <c r="BJ463" i="1" a="1"/>
  <c r="BJ463" i="1" s="1"/>
  <c r="BF446" i="1"/>
  <c r="BH446" i="1" s="1"/>
  <c r="BD446" i="1"/>
  <c r="BJ424" i="1" a="1"/>
  <c r="BJ424" i="1" s="1"/>
  <c r="BJ501" i="1" a="1"/>
  <c r="BJ501" i="1" s="1"/>
  <c r="BJ422" i="1" a="1"/>
  <c r="BJ422" i="1" s="1"/>
  <c r="BJ445" i="1" a="1"/>
  <c r="BJ445" i="1" s="1"/>
  <c r="BJ471" i="1" a="1"/>
  <c r="BJ471" i="1" s="1"/>
  <c r="BJ481" i="1" a="1"/>
  <c r="BJ481" i="1" s="1"/>
  <c r="BJ457" i="1" a="1"/>
  <c r="BJ457" i="1" s="1"/>
  <c r="BD450" i="1"/>
  <c r="BF450" i="1"/>
  <c r="BH450" i="1" s="1"/>
  <c r="BJ493" i="1" a="1"/>
  <c r="BJ493" i="1" s="1"/>
  <c r="BJ498" i="1" a="1"/>
  <c r="BJ498" i="1" s="1"/>
  <c r="BJ460" i="1" a="1"/>
  <c r="BJ460" i="1" s="1"/>
  <c r="BJ451" i="1" a="1"/>
  <c r="BJ451" i="1" s="1"/>
  <c r="BD438" i="1"/>
  <c r="BF438" i="1"/>
  <c r="BH438" i="1" s="1"/>
  <c r="BJ505" i="1" a="1"/>
  <c r="BJ505" i="1" s="1"/>
  <c r="BJ464" i="1" a="1"/>
  <c r="BJ464" i="1" s="1"/>
  <c r="BJ485" i="1" a="1"/>
  <c r="BJ485" i="1" s="1"/>
  <c r="BJ489" i="1" a="1"/>
  <c r="BJ489" i="1" s="1"/>
  <c r="BJ499" i="1" a="1"/>
  <c r="BJ499" i="1" s="1"/>
  <c r="BJ442" i="1" a="1"/>
  <c r="BJ442" i="1" s="1"/>
  <c r="BJ482" i="1" a="1"/>
  <c r="BJ482" i="1" s="1"/>
  <c r="BF454" i="1"/>
  <c r="BH454" i="1" s="1"/>
  <c r="BD454" i="1"/>
  <c r="BD426" i="1"/>
  <c r="BF426" i="1"/>
  <c r="BH426" i="1" s="1"/>
  <c r="BJ434" i="1" a="1"/>
  <c r="BJ434" i="1" s="1"/>
  <c r="BJ488" i="1" a="1"/>
  <c r="BJ488" i="1" s="1"/>
  <c r="BF495" i="1"/>
  <c r="BH495" i="1" s="1"/>
  <c r="BD495" i="1"/>
  <c r="BJ476" i="1" a="1"/>
  <c r="BJ476" i="1" s="1"/>
  <c r="BJ429" i="1" a="1"/>
  <c r="BJ429" i="1" s="1"/>
  <c r="BJ423" i="1" a="1"/>
  <c r="BJ423" i="1" s="1"/>
  <c r="BJ483" i="1" a="1"/>
  <c r="BJ483" i="1" s="1"/>
  <c r="BJ430" i="1" a="1"/>
  <c r="BJ430" i="1" s="1"/>
  <c r="BJ435" i="1" a="1"/>
  <c r="BJ435" i="1" s="1"/>
  <c r="BJ455" i="1" a="1"/>
  <c r="BJ455" i="1" s="1"/>
  <c r="BF503" i="1"/>
  <c r="BH503" i="1" s="1"/>
  <c r="BD503" i="1"/>
  <c r="BF470" i="1"/>
  <c r="BH470" i="1" s="1"/>
  <c r="BD470" i="1"/>
  <c r="BD487" i="1"/>
  <c r="BF487" i="1"/>
  <c r="BH487" i="1" s="1"/>
  <c r="BF421" i="1"/>
  <c r="BH421" i="1" s="1"/>
  <c r="BD421" i="1"/>
  <c r="BJ441" i="1" a="1"/>
  <c r="BJ441" i="1" s="1"/>
  <c r="BJ478" i="1" a="1"/>
  <c r="BJ478" i="1" s="1"/>
  <c r="BJ472" i="1" a="1"/>
  <c r="BJ472" i="1" s="1"/>
  <c r="BJ467" i="1" a="1"/>
  <c r="BJ467" i="1" s="1"/>
  <c r="BJ502" i="1" a="1"/>
  <c r="BJ502" i="1" s="1"/>
  <c r="BJ440" i="1" a="1"/>
  <c r="BJ440" i="1" s="1"/>
  <c r="BJ490" i="1" a="1"/>
  <c r="BJ490" i="1" s="1"/>
  <c r="BJ497" i="1" a="1"/>
  <c r="BJ497" i="1" s="1"/>
  <c r="BJ480" i="1" a="1"/>
  <c r="BJ480" i="1" s="1"/>
  <c r="BF458" i="1"/>
  <c r="BH458" i="1" s="1"/>
  <c r="BD458" i="1"/>
  <c r="BJ420" i="1" a="1"/>
  <c r="BJ420" i="1" s="1"/>
  <c r="BF456" i="1"/>
  <c r="BH456" i="1" s="1"/>
  <c r="BD456" i="1"/>
  <c r="BD496" i="1"/>
  <c r="BF496" i="1"/>
  <c r="BH496" i="1" s="1"/>
  <c r="BJ459" i="1" a="1"/>
  <c r="BJ459" i="1" s="1"/>
  <c r="BJ473" i="1" a="1"/>
  <c r="BJ473" i="1" s="1"/>
  <c r="BJ486" i="1" a="1"/>
  <c r="BJ486" i="1" s="1"/>
  <c r="BJ425" i="1" a="1"/>
  <c r="BJ425" i="1" s="1"/>
  <c r="BJ453" i="1" a="1"/>
  <c r="BJ453" i="1" s="1"/>
  <c r="BJ477" i="1" l="1" a="1"/>
  <c r="BJ477" i="1" s="1"/>
  <c r="BK477" i="1" s="1" a="1"/>
  <c r="BK477" i="1" s="1"/>
  <c r="BJ443" i="1" a="1"/>
  <c r="BJ443" i="1" s="1"/>
  <c r="BK443" i="1" s="1" a="1"/>
  <c r="BK443" i="1" s="1"/>
  <c r="BM443" i="1" s="1" a="1"/>
  <c r="BM443" i="1" s="1"/>
  <c r="BL437" i="1" a="1"/>
  <c r="BL437" i="1" s="1"/>
  <c r="BL463" i="1" a="1"/>
  <c r="BL463" i="1" s="1"/>
  <c r="BJ494" i="1" a="1"/>
  <c r="BJ494" i="1" s="1"/>
  <c r="BJ484" i="1" a="1"/>
  <c r="BJ484" i="1" s="1"/>
  <c r="BL456" i="1" a="1"/>
  <c r="BL456" i="1" s="1"/>
  <c r="BJ491" i="1" a="1"/>
  <c r="BJ491" i="1" s="1"/>
  <c r="BK491" i="1" s="1" a="1"/>
  <c r="BK491" i="1" s="1"/>
  <c r="BM491" i="1" s="1" a="1"/>
  <c r="BM491" i="1" s="1"/>
  <c r="BJ449" i="1" a="1"/>
  <c r="BJ449" i="1" s="1"/>
  <c r="BK449" i="1" s="1" a="1"/>
  <c r="BK449" i="1" s="1"/>
  <c r="BM449" i="1" s="1" a="1"/>
  <c r="BM449" i="1" s="1"/>
  <c r="BJ447" i="1" a="1"/>
  <c r="BJ447" i="1" s="1"/>
  <c r="BK447" i="1" s="1" a="1"/>
  <c r="BK447" i="1" s="1"/>
  <c r="BM447" i="1" s="1" a="1"/>
  <c r="BM447" i="1" s="1"/>
  <c r="BL496" i="1" a="1"/>
  <c r="BL496" i="1" s="1"/>
  <c r="BL427" i="1" a="1"/>
  <c r="BL427" i="1" s="1"/>
  <c r="BJ500" i="1" a="1"/>
  <c r="BJ500" i="1" s="1"/>
  <c r="BK500" i="1" s="1" a="1"/>
  <c r="BK500" i="1" s="1"/>
  <c r="BL500" i="1" a="1"/>
  <c r="BL500" i="1" s="1"/>
  <c r="BL477" i="1" a="1"/>
  <c r="BL477" i="1" s="1"/>
  <c r="BL495" i="1" a="1"/>
  <c r="BL495" i="1" s="1"/>
  <c r="BL419" i="1" a="1"/>
  <c r="BL419" i="1" s="1"/>
  <c r="BJ504" i="1" a="1"/>
  <c r="BJ504" i="1" s="1"/>
  <c r="BK504" i="1" s="1" a="1"/>
  <c r="BK504" i="1" s="1"/>
  <c r="BM504" i="1" s="1" a="1"/>
  <c r="BM504" i="1" s="1"/>
  <c r="BL426" i="1" a="1"/>
  <c r="BL426" i="1" s="1"/>
  <c r="BL421" i="1" a="1"/>
  <c r="BL421" i="1" s="1"/>
  <c r="BJ466" i="1" a="1"/>
  <c r="BJ466" i="1" s="1"/>
  <c r="BK466" i="1" s="1" a="1"/>
  <c r="BK466" i="1" s="1"/>
  <c r="BM466" i="1" s="1" a="1"/>
  <c r="BM466" i="1" s="1"/>
  <c r="BL444" i="1" a="1"/>
  <c r="BL444" i="1" s="1"/>
  <c r="BK467" i="1" a="1"/>
  <c r="BK467" i="1" s="1"/>
  <c r="BM467" i="1" s="1" a="1"/>
  <c r="BM467" i="1" s="1"/>
  <c r="BK472" i="1" a="1"/>
  <c r="BK472" i="1" s="1"/>
  <c r="BM472" i="1" s="1" a="1"/>
  <c r="BM472" i="1" s="1"/>
  <c r="BK435" i="1" a="1"/>
  <c r="BK435" i="1" s="1"/>
  <c r="BM435" i="1" s="1" a="1"/>
  <c r="BM435" i="1" s="1"/>
  <c r="BL454" i="1" a="1"/>
  <c r="BL454" i="1" s="1"/>
  <c r="BL438" i="1" a="1"/>
  <c r="BL438" i="1" s="1"/>
  <c r="BK422" i="1" a="1"/>
  <c r="BK422" i="1" s="1"/>
  <c r="BM422" i="1" s="1" a="1"/>
  <c r="BM422" i="1" s="1"/>
  <c r="BK432" i="1" a="1"/>
  <c r="BK432" i="1" s="1"/>
  <c r="BM432" i="1" s="1" a="1"/>
  <c r="BM432" i="1" s="1"/>
  <c r="BK465" i="1" a="1"/>
  <c r="BK465" i="1" s="1"/>
  <c r="BM465" i="1" s="1" a="1"/>
  <c r="BM465" i="1" s="1"/>
  <c r="BK501" i="1" a="1"/>
  <c r="BK501" i="1" s="1"/>
  <c r="BM501" i="1" s="1" a="1"/>
  <c r="BM501" i="1" s="1"/>
  <c r="BK469" i="1" a="1"/>
  <c r="BK469" i="1" s="1"/>
  <c r="BM469" i="1" s="1" a="1"/>
  <c r="BM469" i="1" s="1"/>
  <c r="BK431" i="1" a="1"/>
  <c r="BK431" i="1" s="1"/>
  <c r="BM431" i="1" s="1" a="1"/>
  <c r="BM431" i="1" s="1"/>
  <c r="BK451" i="1" a="1"/>
  <c r="BK451" i="1" s="1"/>
  <c r="BM451" i="1" s="1" a="1"/>
  <c r="BM451" i="1" s="1"/>
  <c r="BK441" i="1" a="1"/>
  <c r="BK441" i="1" s="1"/>
  <c r="BM441" i="1" s="1" a="1"/>
  <c r="BM441" i="1" s="1"/>
  <c r="BK483" i="1" a="1"/>
  <c r="BK483" i="1" s="1"/>
  <c r="BM483" i="1" s="1" a="1"/>
  <c r="BM483" i="1" s="1"/>
  <c r="BK482" i="1" a="1"/>
  <c r="BK482" i="1" s="1"/>
  <c r="BM482" i="1" s="1" a="1"/>
  <c r="BM482" i="1" s="1"/>
  <c r="BK460" i="1" a="1"/>
  <c r="BK460" i="1" s="1"/>
  <c r="BM460" i="1" s="1" a="1"/>
  <c r="BM460" i="1" s="1"/>
  <c r="BK424" i="1" a="1"/>
  <c r="BK424" i="1" s="1"/>
  <c r="BM424" i="1" s="1" a="1"/>
  <c r="BM424" i="1" s="1"/>
  <c r="BK452" i="1" a="1"/>
  <c r="BK452" i="1" s="1"/>
  <c r="BM452" i="1" s="1" a="1"/>
  <c r="BM452" i="1" s="1"/>
  <c r="BK479" i="1" a="1"/>
  <c r="BK479" i="1" s="1"/>
  <c r="BM479" i="1" s="1" a="1"/>
  <c r="BM479" i="1" s="1"/>
  <c r="BK423" i="1" a="1"/>
  <c r="BK423" i="1" s="1"/>
  <c r="BM423" i="1" s="1" a="1"/>
  <c r="BM423" i="1" s="1"/>
  <c r="BK498" i="1" a="1"/>
  <c r="BK498" i="1" s="1"/>
  <c r="BM498" i="1" s="1" a="1"/>
  <c r="BM498" i="1" s="1"/>
  <c r="BK433" i="1" a="1"/>
  <c r="BK433" i="1" s="1"/>
  <c r="BM433" i="1" s="1" a="1"/>
  <c r="BM433" i="1" s="1"/>
  <c r="BK478" i="1" a="1"/>
  <c r="BK478" i="1" s="1"/>
  <c r="BM478" i="1" s="1" a="1"/>
  <c r="BM478" i="1" s="1"/>
  <c r="BK453" i="1" a="1"/>
  <c r="BK453" i="1" s="1"/>
  <c r="BM453" i="1" s="1" a="1"/>
  <c r="BM453" i="1" s="1"/>
  <c r="BL458" i="1" a="1"/>
  <c r="BL458" i="1" s="1"/>
  <c r="BK429" i="1" a="1"/>
  <c r="BK429" i="1" s="1"/>
  <c r="BM429" i="1" s="1" a="1"/>
  <c r="BM429" i="1" s="1"/>
  <c r="BK442" i="1" a="1"/>
  <c r="BK442" i="1" s="1"/>
  <c r="BM442" i="1" s="1" a="1"/>
  <c r="BM442" i="1" s="1"/>
  <c r="BK493" i="1" a="1"/>
  <c r="BK493" i="1" s="1"/>
  <c r="BM493" i="1" s="1" a="1"/>
  <c r="BM493" i="1" s="1"/>
  <c r="BL446" i="1" a="1"/>
  <c r="BL446" i="1" s="1"/>
  <c r="BK428" i="1" a="1"/>
  <c r="BK428" i="1" s="1"/>
  <c r="BM428" i="1" s="1" a="1"/>
  <c r="BM428" i="1" s="1"/>
  <c r="BK437" i="1" a="1"/>
  <c r="BK437" i="1" s="1"/>
  <c r="BK492" i="1" a="1"/>
  <c r="BK492" i="1" s="1"/>
  <c r="BM492" i="1" s="1" a="1"/>
  <c r="BM492" i="1" s="1"/>
  <c r="BK425" i="1" a="1"/>
  <c r="BK425" i="1" s="1"/>
  <c r="BM425" i="1" s="1" a="1"/>
  <c r="BM425" i="1" s="1"/>
  <c r="BK486" i="1" a="1"/>
  <c r="BK486" i="1" s="1"/>
  <c r="BM486" i="1" s="1" a="1"/>
  <c r="BM486" i="1" s="1"/>
  <c r="BK480" i="1" a="1"/>
  <c r="BK480" i="1" s="1"/>
  <c r="BM480" i="1" s="1" a="1"/>
  <c r="BM480" i="1" s="1"/>
  <c r="BL487" i="1" a="1"/>
  <c r="BL487" i="1" s="1"/>
  <c r="BK499" i="1" a="1"/>
  <c r="BK499" i="1" s="1"/>
  <c r="BM499" i="1" s="1" a="1"/>
  <c r="BM499" i="1" s="1"/>
  <c r="BL450" i="1" a="1"/>
  <c r="BL450" i="1" s="1"/>
  <c r="BK463" i="1" a="1"/>
  <c r="BK463" i="1" s="1"/>
  <c r="BM463" i="1" s="1" a="1"/>
  <c r="BM463" i="1" s="1"/>
  <c r="BK420" i="1" a="1"/>
  <c r="BK420" i="1" s="1"/>
  <c r="BM420" i="1" s="1" a="1"/>
  <c r="BM420" i="1" s="1"/>
  <c r="BK476" i="1" a="1"/>
  <c r="BK476" i="1" s="1"/>
  <c r="BM476" i="1" s="1" a="1"/>
  <c r="BM476" i="1" s="1"/>
  <c r="BK473" i="1" a="1"/>
  <c r="BK473" i="1" s="1"/>
  <c r="BM473" i="1" s="1" a="1"/>
  <c r="BM473" i="1" s="1"/>
  <c r="BK497" i="1" a="1"/>
  <c r="BK497" i="1" s="1"/>
  <c r="BM497" i="1" s="1" a="1"/>
  <c r="BM497" i="1" s="1"/>
  <c r="BL470" i="1" a="1"/>
  <c r="BL470" i="1" s="1"/>
  <c r="BK489" i="1" a="1"/>
  <c r="BK489" i="1" s="1"/>
  <c r="BM489" i="1" s="1" a="1"/>
  <c r="BM489" i="1" s="1"/>
  <c r="BK436" i="1" a="1"/>
  <c r="BK436" i="1" s="1"/>
  <c r="BM436" i="1" s="1" a="1"/>
  <c r="BM436" i="1" s="1"/>
  <c r="BK459" i="1" a="1"/>
  <c r="BK459" i="1" s="1"/>
  <c r="BM459" i="1" s="1" a="1"/>
  <c r="BM459" i="1" s="1"/>
  <c r="BK488" i="1" a="1"/>
  <c r="BK488" i="1" s="1"/>
  <c r="BM488" i="1" s="1" a="1"/>
  <c r="BM488" i="1" s="1"/>
  <c r="BK485" i="1" a="1"/>
  <c r="BK485" i="1" s="1"/>
  <c r="BM485" i="1" s="1" a="1"/>
  <c r="BM485" i="1" s="1"/>
  <c r="BK457" i="1" a="1"/>
  <c r="BK457" i="1" s="1"/>
  <c r="BM457" i="1" s="1" a="1"/>
  <c r="BM457" i="1" s="1"/>
  <c r="BK461" i="1" a="1"/>
  <c r="BK461" i="1" s="1"/>
  <c r="BM461" i="1" s="1" a="1"/>
  <c r="BM461" i="1" s="1"/>
  <c r="BK462" i="1" a="1"/>
  <c r="BK462" i="1" s="1"/>
  <c r="BM462" i="1" s="1" a="1"/>
  <c r="BM462" i="1" s="1"/>
  <c r="BL448" i="1" a="1"/>
  <c r="BL448" i="1" s="1"/>
  <c r="BK490" i="1" a="1"/>
  <c r="BK490" i="1" s="1"/>
  <c r="BM490" i="1" s="1" a="1"/>
  <c r="BM490" i="1" s="1"/>
  <c r="BK440" i="1" a="1"/>
  <c r="BK440" i="1" s="1"/>
  <c r="BM440" i="1" s="1" a="1"/>
  <c r="BM440" i="1" s="1"/>
  <c r="BL503" i="1" a="1"/>
  <c r="BL503" i="1" s="1"/>
  <c r="BK434" i="1" a="1"/>
  <c r="BK434" i="1" s="1"/>
  <c r="BM434" i="1" s="1" a="1"/>
  <c r="BM434" i="1" s="1"/>
  <c r="BK464" i="1" a="1"/>
  <c r="BK464" i="1" s="1"/>
  <c r="BM464" i="1" s="1" a="1"/>
  <c r="BM464" i="1" s="1"/>
  <c r="BK481" i="1" a="1"/>
  <c r="BK481" i="1" s="1"/>
  <c r="BM481" i="1" s="1" a="1"/>
  <c r="BM481" i="1" s="1"/>
  <c r="BK475" i="1" a="1"/>
  <c r="BK475" i="1" s="1"/>
  <c r="BM475" i="1" s="1" a="1"/>
  <c r="BM475" i="1" s="1"/>
  <c r="BK474" i="1" a="1"/>
  <c r="BK474" i="1" s="1"/>
  <c r="BM474" i="1" s="1" a="1"/>
  <c r="BM474" i="1" s="1"/>
  <c r="BK430" i="1" a="1"/>
  <c r="BK430" i="1" s="1"/>
  <c r="BM430" i="1" s="1" a="1"/>
  <c r="BM430" i="1" s="1"/>
  <c r="BK502" i="1" a="1"/>
  <c r="BK502" i="1" s="1"/>
  <c r="BM502" i="1" s="1" a="1"/>
  <c r="BM502" i="1" s="1"/>
  <c r="BK505" i="1" a="1"/>
  <c r="BK505" i="1" s="1"/>
  <c r="BM505" i="1" s="1" a="1"/>
  <c r="BM505" i="1" s="1"/>
  <c r="BK471" i="1" a="1"/>
  <c r="BK471" i="1" s="1"/>
  <c r="BM471" i="1" s="1" a="1"/>
  <c r="BM471" i="1" s="1"/>
  <c r="BK484" i="1" a="1"/>
  <c r="BK484" i="1" s="1"/>
  <c r="BM484" i="1" s="1" a="1"/>
  <c r="BM484" i="1" s="1"/>
  <c r="BK494" i="1" a="1"/>
  <c r="BK494" i="1" s="1"/>
  <c r="BM494" i="1" s="1" a="1"/>
  <c r="BM494" i="1" s="1"/>
  <c r="BK455" i="1" a="1"/>
  <c r="BK455" i="1" s="1"/>
  <c r="BM455" i="1" s="1" a="1"/>
  <c r="BM455" i="1" s="1"/>
  <c r="BK445" i="1" a="1"/>
  <c r="BK445" i="1" s="1"/>
  <c r="BM445" i="1" s="1" a="1"/>
  <c r="BM445" i="1" s="1"/>
  <c r="BK468" i="1" a="1"/>
  <c r="BK468" i="1" s="1"/>
  <c r="BM468" i="1" s="1" a="1"/>
  <c r="BM468" i="1" s="1"/>
  <c r="BK439" i="1" a="1"/>
  <c r="BK439" i="1" s="1"/>
  <c r="BM439" i="1" s="1" a="1"/>
  <c r="BM439" i="1" s="1"/>
  <c r="BJ487" i="1" a="1"/>
  <c r="BJ487" i="1" s="1"/>
  <c r="BJ458" i="1" a="1"/>
  <c r="BJ458" i="1" s="1"/>
  <c r="BJ470" i="1" a="1"/>
  <c r="BJ470" i="1" s="1"/>
  <c r="BJ438" i="1" a="1"/>
  <c r="BJ438" i="1" s="1"/>
  <c r="BJ427" i="1" a="1"/>
  <c r="BJ427" i="1" s="1"/>
  <c r="BJ503" i="1" a="1"/>
  <c r="BJ503" i="1" s="1"/>
  <c r="BJ426" i="1" a="1"/>
  <c r="BJ426" i="1" s="1"/>
  <c r="BJ444" i="1" a="1"/>
  <c r="BJ444" i="1" s="1"/>
  <c r="BJ496" i="1" a="1"/>
  <c r="BJ496" i="1" s="1"/>
  <c r="BJ454" i="1" a="1"/>
  <c r="BJ454" i="1" s="1"/>
  <c r="BJ456" i="1" a="1"/>
  <c r="BJ456" i="1" s="1"/>
  <c r="BJ446" i="1" a="1"/>
  <c r="BJ446" i="1" s="1"/>
  <c r="BJ448" i="1" a="1"/>
  <c r="BJ448" i="1" s="1"/>
  <c r="BJ495" i="1" a="1"/>
  <c r="BJ495" i="1" s="1"/>
  <c r="BJ419" i="1" a="1"/>
  <c r="BJ419" i="1" s="1"/>
  <c r="BJ421" i="1" a="1"/>
  <c r="BJ421" i="1" s="1"/>
  <c r="BJ450" i="1" a="1"/>
  <c r="BJ450" i="1" s="1"/>
  <c r="X12" i="1"/>
  <c r="Y12" i="1" a="1"/>
  <c r="Y12" i="1" s="1"/>
  <c r="AU12" i="1"/>
  <c r="AX12" i="1" s="1"/>
  <c r="AZ12" i="1" s="1"/>
  <c r="BB12" i="1" s="1"/>
  <c r="BR12" i="1" a="1"/>
  <c r="BR12" i="1" s="1"/>
  <c r="BE12" i="1" s="1"/>
  <c r="BS12" i="1" a="1"/>
  <c r="BS12" i="1" s="1"/>
  <c r="BG12" i="1" s="1"/>
  <c r="BT12" i="1" a="1"/>
  <c r="BT12" i="1" s="1"/>
  <c r="BI12" i="1" s="1"/>
  <c r="BU12" i="1" a="1"/>
  <c r="BU12" i="1" s="1"/>
  <c r="X13" i="1"/>
  <c r="Y13" i="1" a="1"/>
  <c r="Y13" i="1" s="1"/>
  <c r="AU13" i="1"/>
  <c r="AV13" i="1" s="1"/>
  <c r="BR13" i="1" a="1"/>
  <c r="BR13" i="1" s="1"/>
  <c r="BE13" i="1" s="1"/>
  <c r="BS13" i="1" a="1"/>
  <c r="BS13" i="1" s="1"/>
  <c r="BG13" i="1" s="1"/>
  <c r="BT13" i="1" a="1"/>
  <c r="BT13" i="1" s="1"/>
  <c r="BI13" i="1" s="1"/>
  <c r="BU13" i="1" a="1"/>
  <c r="BU13" i="1" s="1"/>
  <c r="X14" i="1"/>
  <c r="Y14" i="1" a="1"/>
  <c r="Y14" i="1" s="1"/>
  <c r="AU14" i="1"/>
  <c r="AX14" i="1" s="1"/>
  <c r="AZ14" i="1" s="1"/>
  <c r="BB14" i="1" s="1"/>
  <c r="BR14" i="1" a="1"/>
  <c r="BR14" i="1" s="1"/>
  <c r="BE14" i="1" s="1"/>
  <c r="BS14" i="1" a="1"/>
  <c r="BS14" i="1" s="1"/>
  <c r="BG14" i="1" s="1"/>
  <c r="BT14" i="1" a="1"/>
  <c r="BT14" i="1" s="1"/>
  <c r="BU14" i="1" a="1"/>
  <c r="BU14" i="1" s="1"/>
  <c r="X15" i="1"/>
  <c r="Y15" i="1" a="1"/>
  <c r="Y15" i="1" s="1"/>
  <c r="AU15" i="1"/>
  <c r="AV15" i="1" s="1"/>
  <c r="BR15" i="1" a="1"/>
  <c r="BR15" i="1" s="1"/>
  <c r="BE15" i="1" s="1"/>
  <c r="BS15" i="1" a="1"/>
  <c r="BS15" i="1" s="1"/>
  <c r="BG15" i="1" s="1"/>
  <c r="BT15" i="1" a="1"/>
  <c r="BT15" i="1" s="1"/>
  <c r="BU15" i="1" a="1"/>
  <c r="BU15" i="1" s="1"/>
  <c r="BM500" i="1" l="1" a="1"/>
  <c r="BM500" i="1" s="1"/>
  <c r="BM437" i="1" a="1"/>
  <c r="BM437" i="1" s="1"/>
  <c r="BM477" i="1" a="1"/>
  <c r="BM477" i="1" s="1"/>
  <c r="BK503" i="1" a="1"/>
  <c r="BK503" i="1" s="1"/>
  <c r="BM503" i="1" s="1" a="1"/>
  <c r="BM503" i="1" s="1"/>
  <c r="BK450" i="1" a="1"/>
  <c r="BK450" i="1" s="1"/>
  <c r="BM450" i="1" s="1" a="1"/>
  <c r="BM450" i="1" s="1"/>
  <c r="BK427" i="1" a="1"/>
  <c r="BK427" i="1" s="1"/>
  <c r="BM427" i="1" s="1" a="1"/>
  <c r="BM427" i="1" s="1"/>
  <c r="BK421" i="1" a="1"/>
  <c r="BK421" i="1" s="1"/>
  <c r="BM421" i="1" s="1" a="1"/>
  <c r="BM421" i="1" s="1"/>
  <c r="BK438" i="1" a="1"/>
  <c r="BK438" i="1" s="1"/>
  <c r="BM438" i="1" s="1" a="1"/>
  <c r="BM438" i="1" s="1"/>
  <c r="BK419" i="1" a="1"/>
  <c r="BK419" i="1" s="1"/>
  <c r="BM419" i="1" s="1" a="1"/>
  <c r="BM419" i="1" s="1"/>
  <c r="BK470" i="1" a="1"/>
  <c r="BK470" i="1" s="1"/>
  <c r="BM470" i="1" s="1" a="1"/>
  <c r="BM470" i="1" s="1"/>
  <c r="BK495" i="1" a="1"/>
  <c r="BK495" i="1" s="1"/>
  <c r="BM495" i="1" s="1" a="1"/>
  <c r="BM495" i="1" s="1"/>
  <c r="BK458" i="1" a="1"/>
  <c r="BK458" i="1" s="1"/>
  <c r="BM458" i="1" s="1" a="1"/>
  <c r="BM458" i="1" s="1"/>
  <c r="BK426" i="1" a="1"/>
  <c r="BK426" i="1" s="1"/>
  <c r="BM426" i="1" s="1" a="1"/>
  <c r="BM426" i="1" s="1"/>
  <c r="BI14" i="1"/>
  <c r="BK448" i="1" a="1"/>
  <c r="BK448" i="1" s="1"/>
  <c r="BM448" i="1" s="1" a="1"/>
  <c r="BM448" i="1" s="1"/>
  <c r="BK487" i="1" a="1"/>
  <c r="BK487" i="1" s="1"/>
  <c r="BM487" i="1" s="1" a="1"/>
  <c r="BM487" i="1" s="1"/>
  <c r="BK446" i="1" a="1"/>
  <c r="BK446" i="1" s="1"/>
  <c r="BM446" i="1" s="1" a="1"/>
  <c r="BM446" i="1" s="1"/>
  <c r="BK456" i="1" a="1"/>
  <c r="BK456" i="1" s="1"/>
  <c r="BM456" i="1" s="1" a="1"/>
  <c r="BM456" i="1" s="1"/>
  <c r="BK454" i="1" a="1"/>
  <c r="BK454" i="1" s="1"/>
  <c r="BM454" i="1" s="1" a="1"/>
  <c r="BM454" i="1" s="1"/>
  <c r="BK496" i="1" a="1"/>
  <c r="BK496" i="1" s="1"/>
  <c r="BM496" i="1" s="1" a="1"/>
  <c r="BM496" i="1" s="1"/>
  <c r="BI15" i="1"/>
  <c r="BK444" i="1" a="1"/>
  <c r="BK444" i="1" s="1"/>
  <c r="BM444" i="1" s="1" a="1"/>
  <c r="BM444" i="1" s="1"/>
  <c r="BD14" i="1"/>
  <c r="AV12" i="1"/>
  <c r="AV14" i="1"/>
  <c r="AX13" i="1"/>
  <c r="AZ13" i="1" s="1"/>
  <c r="BB13" i="1" s="1"/>
  <c r="Z13" i="1"/>
  <c r="AA13" i="1" s="1"/>
  <c r="AH13" i="1" s="1"/>
  <c r="Z14" i="1"/>
  <c r="AA14" i="1" s="1"/>
  <c r="AH14" i="1" s="1"/>
  <c r="Z15" i="1"/>
  <c r="AA15" i="1" s="1"/>
  <c r="AH15" i="1" s="1"/>
  <c r="Z12" i="1"/>
  <c r="AA12" i="1" s="1"/>
  <c r="AH12" i="1" s="1"/>
  <c r="AX15" i="1"/>
  <c r="AZ15" i="1" s="1"/>
  <c r="BB15" i="1" s="1"/>
  <c r="BF12" i="1"/>
  <c r="BD12" i="1"/>
  <c r="BF14" i="1"/>
  <c r="BH14" i="1" s="1"/>
  <c r="BH12" i="1" l="1"/>
  <c r="BL12" i="1" s="1" a="1"/>
  <c r="BL12" i="1" s="1"/>
  <c r="BD13" i="1"/>
  <c r="BD15" i="1"/>
  <c r="BL14" i="1" a="1"/>
  <c r="BL14" i="1" s="1"/>
  <c r="BF13" i="1"/>
  <c r="BF15" i="1"/>
  <c r="BJ14" i="1" a="1"/>
  <c r="BJ14" i="1" s="1"/>
  <c r="BJ12" i="1" l="1" a="1"/>
  <c r="BJ12" i="1" s="1"/>
  <c r="BK12" i="1" s="1" a="1"/>
  <c r="BK12" i="1" s="1"/>
  <c r="BK14" i="1" a="1"/>
  <c r="BK14" i="1" s="1"/>
  <c r="BM14" i="1" s="1" a="1"/>
  <c r="BM14" i="1" s="1"/>
  <c r="BH15" i="1"/>
  <c r="BL15" i="1" s="1" a="1"/>
  <c r="BL15" i="1" s="1"/>
  <c r="BH13" i="1"/>
  <c r="BJ13" i="1" s="1" a="1"/>
  <c r="BJ13" i="1" s="1"/>
  <c r="BK13" i="1" s="1" a="1"/>
  <c r="BK13" i="1" s="1"/>
  <c r="BL13" i="1" l="1" a="1"/>
  <c r="BL13" i="1" s="1"/>
  <c r="BM13" i="1" s="1" a="1"/>
  <c r="BM13" i="1" s="1"/>
  <c r="BM12" i="1" a="1"/>
  <c r="BM12" i="1" s="1"/>
  <c r="BJ15" i="1" a="1"/>
  <c r="BJ15" i="1" s="1"/>
  <c r="BU4" i="1" a="1"/>
  <c r="BU4" i="1" s="1"/>
  <c r="BU5" i="1" a="1"/>
  <c r="BU5" i="1" s="1"/>
  <c r="BU6" i="1" a="1"/>
  <c r="BU6" i="1" s="1"/>
  <c r="BT4" i="1" a="1"/>
  <c r="BT4" i="1" s="1"/>
  <c r="BT5" i="1" a="1"/>
  <c r="BT5" i="1" s="1"/>
  <c r="BT6" i="1" a="1"/>
  <c r="BT6" i="1" s="1"/>
  <c r="BS4" i="1" a="1"/>
  <c r="BS4" i="1" s="1"/>
  <c r="BG4" i="1" s="1"/>
  <c r="BS5" i="1" a="1"/>
  <c r="BS5" i="1" s="1"/>
  <c r="BG5" i="1" s="1"/>
  <c r="BS6" i="1" a="1"/>
  <c r="BS6" i="1" s="1"/>
  <c r="BG6" i="1" s="1"/>
  <c r="BR4" i="1" a="1"/>
  <c r="BR4" i="1" s="1"/>
  <c r="BE4" i="1" s="1"/>
  <c r="BR5" i="1" a="1"/>
  <c r="BR5" i="1" s="1"/>
  <c r="BE5" i="1" s="1"/>
  <c r="BR6" i="1" a="1"/>
  <c r="BR6" i="1" s="1"/>
  <c r="BE6" i="1" s="1"/>
  <c r="AU4" i="1"/>
  <c r="AX4" i="1" s="1"/>
  <c r="AZ4" i="1" s="1"/>
  <c r="BB4" i="1" s="1"/>
  <c r="AU5" i="1"/>
  <c r="AX5" i="1" s="1"/>
  <c r="AZ5" i="1" s="1"/>
  <c r="BB5" i="1" s="1"/>
  <c r="AU6" i="1"/>
  <c r="AX6" i="1" s="1"/>
  <c r="AZ6" i="1" s="1"/>
  <c r="BB6" i="1" s="1"/>
  <c r="Y4" i="1" a="1"/>
  <c r="Y4" i="1" s="1"/>
  <c r="Y5" i="1" a="1"/>
  <c r="Y5" i="1" s="1"/>
  <c r="Y6" i="1" a="1"/>
  <c r="Y6" i="1" s="1"/>
  <c r="X4" i="1"/>
  <c r="X5" i="1"/>
  <c r="X6" i="1"/>
  <c r="E41" i="57"/>
  <c r="E40" i="57"/>
  <c r="E39" i="57"/>
  <c r="E38" i="57"/>
  <c r="E37" i="57"/>
  <c r="E36" i="57"/>
  <c r="E35" i="57"/>
  <c r="E34" i="57"/>
  <c r="E33" i="57"/>
  <c r="E32" i="57"/>
  <c r="E31" i="57"/>
  <c r="E30" i="57"/>
  <c r="E29" i="57"/>
  <c r="E28" i="57"/>
  <c r="E27" i="57"/>
  <c r="E26" i="57"/>
  <c r="E25" i="57"/>
  <c r="E24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11" i="57"/>
  <c r="E10" i="57"/>
  <c r="E9" i="57"/>
  <c r="E8" i="57"/>
  <c r="E7" i="57"/>
  <c r="E6" i="57"/>
  <c r="E5" i="57"/>
  <c r="E4" i="57"/>
  <c r="E38" i="65"/>
  <c r="E37" i="65"/>
  <c r="E36" i="65"/>
  <c r="E35" i="65"/>
  <c r="E34" i="65"/>
  <c r="E33" i="65"/>
  <c r="E32" i="65"/>
  <c r="E31" i="65"/>
  <c r="E30" i="65"/>
  <c r="E29" i="65"/>
  <c r="E28" i="65"/>
  <c r="E27" i="65"/>
  <c r="E26" i="65"/>
  <c r="E25" i="65"/>
  <c r="E24" i="65"/>
  <c r="E23" i="65"/>
  <c r="E22" i="65"/>
  <c r="E21" i="65"/>
  <c r="E20" i="65"/>
  <c r="E19" i="65"/>
  <c r="E18" i="65"/>
  <c r="E17" i="65"/>
  <c r="E16" i="65"/>
  <c r="E15" i="65"/>
  <c r="E14" i="65"/>
  <c r="E13" i="65"/>
  <c r="E12" i="65"/>
  <c r="E11" i="65"/>
  <c r="E10" i="65"/>
  <c r="E9" i="65"/>
  <c r="E8" i="65"/>
  <c r="E7" i="65"/>
  <c r="E6" i="65"/>
  <c r="E5" i="65"/>
  <c r="E4" i="65"/>
  <c r="E49" i="64"/>
  <c r="E48" i="64"/>
  <c r="E47" i="64"/>
  <c r="E46" i="64"/>
  <c r="E45" i="64"/>
  <c r="E44" i="64"/>
  <c r="E43" i="64"/>
  <c r="E42" i="64"/>
  <c r="E41" i="64"/>
  <c r="E40" i="64"/>
  <c r="E39" i="64"/>
  <c r="E38" i="64"/>
  <c r="E37" i="64"/>
  <c r="E36" i="64"/>
  <c r="E35" i="64"/>
  <c r="E34" i="64"/>
  <c r="E33" i="64"/>
  <c r="E32" i="64"/>
  <c r="E31" i="64"/>
  <c r="E30" i="64"/>
  <c r="E29" i="64"/>
  <c r="E28" i="64"/>
  <c r="E27" i="64"/>
  <c r="E26" i="64"/>
  <c r="E25" i="64"/>
  <c r="E24" i="64"/>
  <c r="E23" i="64"/>
  <c r="E22" i="64"/>
  <c r="E21" i="64"/>
  <c r="E20" i="64"/>
  <c r="E19" i="64"/>
  <c r="E18" i="64"/>
  <c r="E17" i="64"/>
  <c r="E16" i="64"/>
  <c r="E15" i="64"/>
  <c r="E14" i="64"/>
  <c r="E13" i="64"/>
  <c r="E12" i="64"/>
  <c r="E11" i="64"/>
  <c r="E10" i="64"/>
  <c r="E9" i="64"/>
  <c r="E8" i="64"/>
  <c r="E7" i="64"/>
  <c r="E6" i="64"/>
  <c r="E5" i="64"/>
  <c r="E4" i="64"/>
  <c r="E49" i="63"/>
  <c r="E48" i="63"/>
  <c r="E47" i="63"/>
  <c r="E46" i="63"/>
  <c r="E45" i="63"/>
  <c r="E44" i="63"/>
  <c r="E43" i="63"/>
  <c r="E42" i="63"/>
  <c r="E41" i="63"/>
  <c r="E40" i="63"/>
  <c r="E39" i="63"/>
  <c r="E38" i="63"/>
  <c r="E37" i="63"/>
  <c r="E36" i="63"/>
  <c r="E35" i="63"/>
  <c r="E34" i="63"/>
  <c r="E33" i="63"/>
  <c r="E32" i="63"/>
  <c r="E31" i="63"/>
  <c r="E30" i="63"/>
  <c r="E29" i="63"/>
  <c r="E28" i="63"/>
  <c r="E27" i="63"/>
  <c r="E26" i="63"/>
  <c r="E25" i="63"/>
  <c r="E24" i="63"/>
  <c r="E23" i="63"/>
  <c r="E22" i="63"/>
  <c r="E21" i="63"/>
  <c r="E20" i="63"/>
  <c r="E19" i="63"/>
  <c r="E18" i="63"/>
  <c r="E17" i="63"/>
  <c r="E16" i="63"/>
  <c r="E15" i="63"/>
  <c r="E14" i="63"/>
  <c r="E13" i="63"/>
  <c r="E12" i="63"/>
  <c r="E11" i="63"/>
  <c r="E10" i="63"/>
  <c r="E9" i="63"/>
  <c r="E8" i="63"/>
  <c r="E7" i="63"/>
  <c r="E6" i="63"/>
  <c r="E5" i="63"/>
  <c r="E4" i="63"/>
  <c r="E46" i="62"/>
  <c r="E45" i="62"/>
  <c r="E44" i="62"/>
  <c r="E43" i="62"/>
  <c r="E42" i="62"/>
  <c r="E41" i="62"/>
  <c r="E40" i="62"/>
  <c r="E39" i="62"/>
  <c r="E38" i="62"/>
  <c r="E37" i="62"/>
  <c r="E36" i="62"/>
  <c r="E35" i="62"/>
  <c r="E34" i="62"/>
  <c r="E33" i="62"/>
  <c r="E32" i="62"/>
  <c r="E31" i="62"/>
  <c r="E30" i="62"/>
  <c r="E29" i="62"/>
  <c r="E28" i="62"/>
  <c r="E27" i="62"/>
  <c r="E26" i="62"/>
  <c r="E25" i="62"/>
  <c r="E24" i="62"/>
  <c r="E23" i="62"/>
  <c r="E22" i="62"/>
  <c r="E21" i="62"/>
  <c r="E20" i="62"/>
  <c r="E19" i="62"/>
  <c r="E18" i="62"/>
  <c r="E17" i="62"/>
  <c r="E16" i="62"/>
  <c r="E15" i="62"/>
  <c r="E14" i="62"/>
  <c r="E13" i="62"/>
  <c r="E12" i="62"/>
  <c r="E11" i="62"/>
  <c r="E10" i="62"/>
  <c r="E9" i="62"/>
  <c r="E8" i="62"/>
  <c r="E7" i="62"/>
  <c r="E6" i="62"/>
  <c r="E5" i="62"/>
  <c r="E4" i="62"/>
  <c r="E44" i="61"/>
  <c r="E43" i="61"/>
  <c r="E42" i="61"/>
  <c r="E41" i="61"/>
  <c r="E40" i="61"/>
  <c r="E39" i="61"/>
  <c r="E38" i="61"/>
  <c r="E37" i="61"/>
  <c r="E36" i="61"/>
  <c r="E35" i="61"/>
  <c r="E34" i="61"/>
  <c r="E33" i="61"/>
  <c r="E32" i="61"/>
  <c r="E31" i="61"/>
  <c r="E30" i="61"/>
  <c r="E29" i="61"/>
  <c r="E28" i="61"/>
  <c r="E27" i="61"/>
  <c r="E26" i="61"/>
  <c r="E25" i="61"/>
  <c r="E24" i="61"/>
  <c r="E23" i="61"/>
  <c r="E22" i="61"/>
  <c r="E21" i="61"/>
  <c r="E20" i="61"/>
  <c r="E19" i="61"/>
  <c r="E18" i="61"/>
  <c r="E17" i="61"/>
  <c r="E16" i="61"/>
  <c r="E15" i="61"/>
  <c r="E14" i="61"/>
  <c r="E13" i="61"/>
  <c r="E12" i="61"/>
  <c r="E11" i="61"/>
  <c r="E10" i="61"/>
  <c r="E9" i="61"/>
  <c r="E8" i="61"/>
  <c r="E7" i="61"/>
  <c r="E6" i="61"/>
  <c r="E5" i="61"/>
  <c r="E4" i="61"/>
  <c r="E41" i="60"/>
  <c r="E40" i="60"/>
  <c r="E39" i="60"/>
  <c r="E38" i="60"/>
  <c r="E37" i="60"/>
  <c r="E36" i="60"/>
  <c r="E35" i="60"/>
  <c r="E34" i="60"/>
  <c r="E33" i="60"/>
  <c r="E32" i="60"/>
  <c r="E31" i="60"/>
  <c r="E30" i="60"/>
  <c r="E29" i="60"/>
  <c r="E28" i="60"/>
  <c r="E27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E11" i="60"/>
  <c r="E10" i="60"/>
  <c r="E9" i="60"/>
  <c r="E8" i="60"/>
  <c r="E7" i="60"/>
  <c r="E6" i="60"/>
  <c r="E5" i="60"/>
  <c r="E4" i="60"/>
  <c r="E37" i="59"/>
  <c r="E36" i="59"/>
  <c r="E35" i="59"/>
  <c r="E34" i="59"/>
  <c r="E33" i="59"/>
  <c r="E32" i="59"/>
  <c r="E31" i="59"/>
  <c r="E30" i="59"/>
  <c r="E29" i="59"/>
  <c r="E28" i="59"/>
  <c r="E27" i="59"/>
  <c r="E26" i="59"/>
  <c r="E25" i="59"/>
  <c r="E24" i="59"/>
  <c r="E23" i="59"/>
  <c r="E22" i="59"/>
  <c r="E21" i="59"/>
  <c r="E20" i="59"/>
  <c r="E19" i="59"/>
  <c r="E18" i="59"/>
  <c r="E17" i="59"/>
  <c r="E16" i="59"/>
  <c r="E15" i="59"/>
  <c r="E14" i="59"/>
  <c r="E13" i="59"/>
  <c r="E12" i="59"/>
  <c r="E11" i="59"/>
  <c r="E10" i="59"/>
  <c r="E9" i="59"/>
  <c r="E8" i="59"/>
  <c r="E7" i="59"/>
  <c r="E6" i="59"/>
  <c r="E5" i="59"/>
  <c r="E4" i="59"/>
  <c r="E40" i="58"/>
  <c r="E39" i="58"/>
  <c r="E38" i="58"/>
  <c r="E37" i="58"/>
  <c r="E36" i="58"/>
  <c r="E35" i="58"/>
  <c r="E34" i="58"/>
  <c r="E33" i="58"/>
  <c r="E32" i="58"/>
  <c r="E31" i="58"/>
  <c r="E30" i="58"/>
  <c r="E29" i="58"/>
  <c r="E28" i="58"/>
  <c r="E27" i="58"/>
  <c r="E26" i="58"/>
  <c r="E25" i="58"/>
  <c r="E24" i="58"/>
  <c r="E23" i="58"/>
  <c r="E22" i="58"/>
  <c r="E21" i="58"/>
  <c r="E20" i="58"/>
  <c r="E19" i="58"/>
  <c r="E18" i="58"/>
  <c r="E17" i="58"/>
  <c r="E16" i="58"/>
  <c r="E15" i="58"/>
  <c r="E14" i="58"/>
  <c r="E13" i="58"/>
  <c r="E12" i="58"/>
  <c r="E11" i="58"/>
  <c r="E10" i="58"/>
  <c r="E9" i="58"/>
  <c r="E8" i="58"/>
  <c r="E7" i="58"/>
  <c r="E6" i="58"/>
  <c r="E5" i="58"/>
  <c r="E4" i="58"/>
  <c r="E45" i="56"/>
  <c r="E44" i="56"/>
  <c r="E43" i="56"/>
  <c r="E42" i="56"/>
  <c r="E41" i="56"/>
  <c r="E40" i="56"/>
  <c r="E39" i="56"/>
  <c r="E38" i="56"/>
  <c r="E37" i="56"/>
  <c r="E36" i="56"/>
  <c r="E35" i="56"/>
  <c r="E34" i="56"/>
  <c r="E33" i="56"/>
  <c r="E32" i="56"/>
  <c r="E31" i="56"/>
  <c r="E30" i="56"/>
  <c r="E29" i="56"/>
  <c r="E28" i="56"/>
  <c r="E27" i="56"/>
  <c r="E26" i="56"/>
  <c r="E25" i="56"/>
  <c r="E24" i="56"/>
  <c r="E23" i="56"/>
  <c r="E22" i="56"/>
  <c r="E21" i="56"/>
  <c r="E20" i="56"/>
  <c r="E19" i="56"/>
  <c r="E18" i="56"/>
  <c r="E17" i="56"/>
  <c r="E16" i="56"/>
  <c r="E15" i="56"/>
  <c r="E14" i="56"/>
  <c r="E13" i="56"/>
  <c r="E12" i="56"/>
  <c r="E11" i="56"/>
  <c r="E10" i="56"/>
  <c r="E9" i="56"/>
  <c r="E8" i="56"/>
  <c r="E7" i="56"/>
  <c r="E6" i="56"/>
  <c r="E5" i="56"/>
  <c r="E4" i="56"/>
  <c r="E50" i="55"/>
  <c r="E49" i="55"/>
  <c r="E48" i="55"/>
  <c r="E47" i="55"/>
  <c r="E46" i="55"/>
  <c r="E45" i="55"/>
  <c r="E44" i="55"/>
  <c r="E43" i="55"/>
  <c r="E42" i="55"/>
  <c r="E41" i="55"/>
  <c r="E40" i="55"/>
  <c r="E39" i="55"/>
  <c r="E38" i="55"/>
  <c r="E37" i="55"/>
  <c r="E36" i="55"/>
  <c r="E35" i="55"/>
  <c r="E34" i="55"/>
  <c r="E33" i="55"/>
  <c r="E32" i="55"/>
  <c r="E31" i="55"/>
  <c r="E30" i="55"/>
  <c r="E29" i="55"/>
  <c r="E28" i="55"/>
  <c r="E27" i="55"/>
  <c r="E26" i="55"/>
  <c r="E25" i="55"/>
  <c r="E24" i="55"/>
  <c r="E23" i="55"/>
  <c r="E22" i="55"/>
  <c r="E21" i="55"/>
  <c r="E20" i="55"/>
  <c r="E19" i="55"/>
  <c r="E18" i="55"/>
  <c r="E17" i="55"/>
  <c r="E16" i="55"/>
  <c r="E15" i="55"/>
  <c r="E14" i="55"/>
  <c r="E13" i="55"/>
  <c r="E12" i="55"/>
  <c r="E11" i="55"/>
  <c r="E10" i="55"/>
  <c r="E9" i="55"/>
  <c r="E8" i="55"/>
  <c r="E7" i="55"/>
  <c r="E6" i="55"/>
  <c r="E5" i="55"/>
  <c r="E4" i="55"/>
  <c r="E33" i="54"/>
  <c r="E32" i="54"/>
  <c r="E31" i="54"/>
  <c r="E30" i="54"/>
  <c r="E29" i="54"/>
  <c r="E28" i="54"/>
  <c r="E27" i="54"/>
  <c r="E26" i="54"/>
  <c r="E25" i="54"/>
  <c r="E24" i="54"/>
  <c r="E23" i="54"/>
  <c r="E22" i="54"/>
  <c r="E21" i="54"/>
  <c r="E20" i="54"/>
  <c r="E19" i="54"/>
  <c r="E18" i="54"/>
  <c r="E17" i="54"/>
  <c r="E16" i="54"/>
  <c r="E15" i="54"/>
  <c r="E14" i="54"/>
  <c r="E13" i="54"/>
  <c r="E12" i="54"/>
  <c r="E11" i="54"/>
  <c r="E10" i="54"/>
  <c r="E9" i="54"/>
  <c r="E8" i="54"/>
  <c r="E7" i="54"/>
  <c r="E6" i="54"/>
  <c r="E5" i="54"/>
  <c r="E4" i="54"/>
  <c r="E38" i="53"/>
  <c r="E37" i="53"/>
  <c r="E36" i="53"/>
  <c r="E35" i="53"/>
  <c r="E34" i="53"/>
  <c r="E33" i="53"/>
  <c r="E32" i="53"/>
  <c r="E31" i="53"/>
  <c r="E30" i="53"/>
  <c r="E29" i="53"/>
  <c r="E28" i="53"/>
  <c r="E27" i="53"/>
  <c r="E26" i="53"/>
  <c r="E25" i="53"/>
  <c r="E24" i="53"/>
  <c r="E23" i="53"/>
  <c r="E22" i="53"/>
  <c r="E21" i="53"/>
  <c r="E20" i="53"/>
  <c r="E19" i="53"/>
  <c r="E18" i="53"/>
  <c r="E17" i="53"/>
  <c r="E16" i="53"/>
  <c r="E15" i="53"/>
  <c r="E14" i="53"/>
  <c r="E13" i="53"/>
  <c r="E12" i="53"/>
  <c r="E11" i="53"/>
  <c r="E10" i="53"/>
  <c r="E9" i="53"/>
  <c r="E8" i="53"/>
  <c r="E7" i="53"/>
  <c r="E6" i="53"/>
  <c r="E5" i="53"/>
  <c r="E4" i="53"/>
  <c r="E41" i="52"/>
  <c r="E40" i="52"/>
  <c r="E39" i="52"/>
  <c r="E38" i="52"/>
  <c r="E37" i="52"/>
  <c r="E36" i="52"/>
  <c r="E35" i="52"/>
  <c r="E34" i="52"/>
  <c r="E33" i="52"/>
  <c r="E32" i="52"/>
  <c r="E31" i="52"/>
  <c r="E30" i="52"/>
  <c r="E29" i="52"/>
  <c r="E28" i="52"/>
  <c r="E27" i="52"/>
  <c r="E26" i="52"/>
  <c r="E25" i="52"/>
  <c r="E24" i="52"/>
  <c r="E23" i="52"/>
  <c r="E22" i="52"/>
  <c r="E21" i="52"/>
  <c r="E20" i="52"/>
  <c r="E19" i="52"/>
  <c r="E18" i="52"/>
  <c r="E17" i="52"/>
  <c r="E16" i="52"/>
  <c r="E15" i="52"/>
  <c r="E14" i="52"/>
  <c r="E13" i="52"/>
  <c r="E12" i="52"/>
  <c r="E11" i="52"/>
  <c r="E10" i="52"/>
  <c r="E9" i="52"/>
  <c r="E8" i="52"/>
  <c r="E7" i="52"/>
  <c r="E6" i="52"/>
  <c r="E5" i="52"/>
  <c r="E4" i="52"/>
  <c r="E46" i="51"/>
  <c r="E45" i="51"/>
  <c r="E44" i="51"/>
  <c r="E43" i="51"/>
  <c r="E42" i="51"/>
  <c r="E41" i="51"/>
  <c r="E40" i="51"/>
  <c r="E39" i="51"/>
  <c r="E38" i="51"/>
  <c r="E37" i="51"/>
  <c r="E36" i="51"/>
  <c r="E35" i="51"/>
  <c r="E34" i="51"/>
  <c r="E33" i="51"/>
  <c r="E32" i="51"/>
  <c r="E31" i="51"/>
  <c r="E30" i="51"/>
  <c r="E29" i="51"/>
  <c r="E28" i="51"/>
  <c r="E27" i="51"/>
  <c r="E26" i="51"/>
  <c r="E2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12" i="51"/>
  <c r="E11" i="51"/>
  <c r="E10" i="51"/>
  <c r="E9" i="51"/>
  <c r="E8" i="51"/>
  <c r="E7" i="51"/>
  <c r="E6" i="51"/>
  <c r="E5" i="51"/>
  <c r="E4" i="51"/>
  <c r="E3" i="51"/>
  <c r="E41" i="50"/>
  <c r="E40" i="50"/>
  <c r="E39" i="50"/>
  <c r="E38" i="50"/>
  <c r="E37" i="50"/>
  <c r="E36" i="50"/>
  <c r="E35" i="50"/>
  <c r="E34" i="50"/>
  <c r="E33" i="50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E5" i="50"/>
  <c r="E4" i="50"/>
  <c r="E3" i="50"/>
  <c r="E39" i="49"/>
  <c r="E38" i="49"/>
  <c r="E37" i="49"/>
  <c r="E36" i="49"/>
  <c r="E35" i="49"/>
  <c r="E34" i="49"/>
  <c r="E33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E5" i="49"/>
  <c r="E4" i="49"/>
  <c r="E3" i="49"/>
  <c r="E38" i="48"/>
  <c r="E37" i="48"/>
  <c r="E36" i="48"/>
  <c r="E35" i="48"/>
  <c r="E34" i="48"/>
  <c r="E33" i="48"/>
  <c r="E32" i="48"/>
  <c r="E31" i="48"/>
  <c r="E30" i="48"/>
  <c r="E29" i="48"/>
  <c r="E28" i="48"/>
  <c r="E27" i="48"/>
  <c r="E26" i="48"/>
  <c r="E25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E11" i="48"/>
  <c r="E10" i="48"/>
  <c r="E9" i="48"/>
  <c r="E8" i="48"/>
  <c r="E7" i="48"/>
  <c r="E6" i="48"/>
  <c r="E5" i="48"/>
  <c r="E4" i="48"/>
  <c r="E36" i="47"/>
  <c r="E35" i="47"/>
  <c r="E34" i="47"/>
  <c r="E33" i="47"/>
  <c r="E32" i="47"/>
  <c r="E31" i="47"/>
  <c r="E30" i="47"/>
  <c r="E29" i="47"/>
  <c r="E28" i="47"/>
  <c r="E27" i="47"/>
  <c r="E26" i="47"/>
  <c r="E25" i="47"/>
  <c r="E24" i="47"/>
  <c r="E23" i="47"/>
  <c r="E22" i="47"/>
  <c r="E21" i="47"/>
  <c r="E20" i="47"/>
  <c r="E19" i="47"/>
  <c r="E18" i="47"/>
  <c r="E17" i="47"/>
  <c r="E16" i="47"/>
  <c r="E15" i="47"/>
  <c r="E14" i="47"/>
  <c r="E13" i="47"/>
  <c r="E12" i="47"/>
  <c r="E11" i="47"/>
  <c r="E10" i="47"/>
  <c r="E9" i="47"/>
  <c r="E8" i="47"/>
  <c r="E7" i="47"/>
  <c r="E6" i="47"/>
  <c r="E5" i="47"/>
  <c r="E4" i="47"/>
  <c r="E36" i="46"/>
  <c r="E35" i="46"/>
  <c r="E34" i="46"/>
  <c r="E33" i="46"/>
  <c r="E32" i="46"/>
  <c r="E31" i="46"/>
  <c r="E30" i="46"/>
  <c r="E29" i="46"/>
  <c r="E28" i="46"/>
  <c r="E27" i="46"/>
  <c r="E26" i="46"/>
  <c r="E25" i="46"/>
  <c r="E24" i="46"/>
  <c r="E23" i="46"/>
  <c r="E22" i="46"/>
  <c r="E21" i="46"/>
  <c r="E20" i="46"/>
  <c r="E19" i="46"/>
  <c r="E18" i="46"/>
  <c r="E17" i="46"/>
  <c r="E16" i="46"/>
  <c r="E15" i="46"/>
  <c r="E14" i="46"/>
  <c r="E13" i="46"/>
  <c r="E12" i="46"/>
  <c r="E11" i="46"/>
  <c r="E10" i="46"/>
  <c r="E9" i="46"/>
  <c r="E8" i="46"/>
  <c r="E7" i="46"/>
  <c r="E6" i="46"/>
  <c r="E5" i="46"/>
  <c r="E4" i="46"/>
  <c r="E3" i="46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E7" i="45"/>
  <c r="E6" i="45"/>
  <c r="E5" i="45"/>
  <c r="E4" i="45"/>
  <c r="E3" i="45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4" i="43"/>
  <c r="E3" i="43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BU403" i="1" a="1"/>
  <c r="BU403" i="1" s="1"/>
  <c r="BU404" i="1" a="1"/>
  <c r="BU404" i="1" s="1"/>
  <c r="BU405" i="1" a="1"/>
  <c r="BU405" i="1" s="1"/>
  <c r="BU406" i="1" a="1"/>
  <c r="BU406" i="1" s="1"/>
  <c r="BU407" i="1" a="1"/>
  <c r="BU407" i="1" s="1"/>
  <c r="BU408" i="1" a="1"/>
  <c r="BU408" i="1" s="1"/>
  <c r="BU409" i="1" a="1"/>
  <c r="BU409" i="1" s="1"/>
  <c r="BU410" i="1" a="1"/>
  <c r="BU410" i="1" s="1"/>
  <c r="BU411" i="1" a="1"/>
  <c r="BU411" i="1" s="1"/>
  <c r="BU412" i="1" a="1"/>
  <c r="BU412" i="1" s="1"/>
  <c r="BU413" i="1" a="1"/>
  <c r="BU413" i="1" s="1"/>
  <c r="BU414" i="1" a="1"/>
  <c r="BU414" i="1" s="1"/>
  <c r="BU415" i="1" a="1"/>
  <c r="BU415" i="1" s="1"/>
  <c r="BU416" i="1" a="1"/>
  <c r="BU416" i="1" s="1"/>
  <c r="BT403" i="1" a="1"/>
  <c r="BT403" i="1" s="1"/>
  <c r="BT404" i="1" a="1"/>
  <c r="BT404" i="1" s="1"/>
  <c r="BT405" i="1" a="1"/>
  <c r="BT405" i="1" s="1"/>
  <c r="BT406" i="1" a="1"/>
  <c r="BT406" i="1" s="1"/>
  <c r="BT407" i="1" a="1"/>
  <c r="BT407" i="1" s="1"/>
  <c r="BT408" i="1" a="1"/>
  <c r="BT408" i="1" s="1"/>
  <c r="BT409" i="1" a="1"/>
  <c r="BT409" i="1" s="1"/>
  <c r="BT410" i="1" a="1"/>
  <c r="BT410" i="1" s="1"/>
  <c r="BT411" i="1" a="1"/>
  <c r="BT411" i="1" s="1"/>
  <c r="BT412" i="1" a="1"/>
  <c r="BT412" i="1" s="1"/>
  <c r="BT413" i="1" a="1"/>
  <c r="BT413" i="1" s="1"/>
  <c r="BT414" i="1" a="1"/>
  <c r="BT414" i="1" s="1"/>
  <c r="BT415" i="1" a="1"/>
  <c r="BT415" i="1" s="1"/>
  <c r="BT416" i="1" a="1"/>
  <c r="BT416" i="1" s="1"/>
  <c r="BS403" i="1" a="1"/>
  <c r="BS403" i="1" s="1"/>
  <c r="BS404" i="1" a="1"/>
  <c r="BS404" i="1" s="1"/>
  <c r="BS405" i="1" a="1"/>
  <c r="BS405" i="1" s="1"/>
  <c r="BS406" i="1" a="1"/>
  <c r="BS406" i="1" s="1"/>
  <c r="BS407" i="1" a="1"/>
  <c r="BS407" i="1" s="1"/>
  <c r="BS408" i="1" a="1"/>
  <c r="BS408" i="1" s="1"/>
  <c r="BS409" i="1" a="1"/>
  <c r="BS409" i="1" s="1"/>
  <c r="BS410" i="1" a="1"/>
  <c r="BS410" i="1" s="1"/>
  <c r="BS411" i="1" a="1"/>
  <c r="BS411" i="1" s="1"/>
  <c r="BS412" i="1" a="1"/>
  <c r="BS412" i="1" s="1"/>
  <c r="BS413" i="1" a="1"/>
  <c r="BS413" i="1" s="1"/>
  <c r="BS414" i="1" a="1"/>
  <c r="BS414" i="1" s="1"/>
  <c r="BS415" i="1" a="1"/>
  <c r="BS415" i="1" s="1"/>
  <c r="BS416" i="1" a="1"/>
  <c r="BS416" i="1" s="1"/>
  <c r="BR403" i="1" a="1"/>
  <c r="BR403" i="1" s="1"/>
  <c r="BR404" i="1" a="1"/>
  <c r="BR404" i="1" s="1"/>
  <c r="BR405" i="1" a="1"/>
  <c r="BR405" i="1" s="1"/>
  <c r="BR406" i="1" a="1"/>
  <c r="BR406" i="1" s="1"/>
  <c r="BR407" i="1" a="1"/>
  <c r="BR407" i="1" s="1"/>
  <c r="BR408" i="1" a="1"/>
  <c r="BR408" i="1" s="1"/>
  <c r="BR409" i="1" a="1"/>
  <c r="BR409" i="1" s="1"/>
  <c r="BR410" i="1" a="1"/>
  <c r="BR410" i="1" s="1"/>
  <c r="BR411" i="1" a="1"/>
  <c r="BR411" i="1" s="1"/>
  <c r="BR412" i="1" a="1"/>
  <c r="BR412" i="1" s="1"/>
  <c r="BR413" i="1" a="1"/>
  <c r="BR413" i="1" s="1"/>
  <c r="BR414" i="1" a="1"/>
  <c r="BR414" i="1" s="1"/>
  <c r="BR415" i="1" a="1"/>
  <c r="BR415" i="1" s="1"/>
  <c r="BR416" i="1" a="1"/>
  <c r="BR416" i="1" s="1"/>
  <c r="BU395" i="1" a="1"/>
  <c r="BU395" i="1" s="1"/>
  <c r="BU396" i="1" a="1"/>
  <c r="BU396" i="1" s="1"/>
  <c r="BU397" i="1" a="1"/>
  <c r="BU397" i="1" s="1"/>
  <c r="BU398" i="1" a="1"/>
  <c r="BU398" i="1" s="1"/>
  <c r="BU399" i="1" a="1"/>
  <c r="BU399" i="1" s="1"/>
  <c r="BU400" i="1" a="1"/>
  <c r="BU400" i="1" s="1"/>
  <c r="BT395" i="1" a="1"/>
  <c r="BT395" i="1" s="1"/>
  <c r="BI395" i="1" s="1"/>
  <c r="BT396" i="1" a="1"/>
  <c r="BT396" i="1" s="1"/>
  <c r="BI396" i="1" s="1"/>
  <c r="BT397" i="1" a="1"/>
  <c r="BT397" i="1" s="1"/>
  <c r="BI397" i="1" s="1"/>
  <c r="BT398" i="1" a="1"/>
  <c r="BT398" i="1" s="1"/>
  <c r="BI398" i="1" s="1"/>
  <c r="BT399" i="1" a="1"/>
  <c r="BT399" i="1" s="1"/>
  <c r="BI399" i="1" s="1"/>
  <c r="BT400" i="1" a="1"/>
  <c r="BT400" i="1" s="1"/>
  <c r="BI400" i="1" s="1"/>
  <c r="BS395" i="1" a="1"/>
  <c r="BS395" i="1" s="1"/>
  <c r="BG395" i="1" s="1"/>
  <c r="BS396" i="1" a="1"/>
  <c r="BS396" i="1" s="1"/>
  <c r="BG396" i="1" s="1"/>
  <c r="BS397" i="1" a="1"/>
  <c r="BS397" i="1" s="1"/>
  <c r="BG397" i="1" s="1"/>
  <c r="BS398" i="1" a="1"/>
  <c r="BS398" i="1" s="1"/>
  <c r="BG398" i="1" s="1"/>
  <c r="BS399" i="1" a="1"/>
  <c r="BS399" i="1" s="1"/>
  <c r="BG399" i="1" s="1"/>
  <c r="BS400" i="1" a="1"/>
  <c r="BS400" i="1" s="1"/>
  <c r="BG400" i="1" s="1"/>
  <c r="BR395" i="1" a="1"/>
  <c r="BR395" i="1" s="1"/>
  <c r="BE395" i="1" s="1"/>
  <c r="BR396" i="1" a="1"/>
  <c r="BR396" i="1" s="1"/>
  <c r="BE396" i="1" s="1"/>
  <c r="BR397" i="1" a="1"/>
  <c r="BR397" i="1" s="1"/>
  <c r="BE397" i="1" s="1"/>
  <c r="BR398" i="1" a="1"/>
  <c r="BR398" i="1" s="1"/>
  <c r="BE398" i="1" s="1"/>
  <c r="BR399" i="1" a="1"/>
  <c r="BR399" i="1" s="1"/>
  <c r="BE399" i="1" s="1"/>
  <c r="BR400" i="1" a="1"/>
  <c r="BR400" i="1" s="1"/>
  <c r="BE400" i="1" s="1"/>
  <c r="Y395" i="1" a="1"/>
  <c r="Y395" i="1" s="1"/>
  <c r="Y396" i="1" a="1"/>
  <c r="Y396" i="1" s="1"/>
  <c r="Y397" i="1" a="1"/>
  <c r="Y397" i="1" s="1"/>
  <c r="Y398" i="1" a="1"/>
  <c r="Y398" i="1" s="1"/>
  <c r="Y399" i="1" a="1"/>
  <c r="Y399" i="1" s="1"/>
  <c r="Y400" i="1" a="1"/>
  <c r="Y400" i="1" s="1"/>
  <c r="X395" i="1"/>
  <c r="X396" i="1"/>
  <c r="X397" i="1"/>
  <c r="X398" i="1"/>
  <c r="X399" i="1"/>
  <c r="X400" i="1"/>
  <c r="Y390" i="1" a="1"/>
  <c r="Y390" i="1" s="1"/>
  <c r="Y391" i="1" a="1"/>
  <c r="Y391" i="1" s="1"/>
  <c r="Y392" i="1" a="1"/>
  <c r="Y392" i="1" s="1"/>
  <c r="X390" i="1"/>
  <c r="X391" i="1"/>
  <c r="X392" i="1"/>
  <c r="BU390" i="1" a="1"/>
  <c r="BU390" i="1" s="1"/>
  <c r="BU391" i="1" a="1"/>
  <c r="BU391" i="1" s="1"/>
  <c r="BU392" i="1" a="1"/>
  <c r="BU392" i="1" s="1"/>
  <c r="BT390" i="1" a="1"/>
  <c r="BT390" i="1" s="1"/>
  <c r="BI390" i="1" s="1"/>
  <c r="BT391" i="1" a="1"/>
  <c r="BT391" i="1" s="1"/>
  <c r="BI391" i="1" s="1"/>
  <c r="BT392" i="1" a="1"/>
  <c r="BT392" i="1" s="1"/>
  <c r="BI392" i="1" s="1"/>
  <c r="BS390" i="1" a="1"/>
  <c r="BS390" i="1" s="1"/>
  <c r="BG390" i="1" s="1"/>
  <c r="BS391" i="1" a="1"/>
  <c r="BS391" i="1" s="1"/>
  <c r="BG391" i="1" s="1"/>
  <c r="BS392" i="1" a="1"/>
  <c r="BS392" i="1" s="1"/>
  <c r="BG392" i="1" s="1"/>
  <c r="BR390" i="1" a="1"/>
  <c r="BR390" i="1" s="1"/>
  <c r="BE390" i="1" s="1"/>
  <c r="BR391" i="1" a="1"/>
  <c r="BR391" i="1" s="1"/>
  <c r="BE391" i="1" s="1"/>
  <c r="BR392" i="1" a="1"/>
  <c r="BR392" i="1" s="1"/>
  <c r="BE392" i="1" s="1"/>
  <c r="BU371" i="1" a="1"/>
  <c r="BU371" i="1" s="1"/>
  <c r="BU372" i="1" a="1"/>
  <c r="BU372" i="1" s="1"/>
  <c r="BU385" i="1" a="1"/>
  <c r="BU385" i="1" s="1"/>
  <c r="BU386" i="1" a="1"/>
  <c r="BU386" i="1" s="1"/>
  <c r="BU387" i="1" a="1"/>
  <c r="BU387" i="1" s="1"/>
  <c r="BT371" i="1" a="1"/>
  <c r="BT371" i="1" s="1"/>
  <c r="BI371" i="1" s="1"/>
  <c r="BT372" i="1" a="1"/>
  <c r="BT372" i="1" s="1"/>
  <c r="BI372" i="1" s="1"/>
  <c r="BT385" i="1" a="1"/>
  <c r="BT385" i="1" s="1"/>
  <c r="BI385" i="1" s="1"/>
  <c r="BT386" i="1" a="1"/>
  <c r="BT386" i="1" s="1"/>
  <c r="BI386" i="1" s="1"/>
  <c r="BT387" i="1" a="1"/>
  <c r="BT387" i="1" s="1"/>
  <c r="BI387" i="1" s="1"/>
  <c r="BS371" i="1" a="1"/>
  <c r="BS371" i="1" s="1"/>
  <c r="BG371" i="1" s="1"/>
  <c r="BS372" i="1" a="1"/>
  <c r="BS372" i="1" s="1"/>
  <c r="BG372" i="1" s="1"/>
  <c r="BS385" i="1" a="1"/>
  <c r="BS385" i="1" s="1"/>
  <c r="BG385" i="1" s="1"/>
  <c r="BS386" i="1" a="1"/>
  <c r="BS386" i="1" s="1"/>
  <c r="BG386" i="1" s="1"/>
  <c r="BS387" i="1" a="1"/>
  <c r="BS387" i="1" s="1"/>
  <c r="BG387" i="1" s="1"/>
  <c r="BR371" i="1" a="1"/>
  <c r="BR371" i="1" s="1"/>
  <c r="BE371" i="1" s="1"/>
  <c r="BR372" i="1" a="1"/>
  <c r="BR372" i="1" s="1"/>
  <c r="BE372" i="1" s="1"/>
  <c r="BR385" i="1" a="1"/>
  <c r="BR385" i="1" s="1"/>
  <c r="BE385" i="1" s="1"/>
  <c r="BR386" i="1" a="1"/>
  <c r="BR386" i="1" s="1"/>
  <c r="BE386" i="1" s="1"/>
  <c r="BR387" i="1" a="1"/>
  <c r="BR387" i="1" s="1"/>
  <c r="BE387" i="1" s="1"/>
  <c r="Y371" i="1" a="1"/>
  <c r="Y371" i="1" s="1"/>
  <c r="Y372" i="1" a="1"/>
  <c r="Y372" i="1" s="1"/>
  <c r="Y385" i="1" a="1"/>
  <c r="Y385" i="1" s="1"/>
  <c r="Y386" i="1" a="1"/>
  <c r="Y386" i="1" s="1"/>
  <c r="Y387" i="1" a="1"/>
  <c r="Y387" i="1" s="1"/>
  <c r="X371" i="1"/>
  <c r="X372" i="1"/>
  <c r="X385" i="1"/>
  <c r="X386" i="1"/>
  <c r="X387" i="1"/>
  <c r="Y366" i="1" a="1"/>
  <c r="Y366" i="1" s="1"/>
  <c r="Y367" i="1" a="1"/>
  <c r="Y367" i="1" s="1"/>
  <c r="Y368" i="1" a="1"/>
  <c r="Y368" i="1" s="1"/>
  <c r="X366" i="1"/>
  <c r="X367" i="1"/>
  <c r="X368" i="1"/>
  <c r="BU366" i="1" a="1"/>
  <c r="BU366" i="1" s="1"/>
  <c r="BU367" i="1" a="1"/>
  <c r="BU367" i="1" s="1"/>
  <c r="BU368" i="1" a="1"/>
  <c r="BU368" i="1" s="1"/>
  <c r="BT366" i="1" a="1"/>
  <c r="BT366" i="1" s="1"/>
  <c r="BI366" i="1" s="1"/>
  <c r="BT367" i="1" a="1"/>
  <c r="BT367" i="1" s="1"/>
  <c r="BI367" i="1" s="1"/>
  <c r="BT368" i="1" a="1"/>
  <c r="BT368" i="1" s="1"/>
  <c r="BI368" i="1" s="1"/>
  <c r="BS366" i="1" a="1"/>
  <c r="BS366" i="1" s="1"/>
  <c r="BG366" i="1" s="1"/>
  <c r="BS367" i="1" a="1"/>
  <c r="BS367" i="1" s="1"/>
  <c r="BG367" i="1" s="1"/>
  <c r="BS368" i="1" a="1"/>
  <c r="BS368" i="1" s="1"/>
  <c r="BG368" i="1" s="1"/>
  <c r="BR366" i="1" a="1"/>
  <c r="BR366" i="1" s="1"/>
  <c r="BE366" i="1" s="1"/>
  <c r="BR367" i="1" a="1"/>
  <c r="BR367" i="1" s="1"/>
  <c r="BE367" i="1" s="1"/>
  <c r="BR368" i="1" a="1"/>
  <c r="BR368" i="1" s="1"/>
  <c r="BE368" i="1" s="1"/>
  <c r="BU330" i="1" a="1"/>
  <c r="BU330" i="1" s="1"/>
  <c r="BU331" i="1" a="1"/>
  <c r="BU331" i="1" s="1"/>
  <c r="BU332" i="1" a="1"/>
  <c r="BU332" i="1" s="1"/>
  <c r="BU333" i="1" a="1"/>
  <c r="BU333" i="1" s="1"/>
  <c r="BU334" i="1" a="1"/>
  <c r="BU334" i="1" s="1"/>
  <c r="BU335" i="1" a="1"/>
  <c r="BU335" i="1" s="1"/>
  <c r="BU336" i="1" a="1"/>
  <c r="BU336" i="1" s="1"/>
  <c r="BU337" i="1" a="1"/>
  <c r="BU337" i="1" s="1"/>
  <c r="BU338" i="1" a="1"/>
  <c r="BU338" i="1" s="1"/>
  <c r="BU339" i="1" a="1"/>
  <c r="BU339" i="1" s="1"/>
  <c r="BU340" i="1" a="1"/>
  <c r="BU340" i="1" s="1"/>
  <c r="BU341" i="1" a="1"/>
  <c r="BU341" i="1" s="1"/>
  <c r="BT330" i="1" a="1"/>
  <c r="BT330" i="1" s="1"/>
  <c r="BI330" i="1" s="1"/>
  <c r="BT331" i="1" a="1"/>
  <c r="BT331" i="1" s="1"/>
  <c r="BI331" i="1" s="1"/>
  <c r="BT332" i="1" a="1"/>
  <c r="BT332" i="1" s="1"/>
  <c r="BI332" i="1" s="1"/>
  <c r="BT333" i="1" a="1"/>
  <c r="BT333" i="1" s="1"/>
  <c r="BI333" i="1" s="1"/>
  <c r="BT334" i="1" a="1"/>
  <c r="BT334" i="1" s="1"/>
  <c r="BI334" i="1" s="1"/>
  <c r="BT335" i="1" a="1"/>
  <c r="BT335" i="1" s="1"/>
  <c r="BI335" i="1" s="1"/>
  <c r="BT336" i="1" a="1"/>
  <c r="BT336" i="1" s="1"/>
  <c r="BI336" i="1" s="1"/>
  <c r="BT337" i="1" a="1"/>
  <c r="BT337" i="1" s="1"/>
  <c r="BI337" i="1" s="1"/>
  <c r="BT338" i="1" a="1"/>
  <c r="BT338" i="1" s="1"/>
  <c r="BI338" i="1" s="1"/>
  <c r="BT339" i="1" a="1"/>
  <c r="BT339" i="1" s="1"/>
  <c r="BI339" i="1" s="1"/>
  <c r="BT340" i="1" a="1"/>
  <c r="BT340" i="1" s="1"/>
  <c r="BI340" i="1" s="1"/>
  <c r="BT341" i="1" a="1"/>
  <c r="BT341" i="1" s="1"/>
  <c r="BI341" i="1" s="1"/>
  <c r="BS330" i="1" a="1"/>
  <c r="BS330" i="1" s="1"/>
  <c r="BG330" i="1" s="1"/>
  <c r="BS331" i="1" a="1"/>
  <c r="BS331" i="1" s="1"/>
  <c r="BG331" i="1" s="1"/>
  <c r="BS332" i="1" a="1"/>
  <c r="BS332" i="1" s="1"/>
  <c r="BG332" i="1" s="1"/>
  <c r="BS333" i="1" a="1"/>
  <c r="BS333" i="1" s="1"/>
  <c r="BG333" i="1" s="1"/>
  <c r="BS334" i="1" a="1"/>
  <c r="BS334" i="1" s="1"/>
  <c r="BG334" i="1" s="1"/>
  <c r="BS335" i="1" a="1"/>
  <c r="BS335" i="1" s="1"/>
  <c r="BG335" i="1" s="1"/>
  <c r="BS336" i="1" a="1"/>
  <c r="BS336" i="1" s="1"/>
  <c r="BG336" i="1" s="1"/>
  <c r="BS337" i="1" a="1"/>
  <c r="BS337" i="1" s="1"/>
  <c r="BG337" i="1" s="1"/>
  <c r="BS338" i="1" a="1"/>
  <c r="BS338" i="1" s="1"/>
  <c r="BG338" i="1" s="1"/>
  <c r="BS339" i="1" a="1"/>
  <c r="BS339" i="1" s="1"/>
  <c r="BG339" i="1" s="1"/>
  <c r="BS340" i="1" a="1"/>
  <c r="BS340" i="1" s="1"/>
  <c r="BG340" i="1" s="1"/>
  <c r="BS341" i="1" a="1"/>
  <c r="BS341" i="1" s="1"/>
  <c r="BG341" i="1" s="1"/>
  <c r="BR330" i="1" a="1"/>
  <c r="BR330" i="1" s="1"/>
  <c r="BE330" i="1" s="1"/>
  <c r="BR331" i="1" a="1"/>
  <c r="BR331" i="1" s="1"/>
  <c r="BE331" i="1" s="1"/>
  <c r="BR332" i="1" a="1"/>
  <c r="BR332" i="1" s="1"/>
  <c r="BE332" i="1" s="1"/>
  <c r="BR333" i="1" a="1"/>
  <c r="BR333" i="1" s="1"/>
  <c r="BE333" i="1" s="1"/>
  <c r="BR334" i="1" a="1"/>
  <c r="BR334" i="1" s="1"/>
  <c r="BE334" i="1" s="1"/>
  <c r="BR335" i="1" a="1"/>
  <c r="BR335" i="1" s="1"/>
  <c r="BE335" i="1" s="1"/>
  <c r="BR336" i="1" a="1"/>
  <c r="BR336" i="1" s="1"/>
  <c r="BE336" i="1" s="1"/>
  <c r="BR337" i="1" a="1"/>
  <c r="BR337" i="1" s="1"/>
  <c r="BE337" i="1" s="1"/>
  <c r="BR338" i="1" a="1"/>
  <c r="BR338" i="1" s="1"/>
  <c r="BE338" i="1" s="1"/>
  <c r="BR339" i="1" a="1"/>
  <c r="BR339" i="1" s="1"/>
  <c r="BE339" i="1" s="1"/>
  <c r="BR340" i="1" a="1"/>
  <c r="BR340" i="1" s="1"/>
  <c r="BE340" i="1" s="1"/>
  <c r="BR341" i="1" a="1"/>
  <c r="BR341" i="1" s="1"/>
  <c r="BE341" i="1" s="1"/>
  <c r="Y330" i="1" a="1"/>
  <c r="Y330" i="1" s="1"/>
  <c r="Y331" i="1" a="1"/>
  <c r="Y331" i="1" s="1"/>
  <c r="Y332" i="1" a="1"/>
  <c r="Y332" i="1" s="1"/>
  <c r="Y333" i="1" a="1"/>
  <c r="Y333" i="1" s="1"/>
  <c r="Y334" i="1" a="1"/>
  <c r="Y334" i="1" s="1"/>
  <c r="Y335" i="1" a="1"/>
  <c r="Y335" i="1" s="1"/>
  <c r="Y336" i="1" a="1"/>
  <c r="Y336" i="1" s="1"/>
  <c r="Y337" i="1" a="1"/>
  <c r="Y337" i="1" s="1"/>
  <c r="Y338" i="1" a="1"/>
  <c r="Y338" i="1" s="1"/>
  <c r="Y339" i="1" a="1"/>
  <c r="Y339" i="1" s="1"/>
  <c r="Y340" i="1" a="1"/>
  <c r="Y340" i="1" s="1"/>
  <c r="Y341" i="1" a="1"/>
  <c r="Y341" i="1" s="1"/>
  <c r="X330" i="1"/>
  <c r="X331" i="1"/>
  <c r="X332" i="1"/>
  <c r="X333" i="1"/>
  <c r="X334" i="1"/>
  <c r="X335" i="1"/>
  <c r="X336" i="1"/>
  <c r="X337" i="1"/>
  <c r="X338" i="1"/>
  <c r="X339" i="1"/>
  <c r="X340" i="1"/>
  <c r="X341" i="1"/>
  <c r="BU316" i="1" a="1"/>
  <c r="BU316" i="1" s="1"/>
  <c r="BU317" i="1" a="1"/>
  <c r="BU317" i="1" s="1"/>
  <c r="BU318" i="1" a="1"/>
  <c r="BU318" i="1" s="1"/>
  <c r="BU319" i="1" a="1"/>
  <c r="BU319" i="1" s="1"/>
  <c r="BU320" i="1" a="1"/>
  <c r="BU320" i="1" s="1"/>
  <c r="BU321" i="1" a="1"/>
  <c r="BU321" i="1" s="1"/>
  <c r="BU322" i="1" a="1"/>
  <c r="BU322" i="1" s="1"/>
  <c r="BU323" i="1" a="1"/>
  <c r="BU323" i="1" s="1"/>
  <c r="BU324" i="1" a="1"/>
  <c r="BU324" i="1" s="1"/>
  <c r="BU325" i="1" a="1"/>
  <c r="BU325" i="1" s="1"/>
  <c r="BU326" i="1" a="1"/>
  <c r="BU326" i="1" s="1"/>
  <c r="BU327" i="1" a="1"/>
  <c r="BU327" i="1" s="1"/>
  <c r="BT316" i="1" a="1"/>
  <c r="BT316" i="1" s="1"/>
  <c r="BI316" i="1" s="1"/>
  <c r="BT317" i="1" a="1"/>
  <c r="BT317" i="1" s="1"/>
  <c r="BI317" i="1" s="1"/>
  <c r="BT318" i="1" a="1"/>
  <c r="BT318" i="1" s="1"/>
  <c r="BI318" i="1" s="1"/>
  <c r="BT319" i="1" a="1"/>
  <c r="BT319" i="1" s="1"/>
  <c r="BI319" i="1" s="1"/>
  <c r="BT320" i="1" a="1"/>
  <c r="BT320" i="1" s="1"/>
  <c r="BI320" i="1" s="1"/>
  <c r="BT321" i="1" a="1"/>
  <c r="BT321" i="1" s="1"/>
  <c r="BI321" i="1" s="1"/>
  <c r="BT322" i="1" a="1"/>
  <c r="BT322" i="1" s="1"/>
  <c r="BI322" i="1" s="1"/>
  <c r="BT323" i="1" a="1"/>
  <c r="BT323" i="1" s="1"/>
  <c r="BI323" i="1" s="1"/>
  <c r="BT324" i="1" a="1"/>
  <c r="BT324" i="1" s="1"/>
  <c r="BI324" i="1" s="1"/>
  <c r="BT325" i="1" a="1"/>
  <c r="BT325" i="1" s="1"/>
  <c r="BI325" i="1" s="1"/>
  <c r="BT326" i="1" a="1"/>
  <c r="BT326" i="1" s="1"/>
  <c r="BI326" i="1" s="1"/>
  <c r="BT327" i="1" a="1"/>
  <c r="BT327" i="1" s="1"/>
  <c r="BI327" i="1" s="1"/>
  <c r="BS316" i="1" a="1"/>
  <c r="BS316" i="1" s="1"/>
  <c r="BG316" i="1" s="1"/>
  <c r="BS317" i="1" a="1"/>
  <c r="BS317" i="1" s="1"/>
  <c r="BG317" i="1" s="1"/>
  <c r="BS318" i="1" a="1"/>
  <c r="BS318" i="1" s="1"/>
  <c r="BG318" i="1" s="1"/>
  <c r="BS319" i="1" a="1"/>
  <c r="BS319" i="1" s="1"/>
  <c r="BG319" i="1" s="1"/>
  <c r="BS320" i="1" a="1"/>
  <c r="BS320" i="1" s="1"/>
  <c r="BG320" i="1" s="1"/>
  <c r="BS321" i="1" a="1"/>
  <c r="BS321" i="1" s="1"/>
  <c r="BG321" i="1" s="1"/>
  <c r="BS322" i="1" a="1"/>
  <c r="BS322" i="1" s="1"/>
  <c r="BG322" i="1" s="1"/>
  <c r="BS323" i="1" a="1"/>
  <c r="BS323" i="1" s="1"/>
  <c r="BG323" i="1" s="1"/>
  <c r="BS324" i="1" a="1"/>
  <c r="BS324" i="1" s="1"/>
  <c r="BG324" i="1" s="1"/>
  <c r="BS325" i="1" a="1"/>
  <c r="BS325" i="1" s="1"/>
  <c r="BG325" i="1" s="1"/>
  <c r="BS326" i="1" a="1"/>
  <c r="BS326" i="1" s="1"/>
  <c r="BG326" i="1" s="1"/>
  <c r="BS327" i="1" a="1"/>
  <c r="BS327" i="1" s="1"/>
  <c r="BG327" i="1" s="1"/>
  <c r="BR316" i="1" a="1"/>
  <c r="BR316" i="1" s="1"/>
  <c r="BE316" i="1" s="1"/>
  <c r="BR317" i="1" a="1"/>
  <c r="BR317" i="1" s="1"/>
  <c r="BE317" i="1" s="1"/>
  <c r="BR318" i="1" a="1"/>
  <c r="BR318" i="1" s="1"/>
  <c r="BE318" i="1" s="1"/>
  <c r="BR319" i="1" a="1"/>
  <c r="BR319" i="1" s="1"/>
  <c r="BE319" i="1" s="1"/>
  <c r="BR320" i="1" a="1"/>
  <c r="BR320" i="1" s="1"/>
  <c r="BE320" i="1" s="1"/>
  <c r="BR321" i="1" a="1"/>
  <c r="BR321" i="1" s="1"/>
  <c r="BE321" i="1" s="1"/>
  <c r="BR322" i="1" a="1"/>
  <c r="BR322" i="1" s="1"/>
  <c r="BE322" i="1" s="1"/>
  <c r="BR323" i="1" a="1"/>
  <c r="BR323" i="1" s="1"/>
  <c r="BE323" i="1" s="1"/>
  <c r="BR324" i="1" a="1"/>
  <c r="BR324" i="1" s="1"/>
  <c r="BE324" i="1" s="1"/>
  <c r="BR325" i="1" a="1"/>
  <c r="BR325" i="1" s="1"/>
  <c r="BE325" i="1" s="1"/>
  <c r="BR326" i="1" a="1"/>
  <c r="BR326" i="1" s="1"/>
  <c r="BE326" i="1" s="1"/>
  <c r="BR327" i="1" a="1"/>
  <c r="BR327" i="1" s="1"/>
  <c r="BE327" i="1" s="1"/>
  <c r="Y316" i="1" a="1"/>
  <c r="Y316" i="1" s="1"/>
  <c r="Y317" i="1" a="1"/>
  <c r="Y317" i="1" s="1"/>
  <c r="Y318" i="1" a="1"/>
  <c r="Y318" i="1" s="1"/>
  <c r="Y319" i="1" a="1"/>
  <c r="Y319" i="1" s="1"/>
  <c r="Y320" i="1" a="1"/>
  <c r="Y320" i="1" s="1"/>
  <c r="Y321" i="1" a="1"/>
  <c r="Y321" i="1" s="1"/>
  <c r="Y322" i="1" a="1"/>
  <c r="Y322" i="1" s="1"/>
  <c r="Y323" i="1" a="1"/>
  <c r="Y323" i="1" s="1"/>
  <c r="Y324" i="1" a="1"/>
  <c r="Y324" i="1" s="1"/>
  <c r="Y325" i="1" a="1"/>
  <c r="Y325" i="1" s="1"/>
  <c r="Y326" i="1" a="1"/>
  <c r="Y326" i="1" s="1"/>
  <c r="Y327" i="1" a="1"/>
  <c r="Y327" i="1" s="1"/>
  <c r="X316" i="1"/>
  <c r="X317" i="1"/>
  <c r="X318" i="1"/>
  <c r="X319" i="1"/>
  <c r="X320" i="1"/>
  <c r="X321" i="1"/>
  <c r="X322" i="1"/>
  <c r="X323" i="1"/>
  <c r="X324" i="1"/>
  <c r="X325" i="1"/>
  <c r="X326" i="1"/>
  <c r="X327" i="1"/>
  <c r="BU306" i="1" a="1"/>
  <c r="BU306" i="1" s="1"/>
  <c r="BU307" i="1" a="1"/>
  <c r="BU307" i="1" s="1"/>
  <c r="BU308" i="1" a="1"/>
  <c r="BU308" i="1" s="1"/>
  <c r="BU309" i="1" a="1"/>
  <c r="BU309" i="1" s="1"/>
  <c r="BU310" i="1" a="1"/>
  <c r="BU310" i="1" s="1"/>
  <c r="BU311" i="1" a="1"/>
  <c r="BU311" i="1" s="1"/>
  <c r="BU312" i="1" a="1"/>
  <c r="BU312" i="1" s="1"/>
  <c r="BU313" i="1" a="1"/>
  <c r="BU313" i="1" s="1"/>
  <c r="BT306" i="1" a="1"/>
  <c r="BT306" i="1" s="1"/>
  <c r="BI306" i="1" s="1"/>
  <c r="BT307" i="1" a="1"/>
  <c r="BT307" i="1" s="1"/>
  <c r="BI307" i="1" s="1"/>
  <c r="BT308" i="1" a="1"/>
  <c r="BT308" i="1" s="1"/>
  <c r="BI308" i="1" s="1"/>
  <c r="BT309" i="1" a="1"/>
  <c r="BT309" i="1" s="1"/>
  <c r="BI309" i="1" s="1"/>
  <c r="BT310" i="1" a="1"/>
  <c r="BT310" i="1" s="1"/>
  <c r="BI310" i="1" s="1"/>
  <c r="BT311" i="1" a="1"/>
  <c r="BT311" i="1" s="1"/>
  <c r="BI311" i="1" s="1"/>
  <c r="BT312" i="1" a="1"/>
  <c r="BT312" i="1" s="1"/>
  <c r="BI312" i="1" s="1"/>
  <c r="BT313" i="1" a="1"/>
  <c r="BT313" i="1" s="1"/>
  <c r="BI313" i="1" s="1"/>
  <c r="BS306" i="1" a="1"/>
  <c r="BS306" i="1" s="1"/>
  <c r="BG306" i="1" s="1"/>
  <c r="BS307" i="1" a="1"/>
  <c r="BS307" i="1" s="1"/>
  <c r="BG307" i="1" s="1"/>
  <c r="BS308" i="1" a="1"/>
  <c r="BS308" i="1" s="1"/>
  <c r="BG308" i="1" s="1"/>
  <c r="BS309" i="1" a="1"/>
  <c r="BS309" i="1" s="1"/>
  <c r="BG309" i="1" s="1"/>
  <c r="BS310" i="1" a="1"/>
  <c r="BS310" i="1" s="1"/>
  <c r="BG310" i="1" s="1"/>
  <c r="BS311" i="1" a="1"/>
  <c r="BS311" i="1" s="1"/>
  <c r="BG311" i="1" s="1"/>
  <c r="BS312" i="1" a="1"/>
  <c r="BS312" i="1" s="1"/>
  <c r="BG312" i="1" s="1"/>
  <c r="BS313" i="1" a="1"/>
  <c r="BS313" i="1" s="1"/>
  <c r="BG313" i="1" s="1"/>
  <c r="BR306" i="1" a="1"/>
  <c r="BR306" i="1" s="1"/>
  <c r="BE306" i="1" s="1"/>
  <c r="BR307" i="1" a="1"/>
  <c r="BR307" i="1" s="1"/>
  <c r="BE307" i="1" s="1"/>
  <c r="BR308" i="1" a="1"/>
  <c r="BR308" i="1" s="1"/>
  <c r="BE308" i="1" s="1"/>
  <c r="BR309" i="1" a="1"/>
  <c r="BR309" i="1" s="1"/>
  <c r="BE309" i="1" s="1"/>
  <c r="BR310" i="1" a="1"/>
  <c r="BR310" i="1" s="1"/>
  <c r="BE310" i="1" s="1"/>
  <c r="BR311" i="1" a="1"/>
  <c r="BR311" i="1" s="1"/>
  <c r="BE311" i="1" s="1"/>
  <c r="BR312" i="1" a="1"/>
  <c r="BR312" i="1" s="1"/>
  <c r="BE312" i="1" s="1"/>
  <c r="BR313" i="1" a="1"/>
  <c r="BR313" i="1" s="1"/>
  <c r="BE313" i="1" s="1"/>
  <c r="Y306" i="1" a="1"/>
  <c r="Y306" i="1" s="1"/>
  <c r="Y307" i="1" a="1"/>
  <c r="Y307" i="1" s="1"/>
  <c r="Y308" i="1" a="1"/>
  <c r="Y308" i="1" s="1"/>
  <c r="Y309" i="1" a="1"/>
  <c r="Y309" i="1" s="1"/>
  <c r="Y310" i="1" a="1"/>
  <c r="Y310" i="1" s="1"/>
  <c r="Y311" i="1" a="1"/>
  <c r="Y311" i="1" s="1"/>
  <c r="Y312" i="1" a="1"/>
  <c r="Y312" i="1" s="1"/>
  <c r="Y313" i="1" a="1"/>
  <c r="Y313" i="1" s="1"/>
  <c r="X306" i="1"/>
  <c r="X307" i="1"/>
  <c r="X308" i="1"/>
  <c r="X309" i="1"/>
  <c r="X310" i="1"/>
  <c r="X311" i="1"/>
  <c r="X312" i="1"/>
  <c r="X313" i="1"/>
  <c r="Y299" i="1" a="1"/>
  <c r="Y299" i="1" s="1"/>
  <c r="Y300" i="1" a="1"/>
  <c r="Y300" i="1" s="1"/>
  <c r="Y301" i="1" a="1"/>
  <c r="Y301" i="1" s="1"/>
  <c r="Y302" i="1" a="1"/>
  <c r="Y302" i="1" s="1"/>
  <c r="Y303" i="1" a="1"/>
  <c r="Y303" i="1" s="1"/>
  <c r="X299" i="1"/>
  <c r="X300" i="1"/>
  <c r="X301" i="1"/>
  <c r="X302" i="1"/>
  <c r="X303" i="1"/>
  <c r="BU299" i="1" a="1"/>
  <c r="BU299" i="1" s="1"/>
  <c r="BU300" i="1" a="1"/>
  <c r="BU300" i="1" s="1"/>
  <c r="BU301" i="1" a="1"/>
  <c r="BU301" i="1" s="1"/>
  <c r="BU302" i="1" a="1"/>
  <c r="BU302" i="1" s="1"/>
  <c r="BU303" i="1" a="1"/>
  <c r="BU303" i="1" s="1"/>
  <c r="BT299" i="1" a="1"/>
  <c r="BT299" i="1" s="1"/>
  <c r="BI299" i="1" s="1"/>
  <c r="BT300" i="1" a="1"/>
  <c r="BT300" i="1" s="1"/>
  <c r="BI300" i="1" s="1"/>
  <c r="BT301" i="1" a="1"/>
  <c r="BT301" i="1" s="1"/>
  <c r="BI301" i="1" s="1"/>
  <c r="BT302" i="1" a="1"/>
  <c r="BT302" i="1" s="1"/>
  <c r="BI302" i="1" s="1"/>
  <c r="BT303" i="1" a="1"/>
  <c r="BT303" i="1" s="1"/>
  <c r="BI303" i="1" s="1"/>
  <c r="BS299" i="1" a="1"/>
  <c r="BS299" i="1" s="1"/>
  <c r="BG299" i="1" s="1"/>
  <c r="BS300" i="1" a="1"/>
  <c r="BS300" i="1" s="1"/>
  <c r="BG300" i="1" s="1"/>
  <c r="BS301" i="1" a="1"/>
  <c r="BS301" i="1" s="1"/>
  <c r="BG301" i="1" s="1"/>
  <c r="BS302" i="1" a="1"/>
  <c r="BS302" i="1" s="1"/>
  <c r="BG302" i="1" s="1"/>
  <c r="BS303" i="1" a="1"/>
  <c r="BS303" i="1" s="1"/>
  <c r="BG303" i="1" s="1"/>
  <c r="BR299" i="1" a="1"/>
  <c r="BR299" i="1" s="1"/>
  <c r="BE299" i="1" s="1"/>
  <c r="BR300" i="1" a="1"/>
  <c r="BR300" i="1" s="1"/>
  <c r="BE300" i="1" s="1"/>
  <c r="BR301" i="1" a="1"/>
  <c r="BR301" i="1" s="1"/>
  <c r="BE301" i="1" s="1"/>
  <c r="BR302" i="1" a="1"/>
  <c r="BR302" i="1" s="1"/>
  <c r="BE302" i="1" s="1"/>
  <c r="BR303" i="1" a="1"/>
  <c r="BR303" i="1" s="1"/>
  <c r="BE303" i="1" s="1"/>
  <c r="BU292" i="1" a="1"/>
  <c r="BU292" i="1" s="1"/>
  <c r="BU293" i="1" a="1"/>
  <c r="BU293" i="1" s="1"/>
  <c r="BU294" i="1" a="1"/>
  <c r="BU294" i="1" s="1"/>
  <c r="BU295" i="1" a="1"/>
  <c r="BU295" i="1" s="1"/>
  <c r="BU296" i="1" a="1"/>
  <c r="BU296" i="1" s="1"/>
  <c r="BT292" i="1" a="1"/>
  <c r="BT292" i="1" s="1"/>
  <c r="BI292" i="1" s="1"/>
  <c r="BT293" i="1" a="1"/>
  <c r="BT293" i="1" s="1"/>
  <c r="BI293" i="1" s="1"/>
  <c r="BT294" i="1" a="1"/>
  <c r="BT294" i="1" s="1"/>
  <c r="BI294" i="1" s="1"/>
  <c r="BT295" i="1" a="1"/>
  <c r="BT295" i="1" s="1"/>
  <c r="BI295" i="1" s="1"/>
  <c r="BT296" i="1" a="1"/>
  <c r="BT296" i="1" s="1"/>
  <c r="BI296" i="1" s="1"/>
  <c r="BS292" i="1" a="1"/>
  <c r="BS292" i="1" s="1"/>
  <c r="BG292" i="1" s="1"/>
  <c r="BS293" i="1" a="1"/>
  <c r="BS293" i="1" s="1"/>
  <c r="BG293" i="1" s="1"/>
  <c r="BS294" i="1" a="1"/>
  <c r="BS294" i="1" s="1"/>
  <c r="BG294" i="1" s="1"/>
  <c r="BS295" i="1" a="1"/>
  <c r="BS295" i="1" s="1"/>
  <c r="BG295" i="1" s="1"/>
  <c r="BS296" i="1" a="1"/>
  <c r="BS296" i="1" s="1"/>
  <c r="BG296" i="1" s="1"/>
  <c r="BR292" i="1" a="1"/>
  <c r="BR292" i="1" s="1"/>
  <c r="BE292" i="1" s="1"/>
  <c r="BR293" i="1" a="1"/>
  <c r="BR293" i="1" s="1"/>
  <c r="BE293" i="1" s="1"/>
  <c r="BR294" i="1" a="1"/>
  <c r="BR294" i="1" s="1"/>
  <c r="BE294" i="1" s="1"/>
  <c r="BR295" i="1" a="1"/>
  <c r="BR295" i="1" s="1"/>
  <c r="BE295" i="1" s="1"/>
  <c r="BR296" i="1" a="1"/>
  <c r="BR296" i="1" s="1"/>
  <c r="BE296" i="1" s="1"/>
  <c r="Y292" i="1" a="1"/>
  <c r="Y292" i="1" s="1"/>
  <c r="Y293" i="1" a="1"/>
  <c r="Y293" i="1" s="1"/>
  <c r="Y294" i="1" a="1"/>
  <c r="Y294" i="1" s="1"/>
  <c r="Y295" i="1" a="1"/>
  <c r="Y295" i="1" s="1"/>
  <c r="Y296" i="1" a="1"/>
  <c r="Y296" i="1" s="1"/>
  <c r="X292" i="1"/>
  <c r="X293" i="1"/>
  <c r="X294" i="1"/>
  <c r="X295" i="1"/>
  <c r="X296" i="1"/>
  <c r="Y287" i="1" a="1"/>
  <c r="Y287" i="1" s="1"/>
  <c r="Y288" i="1" a="1"/>
  <c r="Y288" i="1" s="1"/>
  <c r="Y289" i="1" a="1"/>
  <c r="Y289" i="1" s="1"/>
  <c r="X287" i="1"/>
  <c r="X288" i="1"/>
  <c r="X289" i="1"/>
  <c r="BU287" i="1" a="1"/>
  <c r="BU287" i="1" s="1"/>
  <c r="BU288" i="1" a="1"/>
  <c r="BU288" i="1" s="1"/>
  <c r="BU289" i="1" a="1"/>
  <c r="BU289" i="1" s="1"/>
  <c r="BT287" i="1" a="1"/>
  <c r="BT287" i="1" s="1"/>
  <c r="BI287" i="1" s="1"/>
  <c r="BT288" i="1" a="1"/>
  <c r="BT288" i="1" s="1"/>
  <c r="BI288" i="1" s="1"/>
  <c r="BT289" i="1" a="1"/>
  <c r="BT289" i="1" s="1"/>
  <c r="BI289" i="1" s="1"/>
  <c r="BS287" i="1" a="1"/>
  <c r="BS287" i="1" s="1"/>
  <c r="BG287" i="1" s="1"/>
  <c r="BS288" i="1" a="1"/>
  <c r="BS288" i="1" s="1"/>
  <c r="BG288" i="1" s="1"/>
  <c r="BS289" i="1" a="1"/>
  <c r="BS289" i="1" s="1"/>
  <c r="BG289" i="1" s="1"/>
  <c r="BR287" i="1" a="1"/>
  <c r="BR287" i="1" s="1"/>
  <c r="BE287" i="1" s="1"/>
  <c r="BR288" i="1" a="1"/>
  <c r="BR288" i="1" s="1"/>
  <c r="BE288" i="1" s="1"/>
  <c r="BR289" i="1" a="1"/>
  <c r="BR289" i="1" s="1"/>
  <c r="BE289" i="1" s="1"/>
  <c r="BU272" i="1" a="1"/>
  <c r="BU272" i="1" s="1"/>
  <c r="BU273" i="1" a="1"/>
  <c r="BU273" i="1" s="1"/>
  <c r="BU274" i="1" a="1"/>
  <c r="BU274" i="1" s="1"/>
  <c r="BU275" i="1" a="1"/>
  <c r="BU275" i="1" s="1"/>
  <c r="BU276" i="1" a="1"/>
  <c r="BU276" i="1" s="1"/>
  <c r="BU277" i="1" a="1"/>
  <c r="BU277" i="1" s="1"/>
  <c r="BU278" i="1" a="1"/>
  <c r="BU278" i="1" s="1"/>
  <c r="BU279" i="1" a="1"/>
  <c r="BU279" i="1" s="1"/>
  <c r="BU280" i="1" a="1"/>
  <c r="BU280" i="1" s="1"/>
  <c r="BU281" i="1" a="1"/>
  <c r="BU281" i="1" s="1"/>
  <c r="BU282" i="1" a="1"/>
  <c r="BU282" i="1" s="1"/>
  <c r="BU283" i="1" a="1"/>
  <c r="BU283" i="1" s="1"/>
  <c r="BU284" i="1" a="1"/>
  <c r="BU284" i="1" s="1"/>
  <c r="BT272" i="1" a="1"/>
  <c r="BT272" i="1" s="1"/>
  <c r="BI272" i="1" s="1"/>
  <c r="BT273" i="1" a="1"/>
  <c r="BT273" i="1" s="1"/>
  <c r="BI273" i="1" s="1"/>
  <c r="BT274" i="1" a="1"/>
  <c r="BT274" i="1" s="1"/>
  <c r="BI274" i="1" s="1"/>
  <c r="BT275" i="1" a="1"/>
  <c r="BT275" i="1" s="1"/>
  <c r="BI275" i="1" s="1"/>
  <c r="BT276" i="1" a="1"/>
  <c r="BT276" i="1" s="1"/>
  <c r="BI276" i="1" s="1"/>
  <c r="BT277" i="1" a="1"/>
  <c r="BT277" i="1" s="1"/>
  <c r="BI277" i="1" s="1"/>
  <c r="BT278" i="1" a="1"/>
  <c r="BT278" i="1" s="1"/>
  <c r="BI278" i="1" s="1"/>
  <c r="BT279" i="1" a="1"/>
  <c r="BT279" i="1" s="1"/>
  <c r="BI279" i="1" s="1"/>
  <c r="BT280" i="1" a="1"/>
  <c r="BT280" i="1" s="1"/>
  <c r="BI280" i="1" s="1"/>
  <c r="BT281" i="1" a="1"/>
  <c r="BT281" i="1" s="1"/>
  <c r="BI281" i="1" s="1"/>
  <c r="BT282" i="1" a="1"/>
  <c r="BT282" i="1" s="1"/>
  <c r="BI282" i="1" s="1"/>
  <c r="BT283" i="1" a="1"/>
  <c r="BT283" i="1" s="1"/>
  <c r="BI283" i="1" s="1"/>
  <c r="BT284" i="1" a="1"/>
  <c r="BT284" i="1" s="1"/>
  <c r="BI284" i="1" s="1"/>
  <c r="BS272" i="1" a="1"/>
  <c r="BS272" i="1" s="1"/>
  <c r="BG272" i="1" s="1"/>
  <c r="BS273" i="1" a="1"/>
  <c r="BS273" i="1" s="1"/>
  <c r="BG273" i="1" s="1"/>
  <c r="BS274" i="1" a="1"/>
  <c r="BS274" i="1" s="1"/>
  <c r="BG274" i="1" s="1"/>
  <c r="BS275" i="1" a="1"/>
  <c r="BS275" i="1" s="1"/>
  <c r="BG275" i="1" s="1"/>
  <c r="BS276" i="1" a="1"/>
  <c r="BS276" i="1" s="1"/>
  <c r="BG276" i="1" s="1"/>
  <c r="BS277" i="1" a="1"/>
  <c r="BS277" i="1" s="1"/>
  <c r="BG277" i="1" s="1"/>
  <c r="BS278" i="1" a="1"/>
  <c r="BS278" i="1" s="1"/>
  <c r="BG278" i="1" s="1"/>
  <c r="BS279" i="1" a="1"/>
  <c r="BS279" i="1" s="1"/>
  <c r="BG279" i="1" s="1"/>
  <c r="BS280" i="1" a="1"/>
  <c r="BS280" i="1" s="1"/>
  <c r="BG280" i="1" s="1"/>
  <c r="BS281" i="1" a="1"/>
  <c r="BS281" i="1" s="1"/>
  <c r="BG281" i="1" s="1"/>
  <c r="BS282" i="1" a="1"/>
  <c r="BS282" i="1" s="1"/>
  <c r="BG282" i="1" s="1"/>
  <c r="BS283" i="1" a="1"/>
  <c r="BS283" i="1" s="1"/>
  <c r="BG283" i="1" s="1"/>
  <c r="BS284" i="1" a="1"/>
  <c r="BS284" i="1" s="1"/>
  <c r="BG284" i="1" s="1"/>
  <c r="BR272" i="1" a="1"/>
  <c r="BR272" i="1" s="1"/>
  <c r="BE272" i="1" s="1"/>
  <c r="BR273" i="1" a="1"/>
  <c r="BR273" i="1" s="1"/>
  <c r="BE273" i="1" s="1"/>
  <c r="BR274" i="1" a="1"/>
  <c r="BR274" i="1" s="1"/>
  <c r="BE274" i="1" s="1"/>
  <c r="BR275" i="1" a="1"/>
  <c r="BR275" i="1" s="1"/>
  <c r="BE275" i="1" s="1"/>
  <c r="BR276" i="1" a="1"/>
  <c r="BR276" i="1" s="1"/>
  <c r="BE276" i="1" s="1"/>
  <c r="BR277" i="1" a="1"/>
  <c r="BR277" i="1" s="1"/>
  <c r="BE277" i="1" s="1"/>
  <c r="BR278" i="1" a="1"/>
  <c r="BR278" i="1" s="1"/>
  <c r="BE278" i="1" s="1"/>
  <c r="BR279" i="1" a="1"/>
  <c r="BR279" i="1" s="1"/>
  <c r="BE279" i="1" s="1"/>
  <c r="BR280" i="1" a="1"/>
  <c r="BR280" i="1" s="1"/>
  <c r="BE280" i="1" s="1"/>
  <c r="BR281" i="1" a="1"/>
  <c r="BR281" i="1" s="1"/>
  <c r="BE281" i="1" s="1"/>
  <c r="BR282" i="1" a="1"/>
  <c r="BR282" i="1" s="1"/>
  <c r="BE282" i="1" s="1"/>
  <c r="BR283" i="1" a="1"/>
  <c r="BR283" i="1" s="1"/>
  <c r="BE283" i="1" s="1"/>
  <c r="BR284" i="1" a="1"/>
  <c r="BR284" i="1" s="1"/>
  <c r="BE284" i="1" s="1"/>
  <c r="Y272" i="1" a="1"/>
  <c r="Y272" i="1" s="1"/>
  <c r="Y273" i="1" a="1"/>
  <c r="Y273" i="1" s="1"/>
  <c r="Y274" i="1" a="1"/>
  <c r="Y274" i="1" s="1"/>
  <c r="Y275" i="1" a="1"/>
  <c r="Y275" i="1" s="1"/>
  <c r="Y276" i="1" a="1"/>
  <c r="Y276" i="1" s="1"/>
  <c r="Y277" i="1" a="1"/>
  <c r="Y277" i="1" s="1"/>
  <c r="Y278" i="1" a="1"/>
  <c r="Y278" i="1" s="1"/>
  <c r="Y279" i="1" a="1"/>
  <c r="Y279" i="1" s="1"/>
  <c r="Y280" i="1" a="1"/>
  <c r="Y280" i="1" s="1"/>
  <c r="Y281" i="1" a="1"/>
  <c r="Y281" i="1" s="1"/>
  <c r="Y282" i="1" a="1"/>
  <c r="Y282" i="1" s="1"/>
  <c r="Y283" i="1" a="1"/>
  <c r="Y283" i="1" s="1"/>
  <c r="Y284" i="1" a="1"/>
  <c r="Y284" i="1" s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Y255" i="1" a="1"/>
  <c r="Y255" i="1" s="1"/>
  <c r="Y256" i="1" a="1"/>
  <c r="Y256" i="1" s="1"/>
  <c r="Y257" i="1" a="1"/>
  <c r="Y257" i="1" s="1"/>
  <c r="Y258" i="1" a="1"/>
  <c r="Y258" i="1" s="1"/>
  <c r="Y259" i="1" a="1"/>
  <c r="Y259" i="1" s="1"/>
  <c r="Y260" i="1" a="1"/>
  <c r="Y260" i="1" s="1"/>
  <c r="Y261" i="1" a="1"/>
  <c r="Y261" i="1" s="1"/>
  <c r="Y262" i="1" a="1"/>
  <c r="Y262" i="1" s="1"/>
  <c r="Y263" i="1" a="1"/>
  <c r="Y263" i="1" s="1"/>
  <c r="Y264" i="1" a="1"/>
  <c r="Y264" i="1" s="1"/>
  <c r="Y265" i="1" a="1"/>
  <c r="Y265" i="1" s="1"/>
  <c r="Y266" i="1" a="1"/>
  <c r="Y266" i="1" s="1"/>
  <c r="Y267" i="1" a="1"/>
  <c r="Y267" i="1" s="1"/>
  <c r="Y268" i="1" a="1"/>
  <c r="Y268" i="1" s="1"/>
  <c r="Y269" i="1" a="1"/>
  <c r="Y269" i="1" s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BU255" i="1" a="1"/>
  <c r="BU255" i="1" s="1"/>
  <c r="BU256" i="1" a="1"/>
  <c r="BU256" i="1" s="1"/>
  <c r="BU257" i="1" a="1"/>
  <c r="BU257" i="1" s="1"/>
  <c r="BU258" i="1" a="1"/>
  <c r="BU258" i="1" s="1"/>
  <c r="BU259" i="1" a="1"/>
  <c r="BU259" i="1" s="1"/>
  <c r="BU260" i="1" a="1"/>
  <c r="BU260" i="1" s="1"/>
  <c r="BU261" i="1" a="1"/>
  <c r="BU261" i="1" s="1"/>
  <c r="BU262" i="1" a="1"/>
  <c r="BU262" i="1" s="1"/>
  <c r="BU263" i="1" a="1"/>
  <c r="BU263" i="1" s="1"/>
  <c r="BU264" i="1" a="1"/>
  <c r="BU264" i="1" s="1"/>
  <c r="BU265" i="1" a="1"/>
  <c r="BU265" i="1" s="1"/>
  <c r="BU266" i="1" a="1"/>
  <c r="BU266" i="1" s="1"/>
  <c r="BU267" i="1" a="1"/>
  <c r="BU267" i="1" s="1"/>
  <c r="BU268" i="1" a="1"/>
  <c r="BU268" i="1" s="1"/>
  <c r="BU269" i="1" a="1"/>
  <c r="BU269" i="1" s="1"/>
  <c r="BT255" i="1" a="1"/>
  <c r="BT255" i="1" s="1"/>
  <c r="BI255" i="1" s="1"/>
  <c r="BT256" i="1" a="1"/>
  <c r="BT256" i="1" s="1"/>
  <c r="BI256" i="1" s="1"/>
  <c r="BT257" i="1" a="1"/>
  <c r="BT257" i="1" s="1"/>
  <c r="BI257" i="1" s="1"/>
  <c r="BT258" i="1" a="1"/>
  <c r="BT258" i="1" s="1"/>
  <c r="BI258" i="1" s="1"/>
  <c r="BT259" i="1" a="1"/>
  <c r="BT259" i="1" s="1"/>
  <c r="BI259" i="1" s="1"/>
  <c r="BT260" i="1" a="1"/>
  <c r="BT260" i="1" s="1"/>
  <c r="BI260" i="1" s="1"/>
  <c r="BT261" i="1" a="1"/>
  <c r="BT261" i="1" s="1"/>
  <c r="BI261" i="1" s="1"/>
  <c r="BT262" i="1" a="1"/>
  <c r="BT262" i="1" s="1"/>
  <c r="BI262" i="1" s="1"/>
  <c r="BT263" i="1" a="1"/>
  <c r="BT263" i="1" s="1"/>
  <c r="BI263" i="1" s="1"/>
  <c r="BT264" i="1" a="1"/>
  <c r="BT264" i="1" s="1"/>
  <c r="BI264" i="1" s="1"/>
  <c r="BT265" i="1" a="1"/>
  <c r="BT265" i="1" s="1"/>
  <c r="BI265" i="1" s="1"/>
  <c r="BT266" i="1" a="1"/>
  <c r="BT266" i="1" s="1"/>
  <c r="BI266" i="1" s="1"/>
  <c r="BT267" i="1" a="1"/>
  <c r="BT267" i="1" s="1"/>
  <c r="BI267" i="1" s="1"/>
  <c r="BT268" i="1" a="1"/>
  <c r="BT268" i="1" s="1"/>
  <c r="BI268" i="1" s="1"/>
  <c r="BT269" i="1" a="1"/>
  <c r="BT269" i="1" s="1"/>
  <c r="BI269" i="1" s="1"/>
  <c r="BS255" i="1" a="1"/>
  <c r="BS255" i="1" s="1"/>
  <c r="BG255" i="1" s="1"/>
  <c r="BS256" i="1" a="1"/>
  <c r="BS256" i="1" s="1"/>
  <c r="BG256" i="1" s="1"/>
  <c r="BS257" i="1" a="1"/>
  <c r="BS257" i="1" s="1"/>
  <c r="BG257" i="1" s="1"/>
  <c r="BS258" i="1" a="1"/>
  <c r="BS258" i="1" s="1"/>
  <c r="BG258" i="1" s="1"/>
  <c r="BS259" i="1" a="1"/>
  <c r="BS259" i="1" s="1"/>
  <c r="BG259" i="1" s="1"/>
  <c r="BS260" i="1" a="1"/>
  <c r="BS260" i="1" s="1"/>
  <c r="BG260" i="1" s="1"/>
  <c r="BS261" i="1" a="1"/>
  <c r="BS261" i="1" s="1"/>
  <c r="BG261" i="1" s="1"/>
  <c r="BS262" i="1" a="1"/>
  <c r="BS262" i="1" s="1"/>
  <c r="BG262" i="1" s="1"/>
  <c r="BS263" i="1" a="1"/>
  <c r="BS263" i="1" s="1"/>
  <c r="BG263" i="1" s="1"/>
  <c r="BS264" i="1" a="1"/>
  <c r="BS264" i="1" s="1"/>
  <c r="BG264" i="1" s="1"/>
  <c r="BS265" i="1" a="1"/>
  <c r="BS265" i="1" s="1"/>
  <c r="BG265" i="1" s="1"/>
  <c r="BS266" i="1" a="1"/>
  <c r="BS266" i="1" s="1"/>
  <c r="BG266" i="1" s="1"/>
  <c r="BS267" i="1" a="1"/>
  <c r="BS267" i="1" s="1"/>
  <c r="BG267" i="1" s="1"/>
  <c r="BS268" i="1" a="1"/>
  <c r="BS268" i="1" s="1"/>
  <c r="BG268" i="1" s="1"/>
  <c r="BS269" i="1" a="1"/>
  <c r="BS269" i="1" s="1"/>
  <c r="BG269" i="1" s="1"/>
  <c r="BR255" i="1" a="1"/>
  <c r="BR255" i="1" s="1"/>
  <c r="BE255" i="1" s="1"/>
  <c r="BR256" i="1" a="1"/>
  <c r="BR256" i="1" s="1"/>
  <c r="BE256" i="1" s="1"/>
  <c r="BR257" i="1" a="1"/>
  <c r="BR257" i="1" s="1"/>
  <c r="BE257" i="1" s="1"/>
  <c r="BR258" i="1" a="1"/>
  <c r="BR258" i="1" s="1"/>
  <c r="BE258" i="1" s="1"/>
  <c r="BR259" i="1" a="1"/>
  <c r="BR259" i="1" s="1"/>
  <c r="BE259" i="1" s="1"/>
  <c r="BR260" i="1" a="1"/>
  <c r="BR260" i="1" s="1"/>
  <c r="BE260" i="1" s="1"/>
  <c r="BR261" i="1" a="1"/>
  <c r="BR261" i="1" s="1"/>
  <c r="BE261" i="1" s="1"/>
  <c r="BR262" i="1" a="1"/>
  <c r="BR262" i="1" s="1"/>
  <c r="BE262" i="1" s="1"/>
  <c r="BR263" i="1" a="1"/>
  <c r="BR263" i="1" s="1"/>
  <c r="BE263" i="1" s="1"/>
  <c r="BR264" i="1" a="1"/>
  <c r="BR264" i="1" s="1"/>
  <c r="BE264" i="1" s="1"/>
  <c r="BR265" i="1" a="1"/>
  <c r="BR265" i="1" s="1"/>
  <c r="BE265" i="1" s="1"/>
  <c r="BR266" i="1" a="1"/>
  <c r="BR266" i="1" s="1"/>
  <c r="BE266" i="1" s="1"/>
  <c r="BR267" i="1" a="1"/>
  <c r="BR267" i="1" s="1"/>
  <c r="BE267" i="1" s="1"/>
  <c r="BR268" i="1" a="1"/>
  <c r="BR268" i="1" s="1"/>
  <c r="BE268" i="1" s="1"/>
  <c r="BR269" i="1" a="1"/>
  <c r="BR269" i="1" s="1"/>
  <c r="BE269" i="1" s="1"/>
  <c r="BU242" i="1" a="1"/>
  <c r="BU242" i="1" s="1"/>
  <c r="BU243" i="1" a="1"/>
  <c r="BU243" i="1" s="1"/>
  <c r="BU244" i="1" a="1"/>
  <c r="BU244" i="1" s="1"/>
  <c r="BU245" i="1" a="1"/>
  <c r="BU245" i="1" s="1"/>
  <c r="BU246" i="1" a="1"/>
  <c r="BU246" i="1" s="1"/>
  <c r="BU247" i="1" a="1"/>
  <c r="BU247" i="1" s="1"/>
  <c r="BU248" i="1" a="1"/>
  <c r="BU248" i="1" s="1"/>
  <c r="BU249" i="1" a="1"/>
  <c r="BU249" i="1" s="1"/>
  <c r="BU250" i="1" a="1"/>
  <c r="BU250" i="1" s="1"/>
  <c r="BU251" i="1" a="1"/>
  <c r="BU251" i="1" s="1"/>
  <c r="BU252" i="1" a="1"/>
  <c r="BU252" i="1" s="1"/>
  <c r="BT242" i="1" a="1"/>
  <c r="BT242" i="1" s="1"/>
  <c r="BI242" i="1" s="1"/>
  <c r="BT243" i="1" a="1"/>
  <c r="BT243" i="1" s="1"/>
  <c r="BI243" i="1" s="1"/>
  <c r="BT244" i="1" a="1"/>
  <c r="BT244" i="1" s="1"/>
  <c r="BI244" i="1" s="1"/>
  <c r="BT245" i="1" a="1"/>
  <c r="BT245" i="1" s="1"/>
  <c r="BI245" i="1" s="1"/>
  <c r="BT246" i="1" a="1"/>
  <c r="BT246" i="1" s="1"/>
  <c r="BI246" i="1" s="1"/>
  <c r="BT247" i="1" a="1"/>
  <c r="BT247" i="1" s="1"/>
  <c r="BI247" i="1" s="1"/>
  <c r="BT248" i="1" a="1"/>
  <c r="BT248" i="1" s="1"/>
  <c r="BI248" i="1" s="1"/>
  <c r="BT249" i="1" a="1"/>
  <c r="BT249" i="1" s="1"/>
  <c r="BI249" i="1" s="1"/>
  <c r="BT250" i="1" a="1"/>
  <c r="BT250" i="1" s="1"/>
  <c r="BI250" i="1" s="1"/>
  <c r="BT251" i="1" a="1"/>
  <c r="BT251" i="1" s="1"/>
  <c r="BI251" i="1" s="1"/>
  <c r="BT252" i="1" a="1"/>
  <c r="BT252" i="1" s="1"/>
  <c r="BI252" i="1" s="1"/>
  <c r="BS242" i="1" a="1"/>
  <c r="BS242" i="1" s="1"/>
  <c r="BG242" i="1" s="1"/>
  <c r="BS243" i="1" a="1"/>
  <c r="BS243" i="1" s="1"/>
  <c r="BG243" i="1" s="1"/>
  <c r="BS244" i="1" a="1"/>
  <c r="BS244" i="1" s="1"/>
  <c r="BG244" i="1" s="1"/>
  <c r="BS245" i="1" a="1"/>
  <c r="BS245" i="1" s="1"/>
  <c r="BG245" i="1" s="1"/>
  <c r="BS246" i="1" a="1"/>
  <c r="BS246" i="1" s="1"/>
  <c r="BG246" i="1" s="1"/>
  <c r="BS247" i="1" a="1"/>
  <c r="BS247" i="1" s="1"/>
  <c r="BG247" i="1" s="1"/>
  <c r="BS248" i="1" a="1"/>
  <c r="BS248" i="1" s="1"/>
  <c r="BG248" i="1" s="1"/>
  <c r="BS249" i="1" a="1"/>
  <c r="BS249" i="1" s="1"/>
  <c r="BG249" i="1" s="1"/>
  <c r="BS250" i="1" a="1"/>
  <c r="BS250" i="1" s="1"/>
  <c r="BG250" i="1" s="1"/>
  <c r="BS251" i="1" a="1"/>
  <c r="BS251" i="1" s="1"/>
  <c r="BG251" i="1" s="1"/>
  <c r="BS252" i="1" a="1"/>
  <c r="BS252" i="1" s="1"/>
  <c r="BG252" i="1" s="1"/>
  <c r="BR242" i="1" a="1"/>
  <c r="BR242" i="1" s="1"/>
  <c r="BE242" i="1" s="1"/>
  <c r="BR243" i="1" a="1"/>
  <c r="BR243" i="1" s="1"/>
  <c r="BE243" i="1" s="1"/>
  <c r="BR244" i="1" a="1"/>
  <c r="BR244" i="1" s="1"/>
  <c r="BE244" i="1" s="1"/>
  <c r="BR245" i="1" a="1"/>
  <c r="BR245" i="1" s="1"/>
  <c r="BE245" i="1" s="1"/>
  <c r="BR246" i="1" a="1"/>
  <c r="BR246" i="1" s="1"/>
  <c r="BE246" i="1" s="1"/>
  <c r="BR247" i="1" a="1"/>
  <c r="BR247" i="1" s="1"/>
  <c r="BE247" i="1" s="1"/>
  <c r="BR248" i="1" a="1"/>
  <c r="BR248" i="1" s="1"/>
  <c r="BE248" i="1" s="1"/>
  <c r="BR249" i="1" a="1"/>
  <c r="BR249" i="1" s="1"/>
  <c r="BE249" i="1" s="1"/>
  <c r="BR250" i="1" a="1"/>
  <c r="BR250" i="1" s="1"/>
  <c r="BE250" i="1" s="1"/>
  <c r="BR251" i="1" a="1"/>
  <c r="BR251" i="1" s="1"/>
  <c r="BE251" i="1" s="1"/>
  <c r="BR252" i="1" a="1"/>
  <c r="BR252" i="1" s="1"/>
  <c r="BE252" i="1" s="1"/>
  <c r="Y242" i="1" a="1"/>
  <c r="Y242" i="1" s="1"/>
  <c r="Y243" i="1" a="1"/>
  <c r="Y243" i="1" s="1"/>
  <c r="Y244" i="1" a="1"/>
  <c r="Y244" i="1" s="1"/>
  <c r="Y245" i="1" a="1"/>
  <c r="Y245" i="1" s="1"/>
  <c r="Y246" i="1" a="1"/>
  <c r="Y246" i="1" s="1"/>
  <c r="Y247" i="1" a="1"/>
  <c r="Y247" i="1" s="1"/>
  <c r="Y248" i="1" a="1"/>
  <c r="Y248" i="1" s="1"/>
  <c r="Y249" i="1" a="1"/>
  <c r="Y249" i="1" s="1"/>
  <c r="Y250" i="1" a="1"/>
  <c r="Y250" i="1" s="1"/>
  <c r="Y251" i="1" a="1"/>
  <c r="Y251" i="1" s="1"/>
  <c r="Y252" i="1" a="1"/>
  <c r="Y252" i="1" s="1"/>
  <c r="X242" i="1"/>
  <c r="X243" i="1"/>
  <c r="X244" i="1"/>
  <c r="X245" i="1"/>
  <c r="X246" i="1"/>
  <c r="X247" i="1"/>
  <c r="X248" i="1"/>
  <c r="X249" i="1"/>
  <c r="X250" i="1"/>
  <c r="X251" i="1"/>
  <c r="X252" i="1"/>
  <c r="Y232" i="1" a="1"/>
  <c r="Y232" i="1" s="1"/>
  <c r="Y233" i="1" a="1"/>
  <c r="Y233" i="1" s="1"/>
  <c r="Y234" i="1" a="1"/>
  <c r="Y234" i="1" s="1"/>
  <c r="Y235" i="1" a="1"/>
  <c r="Y235" i="1" s="1"/>
  <c r="Y236" i="1" a="1"/>
  <c r="Y236" i="1" s="1"/>
  <c r="Y237" i="1" a="1"/>
  <c r="Y237" i="1" s="1"/>
  <c r="Y238" i="1" a="1"/>
  <c r="Y238" i="1" s="1"/>
  <c r="Y239" i="1" a="1"/>
  <c r="Y239" i="1" s="1"/>
  <c r="X232" i="1"/>
  <c r="X233" i="1"/>
  <c r="X234" i="1"/>
  <c r="X235" i="1"/>
  <c r="X236" i="1"/>
  <c r="X237" i="1"/>
  <c r="X238" i="1"/>
  <c r="X239" i="1"/>
  <c r="BU232" i="1" a="1"/>
  <c r="BU232" i="1" s="1"/>
  <c r="BU233" i="1" a="1"/>
  <c r="BU233" i="1" s="1"/>
  <c r="BU234" i="1" a="1"/>
  <c r="BU234" i="1" s="1"/>
  <c r="BU235" i="1" a="1"/>
  <c r="BU235" i="1" s="1"/>
  <c r="BU236" i="1" a="1"/>
  <c r="BU236" i="1" s="1"/>
  <c r="BU237" i="1" a="1"/>
  <c r="BU237" i="1" s="1"/>
  <c r="BU238" i="1" a="1"/>
  <c r="BU238" i="1" s="1"/>
  <c r="BU239" i="1" a="1"/>
  <c r="BU239" i="1" s="1"/>
  <c r="BT232" i="1" a="1"/>
  <c r="BT232" i="1" s="1"/>
  <c r="BI232" i="1" s="1"/>
  <c r="BT233" i="1" a="1"/>
  <c r="BT233" i="1" s="1"/>
  <c r="BI233" i="1" s="1"/>
  <c r="BT234" i="1" a="1"/>
  <c r="BT234" i="1" s="1"/>
  <c r="BI234" i="1" s="1"/>
  <c r="BT235" i="1" a="1"/>
  <c r="BT235" i="1" s="1"/>
  <c r="BI235" i="1" s="1"/>
  <c r="BT236" i="1" a="1"/>
  <c r="BT236" i="1" s="1"/>
  <c r="BI236" i="1" s="1"/>
  <c r="BT237" i="1" a="1"/>
  <c r="BT237" i="1" s="1"/>
  <c r="BI237" i="1" s="1"/>
  <c r="BT238" i="1" a="1"/>
  <c r="BT238" i="1" s="1"/>
  <c r="BI238" i="1" s="1"/>
  <c r="BT239" i="1" a="1"/>
  <c r="BT239" i="1" s="1"/>
  <c r="BI239" i="1" s="1"/>
  <c r="BS232" i="1" a="1"/>
  <c r="BS232" i="1" s="1"/>
  <c r="BG232" i="1" s="1"/>
  <c r="BS233" i="1" a="1"/>
  <c r="BS233" i="1" s="1"/>
  <c r="BG233" i="1" s="1"/>
  <c r="BS234" i="1" a="1"/>
  <c r="BS234" i="1" s="1"/>
  <c r="BG234" i="1" s="1"/>
  <c r="BS235" i="1" a="1"/>
  <c r="BS235" i="1" s="1"/>
  <c r="BG235" i="1" s="1"/>
  <c r="BS236" i="1" a="1"/>
  <c r="BS236" i="1" s="1"/>
  <c r="BG236" i="1" s="1"/>
  <c r="BS237" i="1" a="1"/>
  <c r="BS237" i="1" s="1"/>
  <c r="BG237" i="1" s="1"/>
  <c r="BS238" i="1" a="1"/>
  <c r="BS238" i="1" s="1"/>
  <c r="BG238" i="1" s="1"/>
  <c r="BS239" i="1" a="1"/>
  <c r="BS239" i="1" s="1"/>
  <c r="BG239" i="1" s="1"/>
  <c r="BR232" i="1" a="1"/>
  <c r="BR232" i="1" s="1"/>
  <c r="BE232" i="1" s="1"/>
  <c r="BR233" i="1" a="1"/>
  <c r="BR233" i="1" s="1"/>
  <c r="BE233" i="1" s="1"/>
  <c r="BR234" i="1" a="1"/>
  <c r="BR234" i="1" s="1"/>
  <c r="BE234" i="1" s="1"/>
  <c r="BR235" i="1" a="1"/>
  <c r="BR235" i="1" s="1"/>
  <c r="BE235" i="1" s="1"/>
  <c r="BR236" i="1" a="1"/>
  <c r="BR236" i="1" s="1"/>
  <c r="BE236" i="1" s="1"/>
  <c r="BR237" i="1" a="1"/>
  <c r="BR237" i="1" s="1"/>
  <c r="BE237" i="1" s="1"/>
  <c r="BR238" i="1" a="1"/>
  <c r="BR238" i="1" s="1"/>
  <c r="BE238" i="1" s="1"/>
  <c r="BR239" i="1" a="1"/>
  <c r="BR239" i="1" s="1"/>
  <c r="BE239" i="1" s="1"/>
  <c r="Y225" i="1" a="1"/>
  <c r="Y225" i="1" s="1"/>
  <c r="Y226" i="1" a="1"/>
  <c r="Y226" i="1" s="1"/>
  <c r="Y227" i="1" a="1"/>
  <c r="Y227" i="1" s="1"/>
  <c r="Y228" i="1" a="1"/>
  <c r="Y228" i="1" s="1"/>
  <c r="Y229" i="1" a="1"/>
  <c r="Y229" i="1" s="1"/>
  <c r="X225" i="1"/>
  <c r="X226" i="1"/>
  <c r="X227" i="1"/>
  <c r="X228" i="1"/>
  <c r="X229" i="1"/>
  <c r="BU225" i="1" a="1"/>
  <c r="BU225" i="1" s="1"/>
  <c r="BU226" i="1" a="1"/>
  <c r="BU226" i="1" s="1"/>
  <c r="BU227" i="1" a="1"/>
  <c r="BU227" i="1" s="1"/>
  <c r="BU228" i="1" a="1"/>
  <c r="BU228" i="1" s="1"/>
  <c r="BU229" i="1" a="1"/>
  <c r="BU229" i="1" s="1"/>
  <c r="BT225" i="1" a="1"/>
  <c r="BT225" i="1" s="1"/>
  <c r="BI225" i="1" s="1"/>
  <c r="BT226" i="1" a="1"/>
  <c r="BT226" i="1" s="1"/>
  <c r="BI226" i="1" s="1"/>
  <c r="BT227" i="1" a="1"/>
  <c r="BT227" i="1" s="1"/>
  <c r="BI227" i="1" s="1"/>
  <c r="BT228" i="1" a="1"/>
  <c r="BT228" i="1" s="1"/>
  <c r="BI228" i="1" s="1"/>
  <c r="BT229" i="1" a="1"/>
  <c r="BT229" i="1" s="1"/>
  <c r="BI229" i="1" s="1"/>
  <c r="BS225" i="1" a="1"/>
  <c r="BS225" i="1" s="1"/>
  <c r="BG225" i="1" s="1"/>
  <c r="BS226" i="1" a="1"/>
  <c r="BS226" i="1" s="1"/>
  <c r="BG226" i="1" s="1"/>
  <c r="BS227" i="1" a="1"/>
  <c r="BS227" i="1" s="1"/>
  <c r="BG227" i="1" s="1"/>
  <c r="BS228" i="1" a="1"/>
  <c r="BS228" i="1" s="1"/>
  <c r="BG228" i="1" s="1"/>
  <c r="BS229" i="1" a="1"/>
  <c r="BS229" i="1" s="1"/>
  <c r="BG229" i="1" s="1"/>
  <c r="BR225" i="1" a="1"/>
  <c r="BR225" i="1" s="1"/>
  <c r="BE225" i="1" s="1"/>
  <c r="BR226" i="1" a="1"/>
  <c r="BR226" i="1" s="1"/>
  <c r="BE226" i="1" s="1"/>
  <c r="BR227" i="1" a="1"/>
  <c r="BR227" i="1" s="1"/>
  <c r="BE227" i="1" s="1"/>
  <c r="BR228" i="1" a="1"/>
  <c r="BR228" i="1" s="1"/>
  <c r="BE228" i="1" s="1"/>
  <c r="BR229" i="1" a="1"/>
  <c r="BR229" i="1" s="1"/>
  <c r="BE229" i="1" s="1"/>
  <c r="BU213" i="1" a="1"/>
  <c r="BU213" i="1" s="1"/>
  <c r="BU214" i="1" a="1"/>
  <c r="BU214" i="1" s="1"/>
  <c r="BU215" i="1" a="1"/>
  <c r="BU215" i="1" s="1"/>
  <c r="BU216" i="1" a="1"/>
  <c r="BU216" i="1" s="1"/>
  <c r="BU217" i="1" a="1"/>
  <c r="BU217" i="1" s="1"/>
  <c r="BU218" i="1" a="1"/>
  <c r="BU218" i="1" s="1"/>
  <c r="BU219" i="1" a="1"/>
  <c r="BU219" i="1" s="1"/>
  <c r="BU220" i="1" a="1"/>
  <c r="BU220" i="1" s="1"/>
  <c r="BU221" i="1" a="1"/>
  <c r="BU221" i="1" s="1"/>
  <c r="BU222" i="1" a="1"/>
  <c r="BU222" i="1" s="1"/>
  <c r="BT213" i="1" a="1"/>
  <c r="BT213" i="1" s="1"/>
  <c r="BI213" i="1" s="1"/>
  <c r="BT214" i="1" a="1"/>
  <c r="BT214" i="1" s="1"/>
  <c r="BI214" i="1" s="1"/>
  <c r="BT215" i="1" a="1"/>
  <c r="BT215" i="1" s="1"/>
  <c r="BI215" i="1" s="1"/>
  <c r="BT216" i="1" a="1"/>
  <c r="BT216" i="1" s="1"/>
  <c r="BI216" i="1" s="1"/>
  <c r="BT217" i="1" a="1"/>
  <c r="BT217" i="1" s="1"/>
  <c r="BI217" i="1" s="1"/>
  <c r="BT218" i="1" a="1"/>
  <c r="BT218" i="1" s="1"/>
  <c r="BI218" i="1" s="1"/>
  <c r="BT219" i="1" a="1"/>
  <c r="BT219" i="1" s="1"/>
  <c r="BI219" i="1" s="1"/>
  <c r="BT220" i="1" a="1"/>
  <c r="BT220" i="1" s="1"/>
  <c r="BI220" i="1" s="1"/>
  <c r="BT221" i="1" a="1"/>
  <c r="BT221" i="1" s="1"/>
  <c r="BI221" i="1" s="1"/>
  <c r="BT222" i="1" a="1"/>
  <c r="BT222" i="1" s="1"/>
  <c r="BI222" i="1" s="1"/>
  <c r="BS213" i="1" a="1"/>
  <c r="BS213" i="1" s="1"/>
  <c r="BG213" i="1" s="1"/>
  <c r="BS214" i="1" a="1"/>
  <c r="BS214" i="1" s="1"/>
  <c r="BG214" i="1" s="1"/>
  <c r="BS215" i="1" a="1"/>
  <c r="BS215" i="1" s="1"/>
  <c r="BG215" i="1" s="1"/>
  <c r="BS216" i="1" a="1"/>
  <c r="BS216" i="1" s="1"/>
  <c r="BG216" i="1" s="1"/>
  <c r="BS217" i="1" a="1"/>
  <c r="BS217" i="1" s="1"/>
  <c r="BG217" i="1" s="1"/>
  <c r="BS218" i="1" a="1"/>
  <c r="BS218" i="1" s="1"/>
  <c r="BG218" i="1" s="1"/>
  <c r="BS219" i="1" a="1"/>
  <c r="BS219" i="1" s="1"/>
  <c r="BG219" i="1" s="1"/>
  <c r="BS220" i="1" a="1"/>
  <c r="BS220" i="1" s="1"/>
  <c r="BG220" i="1" s="1"/>
  <c r="BS221" i="1" a="1"/>
  <c r="BS221" i="1" s="1"/>
  <c r="BG221" i="1" s="1"/>
  <c r="BS222" i="1" a="1"/>
  <c r="BS222" i="1" s="1"/>
  <c r="BG222" i="1" s="1"/>
  <c r="BR213" i="1" a="1"/>
  <c r="BR213" i="1" s="1"/>
  <c r="BE213" i="1" s="1"/>
  <c r="BR214" i="1" a="1"/>
  <c r="BR214" i="1" s="1"/>
  <c r="BE214" i="1" s="1"/>
  <c r="BR215" i="1" a="1"/>
  <c r="BR215" i="1" s="1"/>
  <c r="BE215" i="1" s="1"/>
  <c r="BR216" i="1" a="1"/>
  <c r="BR216" i="1" s="1"/>
  <c r="BE216" i="1" s="1"/>
  <c r="BR217" i="1" a="1"/>
  <c r="BR217" i="1" s="1"/>
  <c r="BE217" i="1" s="1"/>
  <c r="BR218" i="1" a="1"/>
  <c r="BR218" i="1" s="1"/>
  <c r="BE218" i="1" s="1"/>
  <c r="BR219" i="1" a="1"/>
  <c r="BR219" i="1" s="1"/>
  <c r="BE219" i="1" s="1"/>
  <c r="BR220" i="1" a="1"/>
  <c r="BR220" i="1" s="1"/>
  <c r="BE220" i="1" s="1"/>
  <c r="BR221" i="1" a="1"/>
  <c r="BR221" i="1" s="1"/>
  <c r="BE221" i="1" s="1"/>
  <c r="BR222" i="1" a="1"/>
  <c r="BR222" i="1" s="1"/>
  <c r="BE222" i="1" s="1"/>
  <c r="Y213" i="1" a="1"/>
  <c r="Y213" i="1" s="1"/>
  <c r="Y214" i="1" a="1"/>
  <c r="Y214" i="1" s="1"/>
  <c r="Y215" i="1" a="1"/>
  <c r="Y215" i="1" s="1"/>
  <c r="Y216" i="1" a="1"/>
  <c r="Y216" i="1" s="1"/>
  <c r="Y217" i="1" a="1"/>
  <c r="Y217" i="1" s="1"/>
  <c r="Y218" i="1" a="1"/>
  <c r="Y218" i="1" s="1"/>
  <c r="Y219" i="1" a="1"/>
  <c r="Y219" i="1" s="1"/>
  <c r="Y220" i="1" a="1"/>
  <c r="Y220" i="1" s="1"/>
  <c r="Y221" i="1" a="1"/>
  <c r="Y221" i="1" s="1"/>
  <c r="Y222" i="1" a="1"/>
  <c r="Y222" i="1" s="1"/>
  <c r="X213" i="1"/>
  <c r="X214" i="1"/>
  <c r="X215" i="1"/>
  <c r="X216" i="1"/>
  <c r="X217" i="1"/>
  <c r="X218" i="1"/>
  <c r="X219" i="1"/>
  <c r="X220" i="1"/>
  <c r="X221" i="1"/>
  <c r="X222" i="1"/>
  <c r="BU206" i="1" a="1"/>
  <c r="BU206" i="1" s="1"/>
  <c r="BU207" i="1" a="1"/>
  <c r="BU207" i="1" s="1"/>
  <c r="BU208" i="1" a="1"/>
  <c r="BU208" i="1" s="1"/>
  <c r="BU209" i="1" a="1"/>
  <c r="BU209" i="1" s="1"/>
  <c r="BU210" i="1" a="1"/>
  <c r="BU210" i="1" s="1"/>
  <c r="BT206" i="1" a="1"/>
  <c r="BT206" i="1" s="1"/>
  <c r="BI206" i="1" s="1"/>
  <c r="BT207" i="1" a="1"/>
  <c r="BT207" i="1" s="1"/>
  <c r="BI207" i="1" s="1"/>
  <c r="BT208" i="1" a="1"/>
  <c r="BT208" i="1" s="1"/>
  <c r="BI208" i="1" s="1"/>
  <c r="BT209" i="1" a="1"/>
  <c r="BT209" i="1" s="1"/>
  <c r="BI209" i="1" s="1"/>
  <c r="BT210" i="1" a="1"/>
  <c r="BT210" i="1" s="1"/>
  <c r="BI210" i="1" s="1"/>
  <c r="BS206" i="1" a="1"/>
  <c r="BS206" i="1" s="1"/>
  <c r="BG206" i="1" s="1"/>
  <c r="BS207" i="1" a="1"/>
  <c r="BS207" i="1" s="1"/>
  <c r="BG207" i="1" s="1"/>
  <c r="BS208" i="1" a="1"/>
  <c r="BS208" i="1" s="1"/>
  <c r="BG208" i="1" s="1"/>
  <c r="BS209" i="1" a="1"/>
  <c r="BS209" i="1" s="1"/>
  <c r="BG209" i="1" s="1"/>
  <c r="BS210" i="1" a="1"/>
  <c r="BS210" i="1" s="1"/>
  <c r="BG210" i="1" s="1"/>
  <c r="BR206" i="1" a="1"/>
  <c r="BR206" i="1" s="1"/>
  <c r="BE206" i="1" s="1"/>
  <c r="BR207" i="1" a="1"/>
  <c r="BR207" i="1" s="1"/>
  <c r="BE207" i="1" s="1"/>
  <c r="BR208" i="1" a="1"/>
  <c r="BR208" i="1" s="1"/>
  <c r="BE208" i="1" s="1"/>
  <c r="BR209" i="1" a="1"/>
  <c r="BR209" i="1" s="1"/>
  <c r="BE209" i="1" s="1"/>
  <c r="BR210" i="1" a="1"/>
  <c r="BR210" i="1" s="1"/>
  <c r="BE210" i="1" s="1"/>
  <c r="Y206" i="1" a="1"/>
  <c r="Y206" i="1" s="1"/>
  <c r="Y207" i="1" a="1"/>
  <c r="Y207" i="1" s="1"/>
  <c r="Y208" i="1" a="1"/>
  <c r="Y208" i="1" s="1"/>
  <c r="Y209" i="1" a="1"/>
  <c r="Y209" i="1" s="1"/>
  <c r="Y210" i="1" a="1"/>
  <c r="Y210" i="1" s="1"/>
  <c r="X206" i="1"/>
  <c r="X207" i="1"/>
  <c r="X208" i="1"/>
  <c r="X209" i="1"/>
  <c r="X210" i="1"/>
  <c r="Y196" i="1" a="1"/>
  <c r="Y196" i="1" s="1"/>
  <c r="Y197" i="1" a="1"/>
  <c r="Y197" i="1" s="1"/>
  <c r="Y198" i="1" a="1"/>
  <c r="Y198" i="1" s="1"/>
  <c r="Y199" i="1" a="1"/>
  <c r="Y199" i="1" s="1"/>
  <c r="Y200" i="1" a="1"/>
  <c r="Y200" i="1" s="1"/>
  <c r="Y201" i="1" a="1"/>
  <c r="Y201" i="1" s="1"/>
  <c r="Y202" i="1" a="1"/>
  <c r="Y202" i="1" s="1"/>
  <c r="Y203" i="1" a="1"/>
  <c r="Y203" i="1" s="1"/>
  <c r="X196" i="1"/>
  <c r="X197" i="1"/>
  <c r="X198" i="1"/>
  <c r="X199" i="1"/>
  <c r="X200" i="1"/>
  <c r="X201" i="1"/>
  <c r="X202" i="1"/>
  <c r="X203" i="1"/>
  <c r="BU196" i="1" a="1"/>
  <c r="BU196" i="1" s="1"/>
  <c r="BU197" i="1" a="1"/>
  <c r="BU197" i="1" s="1"/>
  <c r="BU198" i="1" a="1"/>
  <c r="BU198" i="1" s="1"/>
  <c r="BU199" i="1" a="1"/>
  <c r="BU199" i="1" s="1"/>
  <c r="BU200" i="1" a="1"/>
  <c r="BU200" i="1" s="1"/>
  <c r="BU201" i="1" a="1"/>
  <c r="BU201" i="1" s="1"/>
  <c r="BU202" i="1" a="1"/>
  <c r="BU202" i="1" s="1"/>
  <c r="BU203" i="1" a="1"/>
  <c r="BU203" i="1" s="1"/>
  <c r="BT196" i="1" a="1"/>
  <c r="BT196" i="1" s="1"/>
  <c r="BI196" i="1" s="1"/>
  <c r="BT197" i="1" a="1"/>
  <c r="BT197" i="1" s="1"/>
  <c r="BI197" i="1" s="1"/>
  <c r="BT198" i="1" a="1"/>
  <c r="BT198" i="1" s="1"/>
  <c r="BI198" i="1" s="1"/>
  <c r="BT199" i="1" a="1"/>
  <c r="BT199" i="1" s="1"/>
  <c r="BI199" i="1" s="1"/>
  <c r="BT200" i="1" a="1"/>
  <c r="BT200" i="1" s="1"/>
  <c r="BI200" i="1" s="1"/>
  <c r="BT201" i="1" a="1"/>
  <c r="BT201" i="1" s="1"/>
  <c r="BI201" i="1" s="1"/>
  <c r="BT202" i="1" a="1"/>
  <c r="BT202" i="1" s="1"/>
  <c r="BI202" i="1" s="1"/>
  <c r="BT203" i="1" a="1"/>
  <c r="BT203" i="1" s="1"/>
  <c r="BI203" i="1" s="1"/>
  <c r="BS196" i="1" a="1"/>
  <c r="BS196" i="1" s="1"/>
  <c r="BG196" i="1" s="1"/>
  <c r="BS197" i="1" a="1"/>
  <c r="BS197" i="1" s="1"/>
  <c r="BG197" i="1" s="1"/>
  <c r="BS198" i="1" a="1"/>
  <c r="BS198" i="1" s="1"/>
  <c r="BG198" i="1" s="1"/>
  <c r="BS199" i="1" a="1"/>
  <c r="BS199" i="1" s="1"/>
  <c r="BG199" i="1" s="1"/>
  <c r="BS200" i="1" a="1"/>
  <c r="BS200" i="1" s="1"/>
  <c r="BG200" i="1" s="1"/>
  <c r="BS201" i="1" a="1"/>
  <c r="BS201" i="1" s="1"/>
  <c r="BG201" i="1" s="1"/>
  <c r="BS202" i="1" a="1"/>
  <c r="BS202" i="1" s="1"/>
  <c r="BG202" i="1" s="1"/>
  <c r="BS203" i="1" a="1"/>
  <c r="BS203" i="1" s="1"/>
  <c r="BG203" i="1" s="1"/>
  <c r="BR196" i="1" a="1"/>
  <c r="BR196" i="1" s="1"/>
  <c r="BE196" i="1" s="1"/>
  <c r="BR197" i="1" a="1"/>
  <c r="BR197" i="1" s="1"/>
  <c r="BE197" i="1" s="1"/>
  <c r="BR198" i="1" a="1"/>
  <c r="BR198" i="1" s="1"/>
  <c r="BE198" i="1" s="1"/>
  <c r="BR199" i="1" a="1"/>
  <c r="BR199" i="1" s="1"/>
  <c r="BE199" i="1" s="1"/>
  <c r="BR200" i="1" a="1"/>
  <c r="BR200" i="1" s="1"/>
  <c r="BE200" i="1" s="1"/>
  <c r="BR201" i="1" a="1"/>
  <c r="BR201" i="1" s="1"/>
  <c r="BE201" i="1" s="1"/>
  <c r="BR202" i="1" a="1"/>
  <c r="BR202" i="1" s="1"/>
  <c r="BE202" i="1" s="1"/>
  <c r="BR203" i="1" a="1"/>
  <c r="BR203" i="1" s="1"/>
  <c r="BE203" i="1" s="1"/>
  <c r="BU190" i="1" a="1"/>
  <c r="BU190" i="1" s="1"/>
  <c r="BU191" i="1" a="1"/>
  <c r="BU191" i="1" s="1"/>
  <c r="BU192" i="1" a="1"/>
  <c r="BU192" i="1" s="1"/>
  <c r="BU193" i="1" a="1"/>
  <c r="BU193" i="1" s="1"/>
  <c r="BT190" i="1" a="1"/>
  <c r="BT190" i="1" s="1"/>
  <c r="BI190" i="1" s="1"/>
  <c r="BT191" i="1" a="1"/>
  <c r="BT191" i="1" s="1"/>
  <c r="BI191" i="1" s="1"/>
  <c r="BT192" i="1" a="1"/>
  <c r="BT192" i="1" s="1"/>
  <c r="BI192" i="1" s="1"/>
  <c r="BT193" i="1" a="1"/>
  <c r="BT193" i="1" s="1"/>
  <c r="BI193" i="1" s="1"/>
  <c r="BS190" i="1" a="1"/>
  <c r="BS190" i="1" s="1"/>
  <c r="BG190" i="1" s="1"/>
  <c r="BS191" i="1" a="1"/>
  <c r="BS191" i="1" s="1"/>
  <c r="BG191" i="1" s="1"/>
  <c r="BS192" i="1" a="1"/>
  <c r="BS192" i="1" s="1"/>
  <c r="BG192" i="1" s="1"/>
  <c r="BS193" i="1" a="1"/>
  <c r="BS193" i="1" s="1"/>
  <c r="BG193" i="1" s="1"/>
  <c r="BR190" i="1" a="1"/>
  <c r="BR190" i="1" s="1"/>
  <c r="BE190" i="1" s="1"/>
  <c r="BR191" i="1" a="1"/>
  <c r="BR191" i="1" s="1"/>
  <c r="BE191" i="1" s="1"/>
  <c r="BR192" i="1" a="1"/>
  <c r="BR192" i="1" s="1"/>
  <c r="BE192" i="1" s="1"/>
  <c r="BR193" i="1" a="1"/>
  <c r="BR193" i="1" s="1"/>
  <c r="BE193" i="1" s="1"/>
  <c r="Y190" i="1" a="1"/>
  <c r="Y190" i="1" s="1"/>
  <c r="Y191" i="1" a="1"/>
  <c r="Y191" i="1" s="1"/>
  <c r="Y192" i="1" a="1"/>
  <c r="Y192" i="1" s="1"/>
  <c r="Y193" i="1" a="1"/>
  <c r="Y193" i="1" s="1"/>
  <c r="X190" i="1"/>
  <c r="X191" i="1"/>
  <c r="X192" i="1"/>
  <c r="X193" i="1"/>
  <c r="BU174" i="1" a="1"/>
  <c r="BU174" i="1" s="1"/>
  <c r="BU175" i="1" a="1"/>
  <c r="BU175" i="1" s="1"/>
  <c r="BU176" i="1" a="1"/>
  <c r="BU176" i="1" s="1"/>
  <c r="BU177" i="1" a="1"/>
  <c r="BU177" i="1" s="1"/>
  <c r="BU178" i="1" a="1"/>
  <c r="BU178" i="1" s="1"/>
  <c r="BU179" i="1" a="1"/>
  <c r="BU179" i="1" s="1"/>
  <c r="BU180" i="1" a="1"/>
  <c r="BU180" i="1" s="1"/>
  <c r="BU181" i="1" a="1"/>
  <c r="BU181" i="1" s="1"/>
  <c r="BU182" i="1" a="1"/>
  <c r="BU182" i="1" s="1"/>
  <c r="BU183" i="1" a="1"/>
  <c r="BU183" i="1" s="1"/>
  <c r="BU184" i="1" a="1"/>
  <c r="BU184" i="1" s="1"/>
  <c r="BU185" i="1" a="1"/>
  <c r="BU185" i="1" s="1"/>
  <c r="BU186" i="1" a="1"/>
  <c r="BU186" i="1" s="1"/>
  <c r="BU187" i="1" a="1"/>
  <c r="BU187" i="1" s="1"/>
  <c r="BT174" i="1" a="1"/>
  <c r="BT174" i="1" s="1"/>
  <c r="BI174" i="1" s="1"/>
  <c r="BT175" i="1" a="1"/>
  <c r="BT175" i="1" s="1"/>
  <c r="BI175" i="1" s="1"/>
  <c r="BT176" i="1" a="1"/>
  <c r="BT176" i="1" s="1"/>
  <c r="BI176" i="1" s="1"/>
  <c r="BT177" i="1" a="1"/>
  <c r="BT177" i="1" s="1"/>
  <c r="BI177" i="1" s="1"/>
  <c r="BT178" i="1" a="1"/>
  <c r="BT178" i="1" s="1"/>
  <c r="BI178" i="1" s="1"/>
  <c r="BT179" i="1" a="1"/>
  <c r="BT179" i="1" s="1"/>
  <c r="BI179" i="1" s="1"/>
  <c r="BT180" i="1" a="1"/>
  <c r="BT180" i="1" s="1"/>
  <c r="BI180" i="1" s="1"/>
  <c r="BT181" i="1" a="1"/>
  <c r="BT181" i="1" s="1"/>
  <c r="BI181" i="1" s="1"/>
  <c r="BT182" i="1" a="1"/>
  <c r="BT182" i="1" s="1"/>
  <c r="BI182" i="1" s="1"/>
  <c r="BT183" i="1" a="1"/>
  <c r="BT183" i="1" s="1"/>
  <c r="BI183" i="1" s="1"/>
  <c r="BT184" i="1" a="1"/>
  <c r="BT184" i="1" s="1"/>
  <c r="BI184" i="1" s="1"/>
  <c r="BT185" i="1" a="1"/>
  <c r="BT185" i="1" s="1"/>
  <c r="BI185" i="1" s="1"/>
  <c r="BT186" i="1" a="1"/>
  <c r="BT186" i="1" s="1"/>
  <c r="BI186" i="1" s="1"/>
  <c r="BT187" i="1" a="1"/>
  <c r="BT187" i="1" s="1"/>
  <c r="BI187" i="1" s="1"/>
  <c r="BS174" i="1" a="1"/>
  <c r="BS174" i="1" s="1"/>
  <c r="BG174" i="1" s="1"/>
  <c r="BS175" i="1" a="1"/>
  <c r="BS175" i="1" s="1"/>
  <c r="BG175" i="1" s="1"/>
  <c r="BS176" i="1" a="1"/>
  <c r="BS176" i="1" s="1"/>
  <c r="BG176" i="1" s="1"/>
  <c r="BS177" i="1" a="1"/>
  <c r="BS177" i="1" s="1"/>
  <c r="BG177" i="1" s="1"/>
  <c r="BS178" i="1" a="1"/>
  <c r="BS178" i="1" s="1"/>
  <c r="BG178" i="1" s="1"/>
  <c r="BS179" i="1" a="1"/>
  <c r="BS179" i="1" s="1"/>
  <c r="BG179" i="1" s="1"/>
  <c r="BS180" i="1" a="1"/>
  <c r="BS180" i="1" s="1"/>
  <c r="BG180" i="1" s="1"/>
  <c r="BS181" i="1" a="1"/>
  <c r="BS181" i="1" s="1"/>
  <c r="BG181" i="1" s="1"/>
  <c r="BS182" i="1" a="1"/>
  <c r="BS182" i="1" s="1"/>
  <c r="BG182" i="1" s="1"/>
  <c r="BS183" i="1" a="1"/>
  <c r="BS183" i="1" s="1"/>
  <c r="BG183" i="1" s="1"/>
  <c r="BS184" i="1" a="1"/>
  <c r="BS184" i="1" s="1"/>
  <c r="BG184" i="1" s="1"/>
  <c r="BS185" i="1" a="1"/>
  <c r="BS185" i="1" s="1"/>
  <c r="BG185" i="1" s="1"/>
  <c r="BS186" i="1" a="1"/>
  <c r="BS186" i="1" s="1"/>
  <c r="BG186" i="1" s="1"/>
  <c r="BS187" i="1" a="1"/>
  <c r="BS187" i="1" s="1"/>
  <c r="BG187" i="1" s="1"/>
  <c r="BR174" i="1" a="1"/>
  <c r="BR174" i="1" s="1"/>
  <c r="BE174" i="1" s="1"/>
  <c r="BR175" i="1" a="1"/>
  <c r="BR175" i="1" s="1"/>
  <c r="BE175" i="1" s="1"/>
  <c r="BR176" i="1" a="1"/>
  <c r="BR176" i="1" s="1"/>
  <c r="BE176" i="1" s="1"/>
  <c r="BR177" i="1" a="1"/>
  <c r="BR177" i="1" s="1"/>
  <c r="BE177" i="1" s="1"/>
  <c r="BR178" i="1" a="1"/>
  <c r="BR178" i="1" s="1"/>
  <c r="BE178" i="1" s="1"/>
  <c r="BR179" i="1" a="1"/>
  <c r="BR179" i="1" s="1"/>
  <c r="BE179" i="1" s="1"/>
  <c r="BR180" i="1" a="1"/>
  <c r="BR180" i="1" s="1"/>
  <c r="BE180" i="1" s="1"/>
  <c r="BR181" i="1" a="1"/>
  <c r="BR181" i="1" s="1"/>
  <c r="BE181" i="1" s="1"/>
  <c r="BR182" i="1" a="1"/>
  <c r="BR182" i="1" s="1"/>
  <c r="BE182" i="1" s="1"/>
  <c r="BR183" i="1" a="1"/>
  <c r="BR183" i="1" s="1"/>
  <c r="BE183" i="1" s="1"/>
  <c r="BR184" i="1" a="1"/>
  <c r="BR184" i="1" s="1"/>
  <c r="BE184" i="1" s="1"/>
  <c r="BR185" i="1" a="1"/>
  <c r="BR185" i="1" s="1"/>
  <c r="BE185" i="1" s="1"/>
  <c r="BR186" i="1" a="1"/>
  <c r="BR186" i="1" s="1"/>
  <c r="BE186" i="1" s="1"/>
  <c r="BR187" i="1" a="1"/>
  <c r="BR187" i="1" s="1"/>
  <c r="BE187" i="1" s="1"/>
  <c r="Y174" i="1" a="1"/>
  <c r="Y174" i="1" s="1"/>
  <c r="Y175" i="1" a="1"/>
  <c r="Y175" i="1" s="1"/>
  <c r="Y176" i="1" a="1"/>
  <c r="Y176" i="1" s="1"/>
  <c r="Y177" i="1" a="1"/>
  <c r="Y177" i="1" s="1"/>
  <c r="Y178" i="1" a="1"/>
  <c r="Y178" i="1" s="1"/>
  <c r="Y179" i="1" a="1"/>
  <c r="Y179" i="1" s="1"/>
  <c r="Y180" i="1" a="1"/>
  <c r="Y180" i="1" s="1"/>
  <c r="Y181" i="1" a="1"/>
  <c r="Y181" i="1" s="1"/>
  <c r="Y182" i="1" a="1"/>
  <c r="Y182" i="1" s="1"/>
  <c r="Y183" i="1" a="1"/>
  <c r="Y183" i="1" s="1"/>
  <c r="Y184" i="1" a="1"/>
  <c r="Y184" i="1" s="1"/>
  <c r="Y185" i="1" a="1"/>
  <c r="Y185" i="1" s="1"/>
  <c r="Y186" i="1" a="1"/>
  <c r="Y186" i="1" s="1"/>
  <c r="Y187" i="1" a="1"/>
  <c r="Y187" i="1" s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BU166" i="1" a="1"/>
  <c r="BU166" i="1" s="1"/>
  <c r="BU167" i="1" a="1"/>
  <c r="BU167" i="1" s="1"/>
  <c r="BU168" i="1" a="1"/>
  <c r="BU168" i="1" s="1"/>
  <c r="BU169" i="1" a="1"/>
  <c r="BU169" i="1" s="1"/>
  <c r="BU170" i="1" a="1"/>
  <c r="BU170" i="1" s="1"/>
  <c r="BU171" i="1" a="1"/>
  <c r="BU171" i="1" s="1"/>
  <c r="BT166" i="1" a="1"/>
  <c r="BT166" i="1" s="1"/>
  <c r="BI166" i="1" s="1"/>
  <c r="BT167" i="1" a="1"/>
  <c r="BT167" i="1" s="1"/>
  <c r="BI167" i="1" s="1"/>
  <c r="BT168" i="1" a="1"/>
  <c r="BT168" i="1" s="1"/>
  <c r="BI168" i="1" s="1"/>
  <c r="BT169" i="1" a="1"/>
  <c r="BT169" i="1" s="1"/>
  <c r="BI169" i="1" s="1"/>
  <c r="BT170" i="1" a="1"/>
  <c r="BT170" i="1" s="1"/>
  <c r="BI170" i="1" s="1"/>
  <c r="BT171" i="1" a="1"/>
  <c r="BT171" i="1" s="1"/>
  <c r="BI171" i="1" s="1"/>
  <c r="BS166" i="1" a="1"/>
  <c r="BS166" i="1" s="1"/>
  <c r="BG166" i="1" s="1"/>
  <c r="BS167" i="1" a="1"/>
  <c r="BS167" i="1" s="1"/>
  <c r="BG167" i="1" s="1"/>
  <c r="BS168" i="1" a="1"/>
  <c r="BS168" i="1" s="1"/>
  <c r="BG168" i="1" s="1"/>
  <c r="BS169" i="1" a="1"/>
  <c r="BS169" i="1" s="1"/>
  <c r="BG169" i="1" s="1"/>
  <c r="BS170" i="1" a="1"/>
  <c r="BS170" i="1" s="1"/>
  <c r="BG170" i="1" s="1"/>
  <c r="BS171" i="1" a="1"/>
  <c r="BS171" i="1" s="1"/>
  <c r="BG171" i="1" s="1"/>
  <c r="BR166" i="1" a="1"/>
  <c r="BR166" i="1" s="1"/>
  <c r="BE166" i="1" s="1"/>
  <c r="BR167" i="1" a="1"/>
  <c r="BR167" i="1" s="1"/>
  <c r="BE167" i="1" s="1"/>
  <c r="BR168" i="1" a="1"/>
  <c r="BR168" i="1" s="1"/>
  <c r="BE168" i="1" s="1"/>
  <c r="BR169" i="1" a="1"/>
  <c r="BR169" i="1" s="1"/>
  <c r="BE169" i="1" s="1"/>
  <c r="BR170" i="1" a="1"/>
  <c r="BR170" i="1" s="1"/>
  <c r="BE170" i="1" s="1"/>
  <c r="BR171" i="1" a="1"/>
  <c r="BR171" i="1" s="1"/>
  <c r="BE171" i="1" s="1"/>
  <c r="Y166" i="1" a="1"/>
  <c r="Y166" i="1" s="1"/>
  <c r="Y167" i="1" a="1"/>
  <c r="Y167" i="1" s="1"/>
  <c r="Y168" i="1" a="1"/>
  <c r="Y168" i="1" s="1"/>
  <c r="Y169" i="1" a="1"/>
  <c r="Y169" i="1" s="1"/>
  <c r="Y170" i="1" a="1"/>
  <c r="Y170" i="1" s="1"/>
  <c r="Y171" i="1" a="1"/>
  <c r="Y171" i="1" s="1"/>
  <c r="X166" i="1"/>
  <c r="X167" i="1"/>
  <c r="X168" i="1"/>
  <c r="X169" i="1"/>
  <c r="X170" i="1"/>
  <c r="X171" i="1"/>
  <c r="BU156" i="1" a="1"/>
  <c r="BU156" i="1" s="1"/>
  <c r="BU157" i="1" a="1"/>
  <c r="BU157" i="1" s="1"/>
  <c r="BU158" i="1" a="1"/>
  <c r="BU158" i="1" s="1"/>
  <c r="BU159" i="1" a="1"/>
  <c r="BU159" i="1" s="1"/>
  <c r="BU160" i="1" a="1"/>
  <c r="BU160" i="1" s="1"/>
  <c r="BU161" i="1" a="1"/>
  <c r="BU161" i="1" s="1"/>
  <c r="BU162" i="1" a="1"/>
  <c r="BU162" i="1" s="1"/>
  <c r="BU163" i="1" a="1"/>
  <c r="BU163" i="1" s="1"/>
  <c r="BT156" i="1" a="1"/>
  <c r="BT156" i="1" s="1"/>
  <c r="BI156" i="1" s="1"/>
  <c r="BT157" i="1" a="1"/>
  <c r="BT157" i="1" s="1"/>
  <c r="BI157" i="1" s="1"/>
  <c r="BT158" i="1" a="1"/>
  <c r="BT158" i="1" s="1"/>
  <c r="BI158" i="1" s="1"/>
  <c r="BT159" i="1" a="1"/>
  <c r="BT159" i="1" s="1"/>
  <c r="BI159" i="1" s="1"/>
  <c r="BT160" i="1" a="1"/>
  <c r="BT160" i="1" s="1"/>
  <c r="BI160" i="1" s="1"/>
  <c r="BT161" i="1" a="1"/>
  <c r="BT161" i="1" s="1"/>
  <c r="BI161" i="1" s="1"/>
  <c r="BT162" i="1" a="1"/>
  <c r="BT162" i="1" s="1"/>
  <c r="BI162" i="1" s="1"/>
  <c r="BT163" i="1" a="1"/>
  <c r="BT163" i="1" s="1"/>
  <c r="BI163" i="1" s="1"/>
  <c r="BS156" i="1" a="1"/>
  <c r="BS156" i="1" s="1"/>
  <c r="BG156" i="1" s="1"/>
  <c r="BS157" i="1" a="1"/>
  <c r="BS157" i="1" s="1"/>
  <c r="BG157" i="1" s="1"/>
  <c r="BS158" i="1" a="1"/>
  <c r="BS158" i="1" s="1"/>
  <c r="BG158" i="1" s="1"/>
  <c r="BS159" i="1" a="1"/>
  <c r="BS159" i="1" s="1"/>
  <c r="BG159" i="1" s="1"/>
  <c r="BS160" i="1" a="1"/>
  <c r="BS160" i="1" s="1"/>
  <c r="BG160" i="1" s="1"/>
  <c r="BS161" i="1" a="1"/>
  <c r="BS161" i="1" s="1"/>
  <c r="BG161" i="1" s="1"/>
  <c r="BS162" i="1" a="1"/>
  <c r="BS162" i="1" s="1"/>
  <c r="BG162" i="1" s="1"/>
  <c r="BS163" i="1" a="1"/>
  <c r="BS163" i="1" s="1"/>
  <c r="BG163" i="1" s="1"/>
  <c r="BR156" i="1" a="1"/>
  <c r="BR156" i="1" s="1"/>
  <c r="BE156" i="1" s="1"/>
  <c r="BR157" i="1" a="1"/>
  <c r="BR157" i="1" s="1"/>
  <c r="BE157" i="1" s="1"/>
  <c r="BR158" i="1" a="1"/>
  <c r="BR158" i="1" s="1"/>
  <c r="BE158" i="1" s="1"/>
  <c r="BR159" i="1" a="1"/>
  <c r="BR159" i="1" s="1"/>
  <c r="BE159" i="1" s="1"/>
  <c r="BR160" i="1" a="1"/>
  <c r="BR160" i="1" s="1"/>
  <c r="BE160" i="1" s="1"/>
  <c r="BR161" i="1" a="1"/>
  <c r="BR161" i="1" s="1"/>
  <c r="BE161" i="1" s="1"/>
  <c r="BR162" i="1" a="1"/>
  <c r="BR162" i="1" s="1"/>
  <c r="BE162" i="1" s="1"/>
  <c r="BR163" i="1" a="1"/>
  <c r="BR163" i="1" s="1"/>
  <c r="BE163" i="1" s="1"/>
  <c r="Y156" i="1" a="1"/>
  <c r="Y156" i="1" s="1"/>
  <c r="Y157" i="1" a="1"/>
  <c r="Y157" i="1" s="1"/>
  <c r="Y158" i="1" a="1"/>
  <c r="Y158" i="1" s="1"/>
  <c r="Y159" i="1" a="1"/>
  <c r="Y159" i="1" s="1"/>
  <c r="Y160" i="1" a="1"/>
  <c r="Y160" i="1" s="1"/>
  <c r="Y161" i="1" a="1"/>
  <c r="Y161" i="1" s="1"/>
  <c r="Y162" i="1" a="1"/>
  <c r="Y162" i="1" s="1"/>
  <c r="Y163" i="1" a="1"/>
  <c r="Y163" i="1" s="1"/>
  <c r="X156" i="1"/>
  <c r="X157" i="1"/>
  <c r="X158" i="1"/>
  <c r="X159" i="1"/>
  <c r="X160" i="1"/>
  <c r="X161" i="1"/>
  <c r="X162" i="1"/>
  <c r="X163" i="1"/>
  <c r="Y148" i="1" a="1"/>
  <c r="Y148" i="1" s="1"/>
  <c r="Y149" i="1" a="1"/>
  <c r="Y149" i="1" s="1"/>
  <c r="Y150" i="1" a="1"/>
  <c r="Y150" i="1" s="1"/>
  <c r="Y151" i="1" a="1"/>
  <c r="Y151" i="1" s="1"/>
  <c r="Y152" i="1" a="1"/>
  <c r="Y152" i="1" s="1"/>
  <c r="Y153" i="1" a="1"/>
  <c r="Y153" i="1" s="1"/>
  <c r="X148" i="1"/>
  <c r="X149" i="1"/>
  <c r="X150" i="1"/>
  <c r="X151" i="1"/>
  <c r="X152" i="1"/>
  <c r="X153" i="1"/>
  <c r="BU148" i="1" a="1"/>
  <c r="BU148" i="1" s="1"/>
  <c r="BU149" i="1" a="1"/>
  <c r="BU149" i="1" s="1"/>
  <c r="BU150" i="1" a="1"/>
  <c r="BU150" i="1" s="1"/>
  <c r="BU151" i="1" a="1"/>
  <c r="BU151" i="1" s="1"/>
  <c r="BU152" i="1" a="1"/>
  <c r="BU152" i="1" s="1"/>
  <c r="BU153" i="1" a="1"/>
  <c r="BU153" i="1" s="1"/>
  <c r="BT148" i="1" a="1"/>
  <c r="BT148" i="1" s="1"/>
  <c r="BI148" i="1" s="1"/>
  <c r="BT149" i="1" a="1"/>
  <c r="BT149" i="1" s="1"/>
  <c r="BI149" i="1" s="1"/>
  <c r="BT150" i="1" a="1"/>
  <c r="BT150" i="1" s="1"/>
  <c r="BI150" i="1" s="1"/>
  <c r="BT151" i="1" a="1"/>
  <c r="BT151" i="1" s="1"/>
  <c r="BI151" i="1" s="1"/>
  <c r="BT152" i="1" a="1"/>
  <c r="BT152" i="1" s="1"/>
  <c r="BI152" i="1" s="1"/>
  <c r="BT153" i="1" a="1"/>
  <c r="BT153" i="1" s="1"/>
  <c r="BI153" i="1" s="1"/>
  <c r="BS148" i="1" a="1"/>
  <c r="BS148" i="1" s="1"/>
  <c r="BG148" i="1" s="1"/>
  <c r="BS149" i="1" a="1"/>
  <c r="BS149" i="1" s="1"/>
  <c r="BG149" i="1" s="1"/>
  <c r="BS150" i="1" a="1"/>
  <c r="BS150" i="1" s="1"/>
  <c r="BG150" i="1" s="1"/>
  <c r="BS151" i="1" a="1"/>
  <c r="BS151" i="1" s="1"/>
  <c r="BG151" i="1" s="1"/>
  <c r="BS152" i="1" a="1"/>
  <c r="BS152" i="1" s="1"/>
  <c r="BG152" i="1" s="1"/>
  <c r="BS153" i="1" a="1"/>
  <c r="BS153" i="1" s="1"/>
  <c r="BG153" i="1" s="1"/>
  <c r="BR148" i="1" a="1"/>
  <c r="BR148" i="1" s="1"/>
  <c r="BE148" i="1" s="1"/>
  <c r="BR149" i="1" a="1"/>
  <c r="BR149" i="1" s="1"/>
  <c r="BE149" i="1" s="1"/>
  <c r="BR150" i="1" a="1"/>
  <c r="BR150" i="1" s="1"/>
  <c r="BE150" i="1" s="1"/>
  <c r="BR151" i="1" a="1"/>
  <c r="BR151" i="1" s="1"/>
  <c r="BE151" i="1" s="1"/>
  <c r="BR152" i="1" a="1"/>
  <c r="BR152" i="1" s="1"/>
  <c r="BE152" i="1" s="1"/>
  <c r="BR153" i="1" a="1"/>
  <c r="BR153" i="1" s="1"/>
  <c r="BE153" i="1" s="1"/>
  <c r="Y144" i="1" a="1"/>
  <c r="Y144" i="1" s="1"/>
  <c r="Y145" i="1" a="1"/>
  <c r="Y145" i="1" s="1"/>
  <c r="X144" i="1"/>
  <c r="X145" i="1"/>
  <c r="BU144" i="1" a="1"/>
  <c r="BU144" i="1" s="1"/>
  <c r="BU145" i="1" a="1"/>
  <c r="BU145" i="1" s="1"/>
  <c r="BT144" i="1" a="1"/>
  <c r="BT144" i="1" s="1"/>
  <c r="BI144" i="1" s="1"/>
  <c r="BT145" i="1" a="1"/>
  <c r="BT145" i="1" s="1"/>
  <c r="BI145" i="1" s="1"/>
  <c r="BS144" i="1" a="1"/>
  <c r="BS144" i="1" s="1"/>
  <c r="BG144" i="1" s="1"/>
  <c r="BS145" i="1" a="1"/>
  <c r="BS145" i="1" s="1"/>
  <c r="BG145" i="1" s="1"/>
  <c r="BR144" i="1" a="1"/>
  <c r="BR144" i="1" s="1"/>
  <c r="BE144" i="1" s="1"/>
  <c r="BR145" i="1" a="1"/>
  <c r="BR145" i="1" s="1"/>
  <c r="BE145" i="1" s="1"/>
  <c r="BU124" i="1" a="1"/>
  <c r="BU124" i="1" s="1"/>
  <c r="BU125" i="1" a="1"/>
  <c r="BU125" i="1" s="1"/>
  <c r="BU126" i="1" a="1"/>
  <c r="BU126" i="1" s="1"/>
  <c r="BU127" i="1" a="1"/>
  <c r="BU127" i="1" s="1"/>
  <c r="BU128" i="1" a="1"/>
  <c r="BU128" i="1" s="1"/>
  <c r="BU129" i="1" a="1"/>
  <c r="BU129" i="1" s="1"/>
  <c r="BU130" i="1" a="1"/>
  <c r="BU130" i="1" s="1"/>
  <c r="BU131" i="1" a="1"/>
  <c r="BU131" i="1" s="1"/>
  <c r="BU132" i="1" a="1"/>
  <c r="BU132" i="1" s="1"/>
  <c r="BU133" i="1" a="1"/>
  <c r="BU133" i="1" s="1"/>
  <c r="BU134" i="1" a="1"/>
  <c r="BU134" i="1" s="1"/>
  <c r="BU135" i="1" a="1"/>
  <c r="BU135" i="1" s="1"/>
  <c r="BU136" i="1" a="1"/>
  <c r="BU136" i="1" s="1"/>
  <c r="BU137" i="1" a="1"/>
  <c r="BU137" i="1" s="1"/>
  <c r="BU138" i="1" a="1"/>
  <c r="BU138" i="1" s="1"/>
  <c r="BU139" i="1" a="1"/>
  <c r="BU139" i="1" s="1"/>
  <c r="BU140" i="1" a="1"/>
  <c r="BU140" i="1" s="1"/>
  <c r="BU141" i="1" a="1"/>
  <c r="BU141" i="1" s="1"/>
  <c r="BT124" i="1" a="1"/>
  <c r="BT124" i="1" s="1"/>
  <c r="BI124" i="1" s="1"/>
  <c r="BT125" i="1" a="1"/>
  <c r="BT125" i="1" s="1"/>
  <c r="BI125" i="1" s="1"/>
  <c r="BT126" i="1" a="1"/>
  <c r="BT126" i="1" s="1"/>
  <c r="BI126" i="1" s="1"/>
  <c r="BT127" i="1" a="1"/>
  <c r="BT127" i="1" s="1"/>
  <c r="BI127" i="1" s="1"/>
  <c r="BT128" i="1" a="1"/>
  <c r="BT128" i="1" s="1"/>
  <c r="BI128" i="1" s="1"/>
  <c r="BT129" i="1" a="1"/>
  <c r="BT129" i="1" s="1"/>
  <c r="BI129" i="1" s="1"/>
  <c r="BT130" i="1" a="1"/>
  <c r="BT130" i="1" s="1"/>
  <c r="BI130" i="1" s="1"/>
  <c r="BT131" i="1" a="1"/>
  <c r="BT131" i="1" s="1"/>
  <c r="BI131" i="1" s="1"/>
  <c r="BT132" i="1" a="1"/>
  <c r="BT132" i="1" s="1"/>
  <c r="BI132" i="1" s="1"/>
  <c r="BT133" i="1" a="1"/>
  <c r="BT133" i="1" s="1"/>
  <c r="BI133" i="1" s="1"/>
  <c r="BT134" i="1" a="1"/>
  <c r="BT134" i="1" s="1"/>
  <c r="BI134" i="1" s="1"/>
  <c r="BT135" i="1" a="1"/>
  <c r="BT135" i="1" s="1"/>
  <c r="BI135" i="1" s="1"/>
  <c r="BT136" i="1" a="1"/>
  <c r="BT136" i="1" s="1"/>
  <c r="BI136" i="1" s="1"/>
  <c r="BT137" i="1" a="1"/>
  <c r="BT137" i="1" s="1"/>
  <c r="BI137" i="1" s="1"/>
  <c r="BT138" i="1" a="1"/>
  <c r="BT138" i="1" s="1"/>
  <c r="BI138" i="1" s="1"/>
  <c r="BT139" i="1" a="1"/>
  <c r="BT139" i="1" s="1"/>
  <c r="BI139" i="1" s="1"/>
  <c r="BT140" i="1" a="1"/>
  <c r="BT140" i="1" s="1"/>
  <c r="BI140" i="1" s="1"/>
  <c r="BT141" i="1" a="1"/>
  <c r="BT141" i="1" s="1"/>
  <c r="BI141" i="1" s="1"/>
  <c r="BS124" i="1" a="1"/>
  <c r="BS124" i="1" s="1"/>
  <c r="BG124" i="1" s="1"/>
  <c r="BS125" i="1" a="1"/>
  <c r="BS125" i="1" s="1"/>
  <c r="BG125" i="1" s="1"/>
  <c r="BS126" i="1" a="1"/>
  <c r="BS126" i="1" s="1"/>
  <c r="BG126" i="1" s="1"/>
  <c r="BS127" i="1" a="1"/>
  <c r="BS127" i="1" s="1"/>
  <c r="BG127" i="1" s="1"/>
  <c r="BS128" i="1" a="1"/>
  <c r="BS128" i="1" s="1"/>
  <c r="BG128" i="1" s="1"/>
  <c r="BS129" i="1" a="1"/>
  <c r="BS129" i="1" s="1"/>
  <c r="BG129" i="1" s="1"/>
  <c r="BS130" i="1" a="1"/>
  <c r="BS130" i="1" s="1"/>
  <c r="BG130" i="1" s="1"/>
  <c r="BS131" i="1" a="1"/>
  <c r="BS131" i="1" s="1"/>
  <c r="BG131" i="1" s="1"/>
  <c r="BS132" i="1" a="1"/>
  <c r="BS132" i="1" s="1"/>
  <c r="BG132" i="1" s="1"/>
  <c r="BS133" i="1" a="1"/>
  <c r="BS133" i="1" s="1"/>
  <c r="BG133" i="1" s="1"/>
  <c r="BS134" i="1" a="1"/>
  <c r="BS134" i="1" s="1"/>
  <c r="BG134" i="1" s="1"/>
  <c r="BS135" i="1" a="1"/>
  <c r="BS135" i="1" s="1"/>
  <c r="BG135" i="1" s="1"/>
  <c r="BS136" i="1" a="1"/>
  <c r="BS136" i="1" s="1"/>
  <c r="BG136" i="1" s="1"/>
  <c r="BS137" i="1" a="1"/>
  <c r="BS137" i="1" s="1"/>
  <c r="BG137" i="1" s="1"/>
  <c r="BS138" i="1" a="1"/>
  <c r="BS138" i="1" s="1"/>
  <c r="BG138" i="1" s="1"/>
  <c r="BS139" i="1" a="1"/>
  <c r="BS139" i="1" s="1"/>
  <c r="BG139" i="1" s="1"/>
  <c r="BS140" i="1" a="1"/>
  <c r="BS140" i="1" s="1"/>
  <c r="BG140" i="1" s="1"/>
  <c r="BS141" i="1" a="1"/>
  <c r="BS141" i="1" s="1"/>
  <c r="BG141" i="1" s="1"/>
  <c r="BR124" i="1" a="1"/>
  <c r="BR124" i="1" s="1"/>
  <c r="BR125" i="1" a="1"/>
  <c r="BR125" i="1" s="1"/>
  <c r="BR126" i="1" a="1"/>
  <c r="BR126" i="1" s="1"/>
  <c r="BR127" i="1" a="1"/>
  <c r="BR127" i="1" s="1"/>
  <c r="BR128" i="1" a="1"/>
  <c r="BR128" i="1" s="1"/>
  <c r="BR129" i="1" a="1"/>
  <c r="BR129" i="1" s="1"/>
  <c r="BR130" i="1" a="1"/>
  <c r="BR130" i="1" s="1"/>
  <c r="BR131" i="1" a="1"/>
  <c r="BR131" i="1" s="1"/>
  <c r="BR132" i="1" a="1"/>
  <c r="BR132" i="1" s="1"/>
  <c r="BR133" i="1" a="1"/>
  <c r="BR133" i="1" s="1"/>
  <c r="BR134" i="1" a="1"/>
  <c r="BR134" i="1" s="1"/>
  <c r="BR135" i="1" a="1"/>
  <c r="BR135" i="1" s="1"/>
  <c r="BE135" i="1" s="1"/>
  <c r="BR136" i="1" a="1"/>
  <c r="BR136" i="1" s="1"/>
  <c r="BR137" i="1" a="1"/>
  <c r="BR137" i="1" s="1"/>
  <c r="BR138" i="1" a="1"/>
  <c r="BR138" i="1" s="1"/>
  <c r="BR139" i="1" a="1"/>
  <c r="BR139" i="1" s="1"/>
  <c r="BR140" i="1" a="1"/>
  <c r="BR140" i="1" s="1"/>
  <c r="BR141" i="1" a="1"/>
  <c r="BR141" i="1" s="1"/>
  <c r="BU96" i="1" a="1"/>
  <c r="BU96" i="1" s="1"/>
  <c r="BU97" i="1" a="1"/>
  <c r="BU97" i="1" s="1"/>
  <c r="BU98" i="1" a="1"/>
  <c r="BU98" i="1" s="1"/>
  <c r="BU99" i="1" a="1"/>
  <c r="BU99" i="1" s="1"/>
  <c r="BU100" i="1" a="1"/>
  <c r="BU100" i="1" s="1"/>
  <c r="BU101" i="1" a="1"/>
  <c r="BU101" i="1" s="1"/>
  <c r="BU102" i="1" a="1"/>
  <c r="BU102" i="1" s="1"/>
  <c r="BU103" i="1" a="1"/>
  <c r="BU103" i="1" s="1"/>
  <c r="BU104" i="1" a="1"/>
  <c r="BU104" i="1" s="1"/>
  <c r="BU105" i="1" a="1"/>
  <c r="BU105" i="1" s="1"/>
  <c r="BU106" i="1" a="1"/>
  <c r="BU106" i="1" s="1"/>
  <c r="BU107" i="1" a="1"/>
  <c r="BU107" i="1" s="1"/>
  <c r="BU108" i="1" a="1"/>
  <c r="BU108" i="1" s="1"/>
  <c r="BU109" i="1" a="1"/>
  <c r="BU109" i="1" s="1"/>
  <c r="BU110" i="1" a="1"/>
  <c r="BU110" i="1" s="1"/>
  <c r="BU111" i="1" a="1"/>
  <c r="BU111" i="1" s="1"/>
  <c r="BU112" i="1" a="1"/>
  <c r="BU112" i="1" s="1"/>
  <c r="BU113" i="1" a="1"/>
  <c r="BU113" i="1" s="1"/>
  <c r="BU114" i="1" a="1"/>
  <c r="BU114" i="1" s="1"/>
  <c r="BU115" i="1" a="1"/>
  <c r="BU115" i="1" s="1"/>
  <c r="BU116" i="1" a="1"/>
  <c r="BU116" i="1" s="1"/>
  <c r="BU117" i="1" a="1"/>
  <c r="BU117" i="1" s="1"/>
  <c r="BU118" i="1" a="1"/>
  <c r="BU118" i="1" s="1"/>
  <c r="BU119" i="1" a="1"/>
  <c r="BU119" i="1" s="1"/>
  <c r="BU120" i="1" a="1"/>
  <c r="BU120" i="1" s="1"/>
  <c r="BU121" i="1" a="1"/>
  <c r="BU121" i="1" s="1"/>
  <c r="BT96" i="1" a="1"/>
  <c r="BT96" i="1" s="1"/>
  <c r="BI96" i="1" s="1"/>
  <c r="BT97" i="1" a="1"/>
  <c r="BT97" i="1" s="1"/>
  <c r="BI97" i="1" s="1"/>
  <c r="BT98" i="1" a="1"/>
  <c r="BT98" i="1" s="1"/>
  <c r="BI98" i="1" s="1"/>
  <c r="BT99" i="1" a="1"/>
  <c r="BT99" i="1" s="1"/>
  <c r="BI99" i="1" s="1"/>
  <c r="BT100" i="1" a="1"/>
  <c r="BT100" i="1" s="1"/>
  <c r="BI100" i="1" s="1"/>
  <c r="BT101" i="1" a="1"/>
  <c r="BT101" i="1" s="1"/>
  <c r="BI101" i="1" s="1"/>
  <c r="BT102" i="1" a="1"/>
  <c r="BT102" i="1" s="1"/>
  <c r="BI102" i="1" s="1"/>
  <c r="BT103" i="1" a="1"/>
  <c r="BT103" i="1" s="1"/>
  <c r="BI103" i="1" s="1"/>
  <c r="BT104" i="1" a="1"/>
  <c r="BT104" i="1" s="1"/>
  <c r="BI104" i="1" s="1"/>
  <c r="BT105" i="1" a="1"/>
  <c r="BT105" i="1" s="1"/>
  <c r="BI105" i="1" s="1"/>
  <c r="BT106" i="1" a="1"/>
  <c r="BT106" i="1" s="1"/>
  <c r="BI106" i="1" s="1"/>
  <c r="BT107" i="1" a="1"/>
  <c r="BT107" i="1" s="1"/>
  <c r="BI107" i="1" s="1"/>
  <c r="BT108" i="1" a="1"/>
  <c r="BT108" i="1" s="1"/>
  <c r="BI108" i="1" s="1"/>
  <c r="BT109" i="1" a="1"/>
  <c r="BT109" i="1" s="1"/>
  <c r="BI109" i="1" s="1"/>
  <c r="BT110" i="1" a="1"/>
  <c r="BT110" i="1" s="1"/>
  <c r="BI110" i="1" s="1"/>
  <c r="BT111" i="1" a="1"/>
  <c r="BT111" i="1" s="1"/>
  <c r="BI111" i="1" s="1"/>
  <c r="BT112" i="1" a="1"/>
  <c r="BT112" i="1" s="1"/>
  <c r="BI112" i="1" s="1"/>
  <c r="BT113" i="1" a="1"/>
  <c r="BT113" i="1" s="1"/>
  <c r="BI113" i="1" s="1"/>
  <c r="BT114" i="1" a="1"/>
  <c r="BT114" i="1" s="1"/>
  <c r="BI114" i="1" s="1"/>
  <c r="BT115" i="1" a="1"/>
  <c r="BT115" i="1" s="1"/>
  <c r="BI115" i="1" s="1"/>
  <c r="BT116" i="1" a="1"/>
  <c r="BT116" i="1" s="1"/>
  <c r="BI116" i="1" s="1"/>
  <c r="BT117" i="1" a="1"/>
  <c r="BT117" i="1" s="1"/>
  <c r="BI117" i="1" s="1"/>
  <c r="BT118" i="1" a="1"/>
  <c r="BT118" i="1" s="1"/>
  <c r="BI118" i="1" s="1"/>
  <c r="BT119" i="1" a="1"/>
  <c r="BT119" i="1" s="1"/>
  <c r="BI119" i="1" s="1"/>
  <c r="BT120" i="1" a="1"/>
  <c r="BT120" i="1" s="1"/>
  <c r="BI120" i="1" s="1"/>
  <c r="BT121" i="1" a="1"/>
  <c r="BT121" i="1" s="1"/>
  <c r="BI121" i="1" s="1"/>
  <c r="BS96" i="1" a="1"/>
  <c r="BS96" i="1" s="1"/>
  <c r="BG96" i="1" s="1"/>
  <c r="BS97" i="1" a="1"/>
  <c r="BS97" i="1" s="1"/>
  <c r="BG97" i="1" s="1"/>
  <c r="BS98" i="1" a="1"/>
  <c r="BS98" i="1" s="1"/>
  <c r="BG98" i="1" s="1"/>
  <c r="BS99" i="1" a="1"/>
  <c r="BS99" i="1" s="1"/>
  <c r="BG99" i="1" s="1"/>
  <c r="BS100" i="1" a="1"/>
  <c r="BS100" i="1" s="1"/>
  <c r="BG100" i="1" s="1"/>
  <c r="BS101" i="1" a="1"/>
  <c r="BS101" i="1" s="1"/>
  <c r="BG101" i="1" s="1"/>
  <c r="BS102" i="1" a="1"/>
  <c r="BS102" i="1" s="1"/>
  <c r="BG102" i="1" s="1"/>
  <c r="BS103" i="1" a="1"/>
  <c r="BS103" i="1" s="1"/>
  <c r="BG103" i="1" s="1"/>
  <c r="BS104" i="1" a="1"/>
  <c r="BS104" i="1" s="1"/>
  <c r="BG104" i="1" s="1"/>
  <c r="BS105" i="1" a="1"/>
  <c r="BS105" i="1" s="1"/>
  <c r="BG105" i="1" s="1"/>
  <c r="BS106" i="1" a="1"/>
  <c r="BS106" i="1" s="1"/>
  <c r="BG106" i="1" s="1"/>
  <c r="BS107" i="1" a="1"/>
  <c r="BS107" i="1" s="1"/>
  <c r="BG107" i="1" s="1"/>
  <c r="BS108" i="1" a="1"/>
  <c r="BS108" i="1" s="1"/>
  <c r="BG108" i="1" s="1"/>
  <c r="BS109" i="1" a="1"/>
  <c r="BS109" i="1" s="1"/>
  <c r="BG109" i="1" s="1"/>
  <c r="BS110" i="1" a="1"/>
  <c r="BS110" i="1" s="1"/>
  <c r="BG110" i="1" s="1"/>
  <c r="BS111" i="1" a="1"/>
  <c r="BS111" i="1" s="1"/>
  <c r="BG111" i="1" s="1"/>
  <c r="BS112" i="1" a="1"/>
  <c r="BS112" i="1" s="1"/>
  <c r="BG112" i="1" s="1"/>
  <c r="BS113" i="1" a="1"/>
  <c r="BS113" i="1" s="1"/>
  <c r="BG113" i="1" s="1"/>
  <c r="BS114" i="1" a="1"/>
  <c r="BS114" i="1" s="1"/>
  <c r="BG114" i="1" s="1"/>
  <c r="BS115" i="1" a="1"/>
  <c r="BS115" i="1" s="1"/>
  <c r="BG115" i="1" s="1"/>
  <c r="BS116" i="1" a="1"/>
  <c r="BS116" i="1" s="1"/>
  <c r="BG116" i="1" s="1"/>
  <c r="BS117" i="1" a="1"/>
  <c r="BS117" i="1" s="1"/>
  <c r="BG117" i="1" s="1"/>
  <c r="BS118" i="1" a="1"/>
  <c r="BS118" i="1" s="1"/>
  <c r="BG118" i="1" s="1"/>
  <c r="BS119" i="1" a="1"/>
  <c r="BS119" i="1" s="1"/>
  <c r="BG119" i="1" s="1"/>
  <c r="BS120" i="1" a="1"/>
  <c r="BS120" i="1" s="1"/>
  <c r="BG120" i="1" s="1"/>
  <c r="BS121" i="1" a="1"/>
  <c r="BS121" i="1" s="1"/>
  <c r="BG121" i="1" s="1"/>
  <c r="BR96" i="1" a="1"/>
  <c r="BR96" i="1" s="1"/>
  <c r="BE96" i="1" s="1"/>
  <c r="BR97" i="1" a="1"/>
  <c r="BR97" i="1" s="1"/>
  <c r="BE97" i="1" s="1"/>
  <c r="BR98" i="1" a="1"/>
  <c r="BR98" i="1" s="1"/>
  <c r="BE98" i="1" s="1"/>
  <c r="BR99" i="1" a="1"/>
  <c r="BR99" i="1" s="1"/>
  <c r="BE99" i="1" s="1"/>
  <c r="BR100" i="1" a="1"/>
  <c r="BR100" i="1" s="1"/>
  <c r="BE100" i="1" s="1"/>
  <c r="BR101" i="1" a="1"/>
  <c r="BR101" i="1" s="1"/>
  <c r="BE101" i="1" s="1"/>
  <c r="BR102" i="1" a="1"/>
  <c r="BR102" i="1" s="1"/>
  <c r="BE102" i="1" s="1"/>
  <c r="BR103" i="1" a="1"/>
  <c r="BR103" i="1" s="1"/>
  <c r="BE103" i="1" s="1"/>
  <c r="BR104" i="1" a="1"/>
  <c r="BR104" i="1" s="1"/>
  <c r="BE104" i="1" s="1"/>
  <c r="BR105" i="1" a="1"/>
  <c r="BR105" i="1" s="1"/>
  <c r="BE105" i="1" s="1"/>
  <c r="BR106" i="1" a="1"/>
  <c r="BR106" i="1" s="1"/>
  <c r="BE106" i="1" s="1"/>
  <c r="BR107" i="1" a="1"/>
  <c r="BR107" i="1" s="1"/>
  <c r="BE107" i="1" s="1"/>
  <c r="BR108" i="1" a="1"/>
  <c r="BR108" i="1" s="1"/>
  <c r="BE108" i="1" s="1"/>
  <c r="BR109" i="1" a="1"/>
  <c r="BR109" i="1" s="1"/>
  <c r="BE109" i="1" s="1"/>
  <c r="BR110" i="1" a="1"/>
  <c r="BR110" i="1" s="1"/>
  <c r="BE110" i="1" s="1"/>
  <c r="BR111" i="1" a="1"/>
  <c r="BR111" i="1" s="1"/>
  <c r="BE111" i="1" s="1"/>
  <c r="BR112" i="1" a="1"/>
  <c r="BR112" i="1" s="1"/>
  <c r="BE112" i="1" s="1"/>
  <c r="BR113" i="1" a="1"/>
  <c r="BR113" i="1" s="1"/>
  <c r="BE113" i="1" s="1"/>
  <c r="BR114" i="1" a="1"/>
  <c r="BR114" i="1" s="1"/>
  <c r="BE114" i="1" s="1"/>
  <c r="BR115" i="1" a="1"/>
  <c r="BR115" i="1" s="1"/>
  <c r="BE115" i="1" s="1"/>
  <c r="BR116" i="1" a="1"/>
  <c r="BR116" i="1" s="1"/>
  <c r="BE116" i="1" s="1"/>
  <c r="BR117" i="1" a="1"/>
  <c r="BR117" i="1" s="1"/>
  <c r="BE117" i="1" s="1"/>
  <c r="BR118" i="1" a="1"/>
  <c r="BR118" i="1" s="1"/>
  <c r="BE118" i="1" s="1"/>
  <c r="BR119" i="1" a="1"/>
  <c r="BR119" i="1" s="1"/>
  <c r="BE119" i="1" s="1"/>
  <c r="BR120" i="1" a="1"/>
  <c r="BR120" i="1" s="1"/>
  <c r="BE120" i="1" s="1"/>
  <c r="BR121" i="1" a="1"/>
  <c r="BR121" i="1" s="1"/>
  <c r="BE121" i="1" s="1"/>
  <c r="BU91" i="1" a="1"/>
  <c r="BU91" i="1" s="1"/>
  <c r="BU92" i="1" a="1"/>
  <c r="BU92" i="1" s="1"/>
  <c r="BU93" i="1" a="1"/>
  <c r="BU93" i="1" s="1"/>
  <c r="BT91" i="1" a="1"/>
  <c r="BT91" i="1" s="1"/>
  <c r="BI91" i="1" s="1"/>
  <c r="BT92" i="1" a="1"/>
  <c r="BT92" i="1" s="1"/>
  <c r="BI92" i="1" s="1"/>
  <c r="BT93" i="1" a="1"/>
  <c r="BT93" i="1" s="1"/>
  <c r="BI93" i="1" s="1"/>
  <c r="BS91" i="1" a="1"/>
  <c r="BS91" i="1" s="1"/>
  <c r="BG91" i="1" s="1"/>
  <c r="BS92" i="1" a="1"/>
  <c r="BS92" i="1" s="1"/>
  <c r="BG92" i="1" s="1"/>
  <c r="BS93" i="1" a="1"/>
  <c r="BS93" i="1" s="1"/>
  <c r="BG93" i="1" s="1"/>
  <c r="BR91" i="1" a="1"/>
  <c r="BR91" i="1" s="1"/>
  <c r="BE91" i="1" s="1"/>
  <c r="BR92" i="1" a="1"/>
  <c r="BR92" i="1" s="1"/>
  <c r="BE92" i="1" s="1"/>
  <c r="BR93" i="1" a="1"/>
  <c r="BR93" i="1" s="1"/>
  <c r="BE93" i="1" s="1"/>
  <c r="BU86" i="1" a="1"/>
  <c r="BU86" i="1" s="1"/>
  <c r="BU87" i="1" a="1"/>
  <c r="BU87" i="1" s="1"/>
  <c r="BU88" i="1" a="1"/>
  <c r="BU88" i="1" s="1"/>
  <c r="BT86" i="1" a="1"/>
  <c r="BT86" i="1" s="1"/>
  <c r="BI86" i="1" s="1"/>
  <c r="BT87" i="1" a="1"/>
  <c r="BT87" i="1" s="1"/>
  <c r="BI87" i="1" s="1"/>
  <c r="BT88" i="1" a="1"/>
  <c r="BT88" i="1" s="1"/>
  <c r="BI88" i="1" s="1"/>
  <c r="BS86" i="1" a="1"/>
  <c r="BS86" i="1" s="1"/>
  <c r="BS87" i="1" a="1"/>
  <c r="BS87" i="1" s="1"/>
  <c r="BG87" i="1" s="1"/>
  <c r="BS88" i="1" a="1"/>
  <c r="BS88" i="1" s="1"/>
  <c r="BR86" i="1" a="1"/>
  <c r="BR86" i="1" s="1"/>
  <c r="BR87" i="1" a="1"/>
  <c r="BR87" i="1" s="1"/>
  <c r="BR88" i="1" a="1"/>
  <c r="BR88" i="1" s="1"/>
  <c r="BU78" i="1" a="1"/>
  <c r="BU78" i="1" s="1"/>
  <c r="BU79" i="1" a="1"/>
  <c r="BU79" i="1" s="1"/>
  <c r="BU80" i="1" a="1"/>
  <c r="BU80" i="1" s="1"/>
  <c r="BU81" i="1" a="1"/>
  <c r="BU81" i="1" s="1"/>
  <c r="BU82" i="1" a="1"/>
  <c r="BU82" i="1" s="1"/>
  <c r="BU83" i="1" a="1"/>
  <c r="BU83" i="1" s="1"/>
  <c r="BT78" i="1" a="1"/>
  <c r="BT78" i="1" s="1"/>
  <c r="BI78" i="1" s="1"/>
  <c r="BT79" i="1" a="1"/>
  <c r="BT79" i="1" s="1"/>
  <c r="BI79" i="1" s="1"/>
  <c r="BT80" i="1" a="1"/>
  <c r="BT80" i="1" s="1"/>
  <c r="BI80" i="1" s="1"/>
  <c r="BT81" i="1" a="1"/>
  <c r="BT81" i="1" s="1"/>
  <c r="BI81" i="1" s="1"/>
  <c r="BT82" i="1" a="1"/>
  <c r="BT82" i="1" s="1"/>
  <c r="BI82" i="1" s="1"/>
  <c r="BT83" i="1" a="1"/>
  <c r="BT83" i="1" s="1"/>
  <c r="BI83" i="1" s="1"/>
  <c r="BS78" i="1" a="1"/>
  <c r="BS78" i="1" s="1"/>
  <c r="BG78" i="1" s="1"/>
  <c r="BS79" i="1" a="1"/>
  <c r="BS79" i="1" s="1"/>
  <c r="BG79" i="1" s="1"/>
  <c r="BS80" i="1" a="1"/>
  <c r="BS80" i="1" s="1"/>
  <c r="BG80" i="1" s="1"/>
  <c r="BS81" i="1" a="1"/>
  <c r="BS81" i="1" s="1"/>
  <c r="BG81" i="1" s="1"/>
  <c r="BS82" i="1" a="1"/>
  <c r="BS82" i="1" s="1"/>
  <c r="BG82" i="1" s="1"/>
  <c r="BS83" i="1" a="1"/>
  <c r="BS83" i="1" s="1"/>
  <c r="BG83" i="1" s="1"/>
  <c r="BR78" i="1" a="1"/>
  <c r="BR78" i="1" s="1"/>
  <c r="BE78" i="1" s="1"/>
  <c r="BR79" i="1" a="1"/>
  <c r="BR79" i="1" s="1"/>
  <c r="BE79" i="1" s="1"/>
  <c r="BR80" i="1" a="1"/>
  <c r="BR80" i="1" s="1"/>
  <c r="BE80" i="1" s="1"/>
  <c r="BR81" i="1" a="1"/>
  <c r="BR81" i="1" s="1"/>
  <c r="BE81" i="1" s="1"/>
  <c r="BR82" i="1" a="1"/>
  <c r="BR82" i="1" s="1"/>
  <c r="BE82" i="1" s="1"/>
  <c r="BR83" i="1" a="1"/>
  <c r="BR83" i="1" s="1"/>
  <c r="BE83" i="1" s="1"/>
  <c r="BU71" i="1" a="1"/>
  <c r="BU71" i="1" s="1"/>
  <c r="BU72" i="1" a="1"/>
  <c r="BU72" i="1" s="1"/>
  <c r="BU73" i="1" a="1"/>
  <c r="BU73" i="1" s="1"/>
  <c r="BU74" i="1" a="1"/>
  <c r="BU74" i="1" s="1"/>
  <c r="BU75" i="1" a="1"/>
  <c r="BU75" i="1" s="1"/>
  <c r="BT71" i="1" a="1"/>
  <c r="BT71" i="1" s="1"/>
  <c r="BI71" i="1" s="1"/>
  <c r="BT72" i="1" a="1"/>
  <c r="BT72" i="1" s="1"/>
  <c r="BI72" i="1" s="1"/>
  <c r="BT73" i="1" a="1"/>
  <c r="BT73" i="1" s="1"/>
  <c r="BI73" i="1" s="1"/>
  <c r="BT74" i="1" a="1"/>
  <c r="BT74" i="1" s="1"/>
  <c r="BI74" i="1" s="1"/>
  <c r="BT75" i="1" a="1"/>
  <c r="BT75" i="1" s="1"/>
  <c r="BI75" i="1" s="1"/>
  <c r="BS71" i="1" a="1"/>
  <c r="BS71" i="1" s="1"/>
  <c r="BG71" i="1" s="1"/>
  <c r="BS72" i="1" a="1"/>
  <c r="BS72" i="1" s="1"/>
  <c r="BG72" i="1" s="1"/>
  <c r="BS73" i="1" a="1"/>
  <c r="BS73" i="1" s="1"/>
  <c r="BG73" i="1" s="1"/>
  <c r="BS74" i="1" a="1"/>
  <c r="BS74" i="1" s="1"/>
  <c r="BG74" i="1" s="1"/>
  <c r="BS75" i="1" a="1"/>
  <c r="BS75" i="1" s="1"/>
  <c r="BG75" i="1" s="1"/>
  <c r="BR71" i="1" a="1"/>
  <c r="BR71" i="1" s="1"/>
  <c r="BE71" i="1" s="1"/>
  <c r="BR72" i="1" a="1"/>
  <c r="BR72" i="1" s="1"/>
  <c r="BE72" i="1" s="1"/>
  <c r="BR73" i="1" a="1"/>
  <c r="BR73" i="1" s="1"/>
  <c r="BE73" i="1" s="1"/>
  <c r="BR74" i="1" a="1"/>
  <c r="BR74" i="1" s="1"/>
  <c r="BE74" i="1" s="1"/>
  <c r="BR75" i="1" a="1"/>
  <c r="BR75" i="1" s="1"/>
  <c r="BE75" i="1" s="1"/>
  <c r="BU65" i="1" a="1"/>
  <c r="BU65" i="1" s="1"/>
  <c r="BU66" i="1" a="1"/>
  <c r="BU66" i="1" s="1"/>
  <c r="BU67" i="1" a="1"/>
  <c r="BU67" i="1" s="1"/>
  <c r="BU68" i="1" a="1"/>
  <c r="BU68" i="1" s="1"/>
  <c r="BT65" i="1" a="1"/>
  <c r="BT65" i="1" s="1"/>
  <c r="BI65" i="1" s="1"/>
  <c r="BT66" i="1" a="1"/>
  <c r="BT66" i="1" s="1"/>
  <c r="BI66" i="1" s="1"/>
  <c r="BT67" i="1" a="1"/>
  <c r="BT67" i="1" s="1"/>
  <c r="BI67" i="1" s="1"/>
  <c r="BT68" i="1" a="1"/>
  <c r="BT68" i="1" s="1"/>
  <c r="BI68" i="1" s="1"/>
  <c r="BS65" i="1" a="1"/>
  <c r="BS65" i="1" s="1"/>
  <c r="BG65" i="1" s="1"/>
  <c r="BS66" i="1" a="1"/>
  <c r="BS66" i="1" s="1"/>
  <c r="BG66" i="1" s="1"/>
  <c r="BS67" i="1" a="1"/>
  <c r="BS67" i="1" s="1"/>
  <c r="BG67" i="1" s="1"/>
  <c r="BS68" i="1" a="1"/>
  <c r="BS68" i="1" s="1"/>
  <c r="BG68" i="1" s="1"/>
  <c r="BR65" i="1" a="1"/>
  <c r="BR65" i="1" s="1"/>
  <c r="BE65" i="1" s="1"/>
  <c r="BR66" i="1" a="1"/>
  <c r="BR66" i="1" s="1"/>
  <c r="BE66" i="1" s="1"/>
  <c r="BR67" i="1" a="1"/>
  <c r="BR67" i="1" s="1"/>
  <c r="BE67" i="1" s="1"/>
  <c r="BR68" i="1" a="1"/>
  <c r="BR68" i="1" s="1"/>
  <c r="BE68" i="1" s="1"/>
  <c r="BU61" i="1" a="1"/>
  <c r="BU61" i="1" s="1"/>
  <c r="BU62" i="1" a="1"/>
  <c r="BU62" i="1" s="1"/>
  <c r="BT61" i="1" a="1"/>
  <c r="BT61" i="1" s="1"/>
  <c r="BI61" i="1" s="1"/>
  <c r="BT62" i="1" a="1"/>
  <c r="BT62" i="1" s="1"/>
  <c r="BI62" i="1" s="1"/>
  <c r="BS61" i="1" a="1"/>
  <c r="BS61" i="1" s="1"/>
  <c r="BG61" i="1" s="1"/>
  <c r="BS62" i="1" a="1"/>
  <c r="BS62" i="1" s="1"/>
  <c r="BG62" i="1" s="1"/>
  <c r="BR61" i="1" a="1"/>
  <c r="BR61" i="1" s="1"/>
  <c r="BE61" i="1" s="1"/>
  <c r="BR62" i="1" a="1"/>
  <c r="BR62" i="1" s="1"/>
  <c r="BE62" i="1" s="1"/>
  <c r="BU55" i="1" a="1"/>
  <c r="BU55" i="1" s="1"/>
  <c r="BU56" i="1" a="1"/>
  <c r="BU56" i="1" s="1"/>
  <c r="BU57" i="1" a="1"/>
  <c r="BU57" i="1" s="1"/>
  <c r="BU58" i="1" a="1"/>
  <c r="BU58" i="1" s="1"/>
  <c r="BT55" i="1" a="1"/>
  <c r="BT55" i="1" s="1"/>
  <c r="BI55" i="1" s="1"/>
  <c r="BT56" i="1" a="1"/>
  <c r="BT56" i="1" s="1"/>
  <c r="BI56" i="1" s="1"/>
  <c r="BT57" i="1" a="1"/>
  <c r="BT57" i="1" s="1"/>
  <c r="BI57" i="1" s="1"/>
  <c r="BT58" i="1" a="1"/>
  <c r="BT58" i="1" s="1"/>
  <c r="BI58" i="1" s="1"/>
  <c r="BS55" i="1" a="1"/>
  <c r="BS55" i="1" s="1"/>
  <c r="BG55" i="1" s="1"/>
  <c r="BS56" i="1" a="1"/>
  <c r="BS56" i="1" s="1"/>
  <c r="BG56" i="1" s="1"/>
  <c r="BS57" i="1" a="1"/>
  <c r="BS57" i="1" s="1"/>
  <c r="BG57" i="1" s="1"/>
  <c r="BS58" i="1" a="1"/>
  <c r="BS58" i="1" s="1"/>
  <c r="BG58" i="1" s="1"/>
  <c r="BR55" i="1" a="1"/>
  <c r="BR55" i="1" s="1"/>
  <c r="BE55" i="1" s="1"/>
  <c r="BR56" i="1" a="1"/>
  <c r="BR56" i="1" s="1"/>
  <c r="BE56" i="1" s="1"/>
  <c r="BR57" i="1" a="1"/>
  <c r="BR57" i="1" s="1"/>
  <c r="BE57" i="1" s="1"/>
  <c r="BR58" i="1" a="1"/>
  <c r="BR58" i="1" s="1"/>
  <c r="BE58" i="1" s="1"/>
  <c r="BU51" i="1" a="1"/>
  <c r="BU51" i="1" s="1"/>
  <c r="BU52" i="1" a="1"/>
  <c r="BU52" i="1" s="1"/>
  <c r="BT51" i="1" a="1"/>
  <c r="BT51" i="1" s="1"/>
  <c r="BI51" i="1" s="1"/>
  <c r="BT52" i="1" a="1"/>
  <c r="BT52" i="1" s="1"/>
  <c r="BI52" i="1" s="1"/>
  <c r="BS51" i="1" a="1"/>
  <c r="BS51" i="1" s="1"/>
  <c r="BG51" i="1" s="1"/>
  <c r="BS52" i="1" a="1"/>
  <c r="BS52" i="1" s="1"/>
  <c r="BG52" i="1" s="1"/>
  <c r="BR51" i="1" a="1"/>
  <c r="BR51" i="1" s="1"/>
  <c r="BE51" i="1" s="1"/>
  <c r="BR52" i="1" a="1"/>
  <c r="BR52" i="1" s="1"/>
  <c r="BE52" i="1" s="1"/>
  <c r="BU32" i="1" a="1"/>
  <c r="BU32" i="1" s="1"/>
  <c r="BU33" i="1" a="1"/>
  <c r="BU33" i="1" s="1"/>
  <c r="BU34" i="1" a="1"/>
  <c r="BU34" i="1" s="1"/>
  <c r="BU35" i="1" a="1"/>
  <c r="BU35" i="1" s="1"/>
  <c r="BU36" i="1" a="1"/>
  <c r="BU36" i="1" s="1"/>
  <c r="BU37" i="1" a="1"/>
  <c r="BU37" i="1" s="1"/>
  <c r="BU38" i="1" a="1"/>
  <c r="BU38" i="1" s="1"/>
  <c r="BU39" i="1" a="1"/>
  <c r="BU39" i="1" s="1"/>
  <c r="BU40" i="1" a="1"/>
  <c r="BU40" i="1" s="1"/>
  <c r="BU41" i="1" a="1"/>
  <c r="BU41" i="1" s="1"/>
  <c r="BU42" i="1" a="1"/>
  <c r="BU42" i="1" s="1"/>
  <c r="BU43" i="1" a="1"/>
  <c r="BU43" i="1" s="1"/>
  <c r="BU44" i="1" a="1"/>
  <c r="BU44" i="1" s="1"/>
  <c r="BU45" i="1" a="1"/>
  <c r="BU45" i="1" s="1"/>
  <c r="BU46" i="1" a="1"/>
  <c r="BU46" i="1" s="1"/>
  <c r="BU47" i="1" a="1"/>
  <c r="BU47" i="1" s="1"/>
  <c r="BU48" i="1" a="1"/>
  <c r="BU48" i="1" s="1"/>
  <c r="BT32" i="1" a="1"/>
  <c r="BT32" i="1" s="1"/>
  <c r="BI32" i="1" s="1"/>
  <c r="BT33" i="1" a="1"/>
  <c r="BT33" i="1" s="1"/>
  <c r="BI33" i="1" s="1"/>
  <c r="BT34" i="1" a="1"/>
  <c r="BT34" i="1" s="1"/>
  <c r="BI34" i="1" s="1"/>
  <c r="BT35" i="1" a="1"/>
  <c r="BT35" i="1" s="1"/>
  <c r="BI35" i="1" s="1"/>
  <c r="BT36" i="1" a="1"/>
  <c r="BT36" i="1" s="1"/>
  <c r="BI36" i="1" s="1"/>
  <c r="BT37" i="1" a="1"/>
  <c r="BT37" i="1" s="1"/>
  <c r="BI37" i="1" s="1"/>
  <c r="BT38" i="1" a="1"/>
  <c r="BT38" i="1" s="1"/>
  <c r="BI38" i="1" s="1"/>
  <c r="BT39" i="1" a="1"/>
  <c r="BT39" i="1" s="1"/>
  <c r="BI39" i="1" s="1"/>
  <c r="BT40" i="1" a="1"/>
  <c r="BT40" i="1" s="1"/>
  <c r="BI40" i="1" s="1"/>
  <c r="BT41" i="1" a="1"/>
  <c r="BT41" i="1" s="1"/>
  <c r="BI41" i="1" s="1"/>
  <c r="BT42" i="1" a="1"/>
  <c r="BT42" i="1" s="1"/>
  <c r="BI42" i="1" s="1"/>
  <c r="BT43" i="1" a="1"/>
  <c r="BT43" i="1" s="1"/>
  <c r="BI43" i="1" s="1"/>
  <c r="BT44" i="1" a="1"/>
  <c r="BT44" i="1" s="1"/>
  <c r="BI44" i="1" s="1"/>
  <c r="BT45" i="1" a="1"/>
  <c r="BT45" i="1" s="1"/>
  <c r="BI45" i="1" s="1"/>
  <c r="BT46" i="1" a="1"/>
  <c r="BT46" i="1" s="1"/>
  <c r="BI46" i="1" s="1"/>
  <c r="BT47" i="1" a="1"/>
  <c r="BT47" i="1" s="1"/>
  <c r="BI47" i="1" s="1"/>
  <c r="BT48" i="1" a="1"/>
  <c r="BT48" i="1" s="1"/>
  <c r="BI48" i="1" s="1"/>
  <c r="BS32" i="1" a="1"/>
  <c r="BS32" i="1" s="1"/>
  <c r="BG32" i="1" s="1"/>
  <c r="BS33" i="1" a="1"/>
  <c r="BS33" i="1" s="1"/>
  <c r="BG33" i="1" s="1"/>
  <c r="BS34" i="1" a="1"/>
  <c r="BS34" i="1" s="1"/>
  <c r="BG34" i="1" s="1"/>
  <c r="BS35" i="1" a="1"/>
  <c r="BS35" i="1" s="1"/>
  <c r="BG35" i="1" s="1"/>
  <c r="BS36" i="1" a="1"/>
  <c r="BS36" i="1" s="1"/>
  <c r="BG36" i="1" s="1"/>
  <c r="BS37" i="1" a="1"/>
  <c r="BS37" i="1" s="1"/>
  <c r="BG37" i="1" s="1"/>
  <c r="BS38" i="1" a="1"/>
  <c r="BS38" i="1" s="1"/>
  <c r="BG38" i="1" s="1"/>
  <c r="BS39" i="1" a="1"/>
  <c r="BS39" i="1" s="1"/>
  <c r="BG39" i="1" s="1"/>
  <c r="BS40" i="1" a="1"/>
  <c r="BS40" i="1" s="1"/>
  <c r="BG40" i="1" s="1"/>
  <c r="BS41" i="1" a="1"/>
  <c r="BS41" i="1" s="1"/>
  <c r="BG41" i="1" s="1"/>
  <c r="BS42" i="1" a="1"/>
  <c r="BS42" i="1" s="1"/>
  <c r="BG42" i="1" s="1"/>
  <c r="BS43" i="1" a="1"/>
  <c r="BS43" i="1" s="1"/>
  <c r="BG43" i="1" s="1"/>
  <c r="BS44" i="1" a="1"/>
  <c r="BS44" i="1" s="1"/>
  <c r="BG44" i="1" s="1"/>
  <c r="BS45" i="1" a="1"/>
  <c r="BS45" i="1" s="1"/>
  <c r="BG45" i="1" s="1"/>
  <c r="BS46" i="1" a="1"/>
  <c r="BS46" i="1" s="1"/>
  <c r="BG46" i="1" s="1"/>
  <c r="BS47" i="1" a="1"/>
  <c r="BS47" i="1" s="1"/>
  <c r="BG47" i="1" s="1"/>
  <c r="BS48" i="1" a="1"/>
  <c r="BS48" i="1" s="1"/>
  <c r="BG48" i="1" s="1"/>
  <c r="BR32" i="1" a="1"/>
  <c r="BR32" i="1" s="1"/>
  <c r="BE32" i="1" s="1"/>
  <c r="BR33" i="1" a="1"/>
  <c r="BR33" i="1" s="1"/>
  <c r="BE33" i="1" s="1"/>
  <c r="BR34" i="1" a="1"/>
  <c r="BR34" i="1" s="1"/>
  <c r="BE34" i="1" s="1"/>
  <c r="BR35" i="1" a="1"/>
  <c r="BR35" i="1" s="1"/>
  <c r="BE35" i="1" s="1"/>
  <c r="BR36" i="1" a="1"/>
  <c r="BR36" i="1" s="1"/>
  <c r="BE36" i="1" s="1"/>
  <c r="BR37" i="1" a="1"/>
  <c r="BR37" i="1" s="1"/>
  <c r="BE37" i="1" s="1"/>
  <c r="BR38" i="1" a="1"/>
  <c r="BR38" i="1" s="1"/>
  <c r="BE38" i="1" s="1"/>
  <c r="BR39" i="1" a="1"/>
  <c r="BR39" i="1" s="1"/>
  <c r="BE39" i="1" s="1"/>
  <c r="BR40" i="1" a="1"/>
  <c r="BR40" i="1" s="1"/>
  <c r="BE40" i="1" s="1"/>
  <c r="BR41" i="1" a="1"/>
  <c r="BR41" i="1" s="1"/>
  <c r="BE41" i="1" s="1"/>
  <c r="BR42" i="1" a="1"/>
  <c r="BR42" i="1" s="1"/>
  <c r="BE42" i="1" s="1"/>
  <c r="BR43" i="1" a="1"/>
  <c r="BR43" i="1" s="1"/>
  <c r="BE43" i="1" s="1"/>
  <c r="BR44" i="1" a="1"/>
  <c r="BR44" i="1" s="1"/>
  <c r="BE44" i="1" s="1"/>
  <c r="BR45" i="1" a="1"/>
  <c r="BR45" i="1" s="1"/>
  <c r="BE45" i="1" s="1"/>
  <c r="BR46" i="1" a="1"/>
  <c r="BR46" i="1" s="1"/>
  <c r="BE46" i="1" s="1"/>
  <c r="BR47" i="1" a="1"/>
  <c r="BR47" i="1" s="1"/>
  <c r="BE47" i="1" s="1"/>
  <c r="BR48" i="1" a="1"/>
  <c r="BR48" i="1" s="1"/>
  <c r="BE48" i="1" s="1"/>
  <c r="BU22" i="1" a="1"/>
  <c r="BU22" i="1" s="1"/>
  <c r="BU23" i="1" a="1"/>
  <c r="BU23" i="1" s="1"/>
  <c r="BU24" i="1" a="1"/>
  <c r="BU24" i="1" s="1"/>
  <c r="BU25" i="1" a="1"/>
  <c r="BU25" i="1" s="1"/>
  <c r="BU26" i="1" a="1"/>
  <c r="BU26" i="1" s="1"/>
  <c r="BU27" i="1" a="1"/>
  <c r="BU27" i="1" s="1"/>
  <c r="BU28" i="1" a="1"/>
  <c r="BU28" i="1" s="1"/>
  <c r="BU29" i="1" a="1"/>
  <c r="BU29" i="1" s="1"/>
  <c r="BT22" i="1" a="1"/>
  <c r="BT22" i="1" s="1"/>
  <c r="BI22" i="1" s="1"/>
  <c r="BT23" i="1" a="1"/>
  <c r="BT23" i="1" s="1"/>
  <c r="BI23" i="1" s="1"/>
  <c r="BT24" i="1" a="1"/>
  <c r="BT24" i="1" s="1"/>
  <c r="BI24" i="1" s="1"/>
  <c r="BT25" i="1" a="1"/>
  <c r="BT25" i="1" s="1"/>
  <c r="BI25" i="1" s="1"/>
  <c r="BT26" i="1" a="1"/>
  <c r="BT26" i="1" s="1"/>
  <c r="BI26" i="1" s="1"/>
  <c r="BT27" i="1" a="1"/>
  <c r="BT27" i="1" s="1"/>
  <c r="BI27" i="1" s="1"/>
  <c r="BT28" i="1" a="1"/>
  <c r="BT28" i="1" s="1"/>
  <c r="BI28" i="1" s="1"/>
  <c r="BT29" i="1" a="1"/>
  <c r="BT29" i="1" s="1"/>
  <c r="BI29" i="1" s="1"/>
  <c r="BS22" i="1" a="1"/>
  <c r="BS22" i="1" s="1"/>
  <c r="BG22" i="1" s="1"/>
  <c r="BS23" i="1" a="1"/>
  <c r="BS23" i="1" s="1"/>
  <c r="BG23" i="1" s="1"/>
  <c r="BS24" i="1" a="1"/>
  <c r="BS24" i="1" s="1"/>
  <c r="BG24" i="1" s="1"/>
  <c r="BS25" i="1" a="1"/>
  <c r="BS25" i="1" s="1"/>
  <c r="BG25" i="1" s="1"/>
  <c r="BS26" i="1" a="1"/>
  <c r="BS26" i="1" s="1"/>
  <c r="BG26" i="1" s="1"/>
  <c r="BS27" i="1" a="1"/>
  <c r="BS27" i="1" s="1"/>
  <c r="BG27" i="1" s="1"/>
  <c r="BS28" i="1" a="1"/>
  <c r="BS28" i="1" s="1"/>
  <c r="BG28" i="1" s="1"/>
  <c r="BS29" i="1" a="1"/>
  <c r="BS29" i="1" s="1"/>
  <c r="BG29" i="1" s="1"/>
  <c r="BR22" i="1" a="1"/>
  <c r="BR22" i="1" s="1"/>
  <c r="BE22" i="1" s="1"/>
  <c r="BR23" i="1" a="1"/>
  <c r="BR23" i="1" s="1"/>
  <c r="BE23" i="1" s="1"/>
  <c r="BR24" i="1" a="1"/>
  <c r="BR24" i="1" s="1"/>
  <c r="BE24" i="1" s="1"/>
  <c r="BR25" i="1" a="1"/>
  <c r="BR25" i="1" s="1"/>
  <c r="BE25" i="1" s="1"/>
  <c r="BR26" i="1" a="1"/>
  <c r="BR26" i="1" s="1"/>
  <c r="BE26" i="1" s="1"/>
  <c r="BR27" i="1" a="1"/>
  <c r="BR27" i="1" s="1"/>
  <c r="BE27" i="1" s="1"/>
  <c r="BR28" i="1" a="1"/>
  <c r="BR28" i="1" s="1"/>
  <c r="BE28" i="1" s="1"/>
  <c r="BR29" i="1" a="1"/>
  <c r="BR29" i="1" s="1"/>
  <c r="BE29" i="1" s="1"/>
  <c r="BU9" i="1" a="1"/>
  <c r="BU9" i="1" s="1"/>
  <c r="BU10" i="1" a="1"/>
  <c r="BU10" i="1" s="1"/>
  <c r="BU11" i="1" a="1"/>
  <c r="BU11" i="1" s="1"/>
  <c r="BU16" i="1" a="1"/>
  <c r="BU16" i="1" s="1"/>
  <c r="BU17" i="1" a="1"/>
  <c r="BU17" i="1" s="1"/>
  <c r="BU18" i="1" a="1"/>
  <c r="BU18" i="1" s="1"/>
  <c r="BU19" i="1" a="1"/>
  <c r="BU19" i="1" s="1"/>
  <c r="BT9" i="1" a="1"/>
  <c r="BT9" i="1" s="1"/>
  <c r="BI9" i="1" s="1"/>
  <c r="BT10" i="1" a="1"/>
  <c r="BT10" i="1" s="1"/>
  <c r="BT11" i="1" a="1"/>
  <c r="BT11" i="1" s="1"/>
  <c r="BI11" i="1" s="1"/>
  <c r="BT16" i="1" a="1"/>
  <c r="BT16" i="1" s="1"/>
  <c r="BT17" i="1" a="1"/>
  <c r="BT17" i="1" s="1"/>
  <c r="BT18" i="1" a="1"/>
  <c r="BT18" i="1" s="1"/>
  <c r="BI18" i="1" s="1"/>
  <c r="BT19" i="1" a="1"/>
  <c r="BT19" i="1" s="1"/>
  <c r="BS9" i="1" a="1"/>
  <c r="BS9" i="1" s="1"/>
  <c r="BS10" i="1" a="1"/>
  <c r="BS10" i="1" s="1"/>
  <c r="BS11" i="1" a="1"/>
  <c r="BS11" i="1" s="1"/>
  <c r="BS16" i="1" a="1"/>
  <c r="BS16" i="1" s="1"/>
  <c r="BS17" i="1" a="1"/>
  <c r="BS17" i="1" s="1"/>
  <c r="BS18" i="1" a="1"/>
  <c r="BS18" i="1" s="1"/>
  <c r="BS19" i="1" a="1"/>
  <c r="BS19" i="1" s="1"/>
  <c r="BR9" i="1" a="1"/>
  <c r="BR9" i="1" s="1"/>
  <c r="BR10" i="1" a="1"/>
  <c r="BR10" i="1" s="1"/>
  <c r="BR11" i="1" a="1"/>
  <c r="BR11" i="1" s="1"/>
  <c r="BR16" i="1" a="1"/>
  <c r="BR16" i="1" s="1"/>
  <c r="BR17" i="1" a="1"/>
  <c r="BR17" i="1" s="1"/>
  <c r="BR18" i="1" a="1"/>
  <c r="BR18" i="1" s="1"/>
  <c r="BR19" i="1" a="1"/>
  <c r="BR19" i="1" s="1"/>
  <c r="Y124" i="1" a="1"/>
  <c r="Y124" i="1" s="1"/>
  <c r="Y125" i="1" a="1"/>
  <c r="Y125" i="1" s="1"/>
  <c r="Y126" i="1" a="1"/>
  <c r="Y126" i="1" s="1"/>
  <c r="Y127" i="1" a="1"/>
  <c r="Y127" i="1" s="1"/>
  <c r="Y128" i="1" a="1"/>
  <c r="Y128" i="1" s="1"/>
  <c r="Y129" i="1" a="1"/>
  <c r="Y129" i="1" s="1"/>
  <c r="Y130" i="1" a="1"/>
  <c r="Y130" i="1" s="1"/>
  <c r="Y131" i="1" a="1"/>
  <c r="Y131" i="1" s="1"/>
  <c r="Y132" i="1" a="1"/>
  <c r="Y132" i="1" s="1"/>
  <c r="Y133" i="1" a="1"/>
  <c r="Y133" i="1" s="1"/>
  <c r="Y134" i="1" a="1"/>
  <c r="Y134" i="1" s="1"/>
  <c r="Y135" i="1" a="1"/>
  <c r="Y135" i="1" s="1"/>
  <c r="Y136" i="1" a="1"/>
  <c r="Y136" i="1" s="1"/>
  <c r="Y137" i="1" a="1"/>
  <c r="Y137" i="1" s="1"/>
  <c r="Y138" i="1" a="1"/>
  <c r="Y138" i="1" s="1"/>
  <c r="Y139" i="1" a="1"/>
  <c r="Y139" i="1" s="1"/>
  <c r="Y140" i="1" a="1"/>
  <c r="Y140" i="1" s="1"/>
  <c r="Y141" i="1" a="1"/>
  <c r="Y141" i="1" s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Y96" i="1" a="1"/>
  <c r="Y96" i="1" s="1"/>
  <c r="Y97" i="1" a="1"/>
  <c r="Y97" i="1" s="1"/>
  <c r="Y98" i="1" a="1"/>
  <c r="Y98" i="1" s="1"/>
  <c r="Y99" i="1" a="1"/>
  <c r="Y99" i="1" s="1"/>
  <c r="Y100" i="1" a="1"/>
  <c r="Y100" i="1" s="1"/>
  <c r="Y101" i="1" a="1"/>
  <c r="Y101" i="1" s="1"/>
  <c r="Y102" i="1" a="1"/>
  <c r="Y102" i="1" s="1"/>
  <c r="Y103" i="1" a="1"/>
  <c r="Y103" i="1" s="1"/>
  <c r="Y104" i="1" a="1"/>
  <c r="Y104" i="1" s="1"/>
  <c r="Y105" i="1" a="1"/>
  <c r="Y105" i="1" s="1"/>
  <c r="Y106" i="1" a="1"/>
  <c r="Y106" i="1" s="1"/>
  <c r="Y107" i="1" a="1"/>
  <c r="Y107" i="1" s="1"/>
  <c r="Y108" i="1" a="1"/>
  <c r="Y108" i="1" s="1"/>
  <c r="Y109" i="1" a="1"/>
  <c r="Y109" i="1" s="1"/>
  <c r="Y110" i="1" a="1"/>
  <c r="Y110" i="1" s="1"/>
  <c r="Y111" i="1" a="1"/>
  <c r="Y111" i="1" s="1"/>
  <c r="Y112" i="1" a="1"/>
  <c r="Y112" i="1" s="1"/>
  <c r="Y113" i="1" a="1"/>
  <c r="Y113" i="1" s="1"/>
  <c r="Y114" i="1" a="1"/>
  <c r="Y114" i="1" s="1"/>
  <c r="Y115" i="1" a="1"/>
  <c r="Y115" i="1" s="1"/>
  <c r="Y116" i="1" a="1"/>
  <c r="Y116" i="1" s="1"/>
  <c r="Y117" i="1" a="1"/>
  <c r="Y117" i="1" s="1"/>
  <c r="Y118" i="1" a="1"/>
  <c r="Y118" i="1" s="1"/>
  <c r="Y119" i="1" a="1"/>
  <c r="Y119" i="1" s="1"/>
  <c r="Y120" i="1" a="1"/>
  <c r="Y120" i="1" s="1"/>
  <c r="Y121" i="1" a="1"/>
  <c r="Y121" i="1" s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50" i="41"/>
  <c r="E49" i="41"/>
  <c r="E48" i="41"/>
  <c r="E47" i="41"/>
  <c r="E46" i="41"/>
  <c r="E45" i="41"/>
  <c r="E44" i="41"/>
  <c r="E43" i="41"/>
  <c r="E42" i="41"/>
  <c r="E41" i="41"/>
  <c r="E40" i="41"/>
  <c r="E39" i="41"/>
  <c r="E38" i="41"/>
  <c r="E37" i="41"/>
  <c r="E36" i="41"/>
  <c r="E35" i="41"/>
  <c r="E34" i="41"/>
  <c r="E33" i="41"/>
  <c r="E32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E19" i="41"/>
  <c r="E18" i="41"/>
  <c r="E17" i="41"/>
  <c r="E16" i="41"/>
  <c r="E15" i="41"/>
  <c r="E14" i="41"/>
  <c r="E13" i="41"/>
  <c r="E12" i="41"/>
  <c r="E11" i="41"/>
  <c r="E10" i="41"/>
  <c r="E9" i="41"/>
  <c r="E8" i="41"/>
  <c r="E7" i="41"/>
  <c r="E6" i="41"/>
  <c r="E5" i="41"/>
  <c r="E4" i="41"/>
  <c r="E3" i="41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" i="40"/>
  <c r="E4" i="40"/>
  <c r="E3" i="40"/>
  <c r="E45" i="39"/>
  <c r="E44" i="39"/>
  <c r="E43" i="39"/>
  <c r="E42" i="39"/>
  <c r="E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8" i="39"/>
  <c r="E7" i="39"/>
  <c r="E6" i="39"/>
  <c r="E5" i="39"/>
  <c r="E4" i="39"/>
  <c r="E3" i="39"/>
  <c r="E48" i="38"/>
  <c r="E47" i="38"/>
  <c r="E46" i="38"/>
  <c r="E45" i="38"/>
  <c r="E44" i="38"/>
  <c r="E43" i="38"/>
  <c r="E42" i="38"/>
  <c r="E41" i="38"/>
  <c r="E40" i="38"/>
  <c r="E39" i="38"/>
  <c r="E38" i="38"/>
  <c r="E37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38" i="37"/>
  <c r="E37" i="37"/>
  <c r="E36" i="37"/>
  <c r="E35" i="37"/>
  <c r="E34" i="37"/>
  <c r="E33" i="37"/>
  <c r="E32" i="37"/>
  <c r="E31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E7" i="37"/>
  <c r="E6" i="37"/>
  <c r="E5" i="37"/>
  <c r="E4" i="37"/>
  <c r="E3" i="37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50" i="36"/>
  <c r="E49" i="36"/>
  <c r="E48" i="36"/>
  <c r="E47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" i="36"/>
  <c r="E6" i="36"/>
  <c r="E5" i="36"/>
  <c r="E4" i="36"/>
  <c r="E3" i="36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59" i="34"/>
  <c r="E58" i="34"/>
  <c r="E57" i="34"/>
  <c r="E56" i="34"/>
  <c r="E55" i="34"/>
  <c r="E54" i="34"/>
  <c r="E53" i="34"/>
  <c r="E52" i="34"/>
  <c r="E51" i="34"/>
  <c r="E50" i="34"/>
  <c r="E49" i="34"/>
  <c r="E48" i="34"/>
  <c r="E47" i="34"/>
  <c r="E46" i="34"/>
  <c r="E45" i="34"/>
  <c r="E44" i="34"/>
  <c r="E43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E60" i="33"/>
  <c r="E59" i="33"/>
  <c r="E58" i="33"/>
  <c r="E57" i="33"/>
  <c r="E56" i="33"/>
  <c r="E55" i="33"/>
  <c r="E54" i="33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E3" i="33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3" i="32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" i="31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E4" i="30"/>
  <c r="E3" i="3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E5" i="29"/>
  <c r="E4" i="29"/>
  <c r="E3" i="29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E3" i="27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E3" i="26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3" i="25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Y91" i="1" a="1"/>
  <c r="Y91" i="1" s="1"/>
  <c r="Y92" i="1" a="1"/>
  <c r="Y92" i="1" s="1"/>
  <c r="Y93" i="1" a="1"/>
  <c r="Y93" i="1" s="1"/>
  <c r="X91" i="1"/>
  <c r="X92" i="1"/>
  <c r="X93" i="1"/>
  <c r="Y86" i="1" a="1"/>
  <c r="Y86" i="1" s="1"/>
  <c r="Y87" i="1" a="1"/>
  <c r="Y87" i="1" s="1"/>
  <c r="Y88" i="1" a="1"/>
  <c r="Y88" i="1" s="1"/>
  <c r="X88" i="1"/>
  <c r="Y78" i="1" a="1"/>
  <c r="Y78" i="1" s="1"/>
  <c r="Y79" i="1" a="1"/>
  <c r="Y79" i="1" s="1"/>
  <c r="Y80" i="1" a="1"/>
  <c r="Y80" i="1" s="1"/>
  <c r="Y81" i="1" a="1"/>
  <c r="Y81" i="1" s="1"/>
  <c r="Y82" i="1" a="1"/>
  <c r="Y82" i="1" s="1"/>
  <c r="Y83" i="1" a="1"/>
  <c r="Y83" i="1" s="1"/>
  <c r="X78" i="1"/>
  <c r="X79" i="1"/>
  <c r="X80" i="1"/>
  <c r="X81" i="1"/>
  <c r="X82" i="1"/>
  <c r="X83" i="1"/>
  <c r="Y71" i="1" a="1"/>
  <c r="Y71" i="1" s="1"/>
  <c r="Y72" i="1" a="1"/>
  <c r="Y72" i="1" s="1"/>
  <c r="Y73" i="1" a="1"/>
  <c r="Y73" i="1" s="1"/>
  <c r="Y74" i="1" a="1"/>
  <c r="Y74" i="1" s="1"/>
  <c r="Y75" i="1" a="1"/>
  <c r="Y75" i="1" s="1"/>
  <c r="X71" i="1"/>
  <c r="X72" i="1"/>
  <c r="X73" i="1"/>
  <c r="X74" i="1"/>
  <c r="X75" i="1"/>
  <c r="Y65" i="1" a="1"/>
  <c r="Y65" i="1" s="1"/>
  <c r="Y66" i="1" a="1"/>
  <c r="Y66" i="1" s="1"/>
  <c r="Y67" i="1" a="1"/>
  <c r="Y67" i="1" s="1"/>
  <c r="Y68" i="1" a="1"/>
  <c r="Y68" i="1" s="1"/>
  <c r="X65" i="1"/>
  <c r="X66" i="1"/>
  <c r="X67" i="1"/>
  <c r="X68" i="1"/>
  <c r="Y61" i="1" a="1"/>
  <c r="Y61" i="1" s="1"/>
  <c r="Y62" i="1" a="1"/>
  <c r="Y62" i="1" s="1"/>
  <c r="X61" i="1"/>
  <c r="X62" i="1"/>
  <c r="Y55" i="1" a="1"/>
  <c r="Y55" i="1" s="1"/>
  <c r="Y56" i="1" a="1"/>
  <c r="Y56" i="1" s="1"/>
  <c r="Y57" i="1" a="1"/>
  <c r="Y57" i="1" s="1"/>
  <c r="Y58" i="1" a="1"/>
  <c r="Y58" i="1" s="1"/>
  <c r="X55" i="1"/>
  <c r="X56" i="1"/>
  <c r="X57" i="1"/>
  <c r="X58" i="1"/>
  <c r="Y51" i="1" a="1"/>
  <c r="Y51" i="1" s="1"/>
  <c r="Y52" i="1" a="1"/>
  <c r="Y52" i="1" s="1"/>
  <c r="X51" i="1"/>
  <c r="X52" i="1"/>
  <c r="Y32" i="1" a="1"/>
  <c r="Y32" i="1" s="1"/>
  <c r="Y33" i="1" a="1"/>
  <c r="Y33" i="1" s="1"/>
  <c r="Y34" i="1" a="1"/>
  <c r="Y34" i="1" s="1"/>
  <c r="Y35" i="1" a="1"/>
  <c r="Y35" i="1" s="1"/>
  <c r="Y36" i="1" a="1"/>
  <c r="Y36" i="1" s="1"/>
  <c r="Y37" i="1" a="1"/>
  <c r="Y37" i="1" s="1"/>
  <c r="Y38" i="1" a="1"/>
  <c r="Y38" i="1" s="1"/>
  <c r="Y39" i="1" a="1"/>
  <c r="Y39" i="1" s="1"/>
  <c r="Y40" i="1" a="1"/>
  <c r="Y40" i="1" s="1"/>
  <c r="Y41" i="1" a="1"/>
  <c r="Y41" i="1" s="1"/>
  <c r="Y42" i="1" a="1"/>
  <c r="Y42" i="1" s="1"/>
  <c r="Y43" i="1" a="1"/>
  <c r="Y43" i="1" s="1"/>
  <c r="Y44" i="1" a="1"/>
  <c r="Y44" i="1" s="1"/>
  <c r="Y45" i="1" a="1"/>
  <c r="Y45" i="1" s="1"/>
  <c r="Y46" i="1" a="1"/>
  <c r="Y46" i="1" s="1"/>
  <c r="Y47" i="1" a="1"/>
  <c r="Y47" i="1" s="1"/>
  <c r="Y48" i="1" a="1"/>
  <c r="Y48" i="1" s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Y22" i="1" a="1"/>
  <c r="Y22" i="1" s="1"/>
  <c r="Y23" i="1" a="1"/>
  <c r="Y23" i="1" s="1"/>
  <c r="Y24" i="1" a="1"/>
  <c r="Y24" i="1" s="1"/>
  <c r="Y25" i="1" a="1"/>
  <c r="Y25" i="1" s="1"/>
  <c r="Y26" i="1" a="1"/>
  <c r="Y26" i="1" s="1"/>
  <c r="Y27" i="1" a="1"/>
  <c r="Y27" i="1" s="1"/>
  <c r="Y28" i="1" a="1"/>
  <c r="Y28" i="1" s="1"/>
  <c r="Y29" i="1" a="1"/>
  <c r="Y29" i="1" s="1"/>
  <c r="X22" i="1"/>
  <c r="X23" i="1"/>
  <c r="X24" i="1"/>
  <c r="X25" i="1"/>
  <c r="X26" i="1"/>
  <c r="X27" i="1"/>
  <c r="X28" i="1"/>
  <c r="X29" i="1"/>
  <c r="Y9" i="1" a="1"/>
  <c r="Y9" i="1" s="1"/>
  <c r="Y10" i="1" a="1"/>
  <c r="Y10" i="1" s="1"/>
  <c r="Y11" i="1" a="1"/>
  <c r="Y11" i="1" s="1"/>
  <c r="Y16" i="1" a="1"/>
  <c r="Y16" i="1" s="1"/>
  <c r="Y17" i="1" a="1"/>
  <c r="Y17" i="1" s="1"/>
  <c r="Y18" i="1" a="1"/>
  <c r="Y18" i="1" s="1"/>
  <c r="Y19" i="1" a="1"/>
  <c r="Y19" i="1" s="1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X86" i="1" s="1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BI6" i="1" l="1"/>
  <c r="BI4" i="1"/>
  <c r="BK15" i="1" a="1"/>
  <c r="BK15" i="1" s="1"/>
  <c r="BM15" i="1" s="1" a="1"/>
  <c r="BM15" i="1" s="1"/>
  <c r="BI10" i="1"/>
  <c r="BI19" i="1"/>
  <c r="BI5" i="1"/>
  <c r="BI17" i="1"/>
  <c r="BI16" i="1"/>
  <c r="Z387" i="1"/>
  <c r="AA387" i="1" s="1"/>
  <c r="Z219" i="1"/>
  <c r="AA219" i="1" s="1"/>
  <c r="Z238" i="1"/>
  <c r="AA238" i="1" s="1"/>
  <c r="Z71" i="1"/>
  <c r="AA71" i="1" s="1"/>
  <c r="Z229" i="1"/>
  <c r="AA229" i="1" s="1"/>
  <c r="Z6" i="1"/>
  <c r="AA6" i="1" s="1"/>
  <c r="AH6" i="1" s="1"/>
  <c r="Z293" i="1"/>
  <c r="AA293" i="1" s="1"/>
  <c r="Z5" i="1"/>
  <c r="AA5" i="1" s="1"/>
  <c r="AH5" i="1" s="1"/>
  <c r="Z105" i="1"/>
  <c r="AA105" i="1" s="1"/>
  <c r="Z218" i="1"/>
  <c r="AA218" i="1" s="1"/>
  <c r="Z160" i="1"/>
  <c r="AA160" i="1" s="1"/>
  <c r="Z166" i="1"/>
  <c r="AA166" i="1" s="1"/>
  <c r="Z102" i="1"/>
  <c r="AA102" i="1" s="1"/>
  <c r="Z169" i="1"/>
  <c r="AA169" i="1" s="1"/>
  <c r="Z243" i="1"/>
  <c r="AA243" i="1" s="1"/>
  <c r="Z125" i="1"/>
  <c r="AA125" i="1" s="1"/>
  <c r="Z43" i="1"/>
  <c r="AA43" i="1" s="1"/>
  <c r="Z249" i="1"/>
  <c r="AA249" i="1" s="1"/>
  <c r="Z368" i="1"/>
  <c r="AA368" i="1" s="1"/>
  <c r="Z157" i="1"/>
  <c r="AA157" i="1" s="1"/>
  <c r="Z323" i="1"/>
  <c r="AA323" i="1" s="1"/>
  <c r="Z371" i="1"/>
  <c r="AA371" i="1" s="1"/>
  <c r="AV6" i="1"/>
  <c r="Z151" i="1"/>
  <c r="AA151" i="1" s="1"/>
  <c r="Z199" i="1"/>
  <c r="AA199" i="1" s="1"/>
  <c r="Z268" i="1"/>
  <c r="AA268" i="1" s="1"/>
  <c r="Z294" i="1"/>
  <c r="AA294" i="1" s="1"/>
  <c r="Z135" i="1"/>
  <c r="AA135" i="1" s="1"/>
  <c r="Z167" i="1"/>
  <c r="AA167" i="1" s="1"/>
  <c r="Z124" i="1"/>
  <c r="AA124" i="1" s="1"/>
  <c r="Z259" i="1"/>
  <c r="AA259" i="1" s="1"/>
  <c r="Z398" i="1"/>
  <c r="AA398" i="1" s="1"/>
  <c r="Z28" i="1"/>
  <c r="AA28" i="1" s="1"/>
  <c r="Z56" i="1"/>
  <c r="AA56" i="1" s="1"/>
  <c r="Z82" i="1"/>
  <c r="AA82" i="1" s="1"/>
  <c r="Z110" i="1"/>
  <c r="AA110" i="1" s="1"/>
  <c r="Z150" i="1"/>
  <c r="AA150" i="1" s="1"/>
  <c r="Z177" i="1"/>
  <c r="AA177" i="1" s="1"/>
  <c r="Z227" i="1"/>
  <c r="AA227" i="1" s="1"/>
  <c r="Z134" i="1"/>
  <c r="AA134" i="1" s="1"/>
  <c r="Z158" i="1"/>
  <c r="AA158" i="1" s="1"/>
  <c r="Z319" i="1"/>
  <c r="AA319" i="1" s="1"/>
  <c r="Z186" i="1"/>
  <c r="AA186" i="1" s="1"/>
  <c r="Z252" i="1"/>
  <c r="AA252" i="1" s="1"/>
  <c r="AV5" i="1"/>
  <c r="Z266" i="1"/>
  <c r="AA266" i="1" s="1"/>
  <c r="AV4" i="1"/>
  <c r="Z118" i="1"/>
  <c r="AA118" i="1" s="1"/>
  <c r="Z106" i="1"/>
  <c r="AA106" i="1" s="1"/>
  <c r="Z145" i="1"/>
  <c r="AA145" i="1" s="1"/>
  <c r="Z203" i="1"/>
  <c r="AA203" i="1" s="1"/>
  <c r="Z272" i="1"/>
  <c r="AA272" i="1" s="1"/>
  <c r="Z221" i="1"/>
  <c r="AA221" i="1" s="1"/>
  <c r="Z225" i="1"/>
  <c r="AA225" i="1" s="1"/>
  <c r="Z237" i="1"/>
  <c r="AA237" i="1" s="1"/>
  <c r="Z246" i="1"/>
  <c r="AA246" i="1" s="1"/>
  <c r="Z385" i="1"/>
  <c r="AA385" i="1" s="1"/>
  <c r="BF6" i="1"/>
  <c r="BD6" i="1"/>
  <c r="BF5" i="1"/>
  <c r="BD5" i="1"/>
  <c r="BF4" i="1"/>
  <c r="BD4" i="1"/>
  <c r="Z57" i="1"/>
  <c r="AA57" i="1" s="1"/>
  <c r="Z67" i="1"/>
  <c r="AA67" i="1" s="1"/>
  <c r="Z170" i="1"/>
  <c r="AA170" i="1" s="1"/>
  <c r="Z313" i="1"/>
  <c r="AA313" i="1" s="1"/>
  <c r="Z104" i="1"/>
  <c r="AA104" i="1" s="1"/>
  <c r="Z180" i="1"/>
  <c r="AA180" i="1" s="1"/>
  <c r="Z269" i="1"/>
  <c r="AA269" i="1" s="1"/>
  <c r="Z308" i="1"/>
  <c r="AA308" i="1" s="1"/>
  <c r="Z168" i="1"/>
  <c r="AA168" i="1" s="1"/>
  <c r="Z181" i="1"/>
  <c r="AA181" i="1" s="1"/>
  <c r="Z280" i="1"/>
  <c r="AA280" i="1" s="1"/>
  <c r="Z326" i="1"/>
  <c r="AA326" i="1" s="1"/>
  <c r="Z366" i="1"/>
  <c r="AA366" i="1" s="1"/>
  <c r="Z232" i="1"/>
  <c r="AA232" i="1" s="1"/>
  <c r="Z22" i="1"/>
  <c r="AA22" i="1" s="1"/>
  <c r="Z99" i="1"/>
  <c r="AA99" i="1" s="1"/>
  <c r="Z214" i="1"/>
  <c r="AA214" i="1" s="1"/>
  <c r="Z256" i="1"/>
  <c r="AA256" i="1" s="1"/>
  <c r="Z278" i="1"/>
  <c r="AA278" i="1" s="1"/>
  <c r="Z309" i="1"/>
  <c r="AA309" i="1" s="1"/>
  <c r="Z4" i="1"/>
  <c r="AA4" i="1" s="1"/>
  <c r="AH4" i="1" s="1"/>
  <c r="Z131" i="1"/>
  <c r="AA131" i="1" s="1"/>
  <c r="Z197" i="1"/>
  <c r="AA197" i="1" s="1"/>
  <c r="Z176" i="1"/>
  <c r="AA176" i="1" s="1"/>
  <c r="Z322" i="1"/>
  <c r="AA322" i="1" s="1"/>
  <c r="Z187" i="1"/>
  <c r="AA187" i="1" s="1"/>
  <c r="Z175" i="1"/>
  <c r="AA175" i="1" s="1"/>
  <c r="Z235" i="1"/>
  <c r="AA235" i="1" s="1"/>
  <c r="Z98" i="1"/>
  <c r="AA98" i="1" s="1"/>
  <c r="Z93" i="1"/>
  <c r="AA93" i="1" s="1"/>
  <c r="Z133" i="1"/>
  <c r="AA133" i="1" s="1"/>
  <c r="Z139" i="1"/>
  <c r="AA139" i="1" s="1"/>
  <c r="Z162" i="1"/>
  <c r="AA162" i="1" s="1"/>
  <c r="Z174" i="1"/>
  <c r="AA174" i="1" s="1"/>
  <c r="Z226" i="1"/>
  <c r="AA226" i="1" s="1"/>
  <c r="Z234" i="1"/>
  <c r="AA234" i="1" s="1"/>
  <c r="Z244" i="1"/>
  <c r="AA244" i="1" s="1"/>
  <c r="Z273" i="1"/>
  <c r="AA273" i="1" s="1"/>
  <c r="Z397" i="1"/>
  <c r="AA397" i="1" s="1"/>
  <c r="Z92" i="1"/>
  <c r="AA92" i="1" s="1"/>
  <c r="Z192" i="1"/>
  <c r="AA192" i="1" s="1"/>
  <c r="Z208" i="1"/>
  <c r="AA208" i="1" s="1"/>
  <c r="Z220" i="1"/>
  <c r="AA220" i="1" s="1"/>
  <c r="Z233" i="1"/>
  <c r="AA233" i="1" s="1"/>
  <c r="Z390" i="1"/>
  <c r="AA390" i="1" s="1"/>
  <c r="Z183" i="1"/>
  <c r="AA183" i="1" s="1"/>
  <c r="Z275" i="1"/>
  <c r="AA275" i="1" s="1"/>
  <c r="Z276" i="1"/>
  <c r="AA276" i="1" s="1"/>
  <c r="Z292" i="1"/>
  <c r="AA292" i="1" s="1"/>
  <c r="Z391" i="1"/>
  <c r="AA391" i="1" s="1"/>
  <c r="Z153" i="1"/>
  <c r="AA153" i="1" s="1"/>
  <c r="Z236" i="1"/>
  <c r="AA236" i="1" s="1"/>
  <c r="Z274" i="1"/>
  <c r="AA274" i="1" s="1"/>
  <c r="Z74" i="1"/>
  <c r="AA74" i="1" s="1"/>
  <c r="Z149" i="1"/>
  <c r="AA149" i="1" s="1"/>
  <c r="Z182" i="1"/>
  <c r="AA182" i="1" s="1"/>
  <c r="Z215" i="1"/>
  <c r="AA215" i="1" s="1"/>
  <c r="Z242" i="1"/>
  <c r="AA242" i="1" s="1"/>
  <c r="Z372" i="1"/>
  <c r="AA372" i="1" s="1"/>
  <c r="Z109" i="1"/>
  <c r="AA109" i="1" s="1"/>
  <c r="Z97" i="1"/>
  <c r="AA97" i="1" s="1"/>
  <c r="Z112" i="1"/>
  <c r="AA112" i="1" s="1"/>
  <c r="Z251" i="1"/>
  <c r="AA251" i="1" s="1"/>
  <c r="Z284" i="1"/>
  <c r="AA284" i="1" s="1"/>
  <c r="Z386" i="1"/>
  <c r="AA386" i="1" s="1"/>
  <c r="Z396" i="1"/>
  <c r="AA396" i="1" s="1"/>
  <c r="Z78" i="1"/>
  <c r="AA78" i="1" s="1"/>
  <c r="Z120" i="1"/>
  <c r="AA120" i="1" s="1"/>
  <c r="Z100" i="1"/>
  <c r="AA100" i="1" s="1"/>
  <c r="Z200" i="1"/>
  <c r="AA200" i="1" s="1"/>
  <c r="Z196" i="1"/>
  <c r="AA196" i="1" s="1"/>
  <c r="Z222" i="1"/>
  <c r="AA222" i="1" s="1"/>
  <c r="Z216" i="1"/>
  <c r="AA216" i="1" s="1"/>
  <c r="Z265" i="1"/>
  <c r="AA265" i="1" s="1"/>
  <c r="Z282" i="1"/>
  <c r="AA282" i="1" s="1"/>
  <c r="Z287" i="1"/>
  <c r="AA287" i="1" s="1"/>
  <c r="Z299" i="1"/>
  <c r="AA299" i="1" s="1"/>
  <c r="Z307" i="1"/>
  <c r="AA307" i="1" s="1"/>
  <c r="Z395" i="1"/>
  <c r="AA395" i="1" s="1"/>
  <c r="Z108" i="1"/>
  <c r="AA108" i="1" s="1"/>
  <c r="Z111" i="1"/>
  <c r="AA111" i="1" s="1"/>
  <c r="Z119" i="1"/>
  <c r="AA119" i="1" s="1"/>
  <c r="Z138" i="1"/>
  <c r="AA138" i="1" s="1"/>
  <c r="Z156" i="1"/>
  <c r="AA156" i="1" s="1"/>
  <c r="Z209" i="1"/>
  <c r="AA209" i="1" s="1"/>
  <c r="Z257" i="1"/>
  <c r="AA257" i="1" s="1"/>
  <c r="Z261" i="1"/>
  <c r="AA261" i="1" s="1"/>
  <c r="Z263" i="1"/>
  <c r="AA263" i="1" s="1"/>
  <c r="Z302" i="1"/>
  <c r="AA302" i="1" s="1"/>
  <c r="Z306" i="1"/>
  <c r="AA306" i="1" s="1"/>
  <c r="Z136" i="1"/>
  <c r="AA136" i="1" s="1"/>
  <c r="Z66" i="1"/>
  <c r="AA66" i="1" s="1"/>
  <c r="Z248" i="1"/>
  <c r="AA248" i="1" s="1"/>
  <c r="Z73" i="1"/>
  <c r="AA73" i="1" s="1"/>
  <c r="Z132" i="1"/>
  <c r="AA132" i="1" s="1"/>
  <c r="Z152" i="1"/>
  <c r="AA152" i="1" s="1"/>
  <c r="Z193" i="1"/>
  <c r="AA193" i="1" s="1"/>
  <c r="Z239" i="1"/>
  <c r="AA239" i="1" s="1"/>
  <c r="Z117" i="1"/>
  <c r="AA117" i="1" s="1"/>
  <c r="Z217" i="1"/>
  <c r="AA217" i="1" s="1"/>
  <c r="Z245" i="1"/>
  <c r="AA245" i="1" s="1"/>
  <c r="Z310" i="1"/>
  <c r="AA310" i="1" s="1"/>
  <c r="Z129" i="1"/>
  <c r="AA129" i="1" s="1"/>
  <c r="Z107" i="1"/>
  <c r="AA107" i="1" s="1"/>
  <c r="Z141" i="1"/>
  <c r="AA141" i="1" s="1"/>
  <c r="Z116" i="1"/>
  <c r="AA116" i="1" s="1"/>
  <c r="Z137" i="1"/>
  <c r="AA137" i="1" s="1"/>
  <c r="Z83" i="1"/>
  <c r="AA83" i="1" s="1"/>
  <c r="Z115" i="1"/>
  <c r="AA115" i="1" s="1"/>
  <c r="Z103" i="1"/>
  <c r="AA103" i="1" s="1"/>
  <c r="Z114" i="1"/>
  <c r="AA114" i="1" s="1"/>
  <c r="Z130" i="1"/>
  <c r="AA130" i="1" s="1"/>
  <c r="Z161" i="1"/>
  <c r="AA161" i="1" s="1"/>
  <c r="Z210" i="1"/>
  <c r="AA210" i="1" s="1"/>
  <c r="Z81" i="1"/>
  <c r="AA81" i="1" s="1"/>
  <c r="Z113" i="1"/>
  <c r="AA113" i="1" s="1"/>
  <c r="Z101" i="1"/>
  <c r="AA101" i="1" s="1"/>
  <c r="Z140" i="1"/>
  <c r="AA140" i="1" s="1"/>
  <c r="Z38" i="1"/>
  <c r="AA38" i="1" s="1"/>
  <c r="Z80" i="1"/>
  <c r="AA80" i="1" s="1"/>
  <c r="Z159" i="1"/>
  <c r="AA159" i="1" s="1"/>
  <c r="Z72" i="1"/>
  <c r="AA72" i="1" s="1"/>
  <c r="Z68" i="1"/>
  <c r="AA68" i="1" s="1"/>
  <c r="Z79" i="1"/>
  <c r="AA79" i="1" s="1"/>
  <c r="Z91" i="1"/>
  <c r="AA91" i="1" s="1"/>
  <c r="Z128" i="1"/>
  <c r="AA128" i="1" s="1"/>
  <c r="Z127" i="1"/>
  <c r="AA127" i="1" s="1"/>
  <c r="Z121" i="1"/>
  <c r="AA121" i="1" s="1"/>
  <c r="Z126" i="1"/>
  <c r="AA126" i="1" s="1"/>
  <c r="Z65" i="1"/>
  <c r="AA65" i="1" s="1"/>
  <c r="Z96" i="1"/>
  <c r="AA96" i="1" s="1"/>
  <c r="Z75" i="1"/>
  <c r="AA75" i="1" s="1"/>
  <c r="Z88" i="1"/>
  <c r="AA88" i="1" s="1"/>
  <c r="Z148" i="1"/>
  <c r="AA148" i="1" s="1"/>
  <c r="Z163" i="1"/>
  <c r="AA163" i="1" s="1"/>
  <c r="Z213" i="1"/>
  <c r="AA213" i="1" s="1"/>
  <c r="Z144" i="1"/>
  <c r="AA144" i="1" s="1"/>
  <c r="Z179" i="1"/>
  <c r="AA179" i="1" s="1"/>
  <c r="Z202" i="1"/>
  <c r="AA202" i="1" s="1"/>
  <c r="Z228" i="1"/>
  <c r="AA228" i="1" s="1"/>
  <c r="Z178" i="1"/>
  <c r="AA178" i="1" s="1"/>
  <c r="Z201" i="1"/>
  <c r="AA201" i="1" s="1"/>
  <c r="Z255" i="1"/>
  <c r="AA255" i="1" s="1"/>
  <c r="Z191" i="1"/>
  <c r="AA191" i="1" s="1"/>
  <c r="Z250" i="1"/>
  <c r="AA250" i="1" s="1"/>
  <c r="Z264" i="1"/>
  <c r="AA264" i="1" s="1"/>
  <c r="Z171" i="1"/>
  <c r="AA171" i="1" s="1"/>
  <c r="Z190" i="1"/>
  <c r="AA190" i="1" s="1"/>
  <c r="Z207" i="1"/>
  <c r="AA207" i="1" s="1"/>
  <c r="Z283" i="1"/>
  <c r="AA283" i="1" s="1"/>
  <c r="Z206" i="1"/>
  <c r="AA206" i="1" s="1"/>
  <c r="Z247" i="1"/>
  <c r="AA247" i="1" s="1"/>
  <c r="Z185" i="1"/>
  <c r="AA185" i="1" s="1"/>
  <c r="Z184" i="1"/>
  <c r="AA184" i="1" s="1"/>
  <c r="Z198" i="1"/>
  <c r="AA198" i="1" s="1"/>
  <c r="Z277" i="1"/>
  <c r="AA277" i="1" s="1"/>
  <c r="Z262" i="1"/>
  <c r="AA262" i="1" s="1"/>
  <c r="Z301" i="1"/>
  <c r="AA301" i="1" s="1"/>
  <c r="Z260" i="1"/>
  <c r="AA260" i="1" s="1"/>
  <c r="Z321" i="1"/>
  <c r="AA321" i="1" s="1"/>
  <c r="Z400" i="1"/>
  <c r="AA400" i="1" s="1"/>
  <c r="Z258" i="1"/>
  <c r="AA258" i="1" s="1"/>
  <c r="Z267" i="1"/>
  <c r="AA267" i="1" s="1"/>
  <c r="Z281" i="1"/>
  <c r="AA281" i="1" s="1"/>
  <c r="Z289" i="1"/>
  <c r="AA289" i="1" s="1"/>
  <c r="Z288" i="1"/>
  <c r="AA288" i="1" s="1"/>
  <c r="Z312" i="1"/>
  <c r="AA312" i="1" s="1"/>
  <c r="Z279" i="1"/>
  <c r="AA279" i="1" s="1"/>
  <c r="Z311" i="1"/>
  <c r="AA311" i="1" s="1"/>
  <c r="Z318" i="1"/>
  <c r="AA318" i="1" s="1"/>
  <c r="Z367" i="1"/>
  <c r="AA367" i="1" s="1"/>
  <c r="Z317" i="1"/>
  <c r="AA317" i="1" s="1"/>
  <c r="Z303" i="1"/>
  <c r="AA303" i="1" s="1"/>
  <c r="Z316" i="1"/>
  <c r="AA316" i="1" s="1"/>
  <c r="Z327" i="1"/>
  <c r="AA327" i="1" s="1"/>
  <c r="Z399" i="1"/>
  <c r="AA399" i="1" s="1"/>
  <c r="Z295" i="1"/>
  <c r="AA295" i="1" s="1"/>
  <c r="Z300" i="1"/>
  <c r="AA300" i="1" s="1"/>
  <c r="Z325" i="1"/>
  <c r="AA325" i="1" s="1"/>
  <c r="Z324" i="1"/>
  <c r="AA324" i="1" s="1"/>
  <c r="Z392" i="1"/>
  <c r="AA392" i="1" s="1"/>
  <c r="Z320" i="1"/>
  <c r="AA320" i="1" s="1"/>
  <c r="Z339" i="1"/>
  <c r="AA339" i="1" s="1"/>
  <c r="Z336" i="1"/>
  <c r="AA336" i="1" s="1"/>
  <c r="Z332" i="1"/>
  <c r="AA332" i="1" s="1"/>
  <c r="Z341" i="1"/>
  <c r="AA341" i="1" s="1"/>
  <c r="Z334" i="1"/>
  <c r="AA334" i="1" s="1"/>
  <c r="Z333" i="1"/>
  <c r="AA333" i="1" s="1"/>
  <c r="Z331" i="1"/>
  <c r="AA331" i="1" s="1"/>
  <c r="Z330" i="1"/>
  <c r="AA330" i="1" s="1"/>
  <c r="Z340" i="1"/>
  <c r="AA340" i="1" s="1"/>
  <c r="Z338" i="1"/>
  <c r="AA338" i="1" s="1"/>
  <c r="Z337" i="1"/>
  <c r="AA337" i="1" s="1"/>
  <c r="Z335" i="1"/>
  <c r="AA335" i="1" s="1"/>
  <c r="Z296" i="1"/>
  <c r="AA296" i="1" s="1"/>
  <c r="BE134" i="1"/>
  <c r="BE133" i="1"/>
  <c r="BE132" i="1"/>
  <c r="BE131" i="1"/>
  <c r="BE130" i="1"/>
  <c r="BE140" i="1"/>
  <c r="BE139" i="1"/>
  <c r="BE138" i="1"/>
  <c r="BE128" i="1"/>
  <c r="BE137" i="1"/>
  <c r="BE127" i="1"/>
  <c r="BE136" i="1"/>
  <c r="BE126" i="1"/>
  <c r="BE125" i="1"/>
  <c r="BE124" i="1"/>
  <c r="BE141" i="1"/>
  <c r="BE129" i="1"/>
  <c r="BG86" i="1"/>
  <c r="BE86" i="1"/>
  <c r="X87" i="1"/>
  <c r="Z87" i="1" s="1"/>
  <c r="AA87" i="1" s="1"/>
  <c r="BG88" i="1"/>
  <c r="BE88" i="1"/>
  <c r="BE87" i="1"/>
  <c r="Z86" i="1"/>
  <c r="AA86" i="1" s="1"/>
  <c r="Z55" i="1"/>
  <c r="AA55" i="1" s="1"/>
  <c r="Z41" i="1"/>
  <c r="AA41" i="1" s="1"/>
  <c r="Z40" i="1"/>
  <c r="AA40" i="1" s="1"/>
  <c r="Z39" i="1"/>
  <c r="AA39" i="1" s="1"/>
  <c r="Z26" i="1"/>
  <c r="AA26" i="1" s="1"/>
  <c r="Z29" i="1"/>
  <c r="AA29" i="1" s="1"/>
  <c r="Z25" i="1"/>
  <c r="AA25" i="1" s="1"/>
  <c r="Z24" i="1"/>
  <c r="AA24" i="1" s="1"/>
  <c r="Z58" i="1"/>
  <c r="AA58" i="1" s="1"/>
  <c r="Z52" i="1"/>
  <c r="AA52" i="1" s="1"/>
  <c r="Z23" i="1"/>
  <c r="AA23" i="1" s="1"/>
  <c r="Z32" i="1"/>
  <c r="AA32" i="1" s="1"/>
  <c r="Z42" i="1"/>
  <c r="AA42" i="1" s="1"/>
  <c r="Z62" i="1"/>
  <c r="AA62" i="1" s="1"/>
  <c r="Z27" i="1"/>
  <c r="AA27" i="1" s="1"/>
  <c r="Z37" i="1"/>
  <c r="AA37" i="1" s="1"/>
  <c r="Z46" i="1"/>
  <c r="AA46" i="1" s="1"/>
  <c r="Z34" i="1"/>
  <c r="AA34" i="1" s="1"/>
  <c r="Z48" i="1"/>
  <c r="AA48" i="1" s="1"/>
  <c r="Z36" i="1"/>
  <c r="AA36" i="1" s="1"/>
  <c r="Z51" i="1"/>
  <c r="AA51" i="1" s="1"/>
  <c r="Z47" i="1"/>
  <c r="AA47" i="1" s="1"/>
  <c r="Z35" i="1"/>
  <c r="AA35" i="1" s="1"/>
  <c r="Z61" i="1"/>
  <c r="AA61" i="1" s="1"/>
  <c r="Z45" i="1"/>
  <c r="AA45" i="1" s="1"/>
  <c r="Z33" i="1"/>
  <c r="AA33" i="1" s="1"/>
  <c r="Z44" i="1"/>
  <c r="AA44" i="1" s="1"/>
  <c r="BH5" i="1" l="1"/>
  <c r="BL5" i="1" s="1" a="1"/>
  <c r="BL5" i="1" s="1"/>
  <c r="BH4" i="1"/>
  <c r="BL4" i="1" s="1" a="1"/>
  <c r="BL4" i="1" s="1"/>
  <c r="BH6" i="1"/>
  <c r="BL6" i="1" s="1" a="1"/>
  <c r="BL6" i="1" s="1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AU412" i="1"/>
  <c r="AX412" i="1" s="1"/>
  <c r="AZ412" i="1" s="1"/>
  <c r="BB412" i="1" s="1"/>
  <c r="AU411" i="1"/>
  <c r="AX411" i="1" s="1"/>
  <c r="AZ411" i="1" s="1"/>
  <c r="BB411" i="1" s="1"/>
  <c r="BD411" i="1" s="1"/>
  <c r="AU410" i="1"/>
  <c r="AX410" i="1" s="1"/>
  <c r="AZ410" i="1" s="1"/>
  <c r="BB410" i="1" s="1"/>
  <c r="AU409" i="1"/>
  <c r="AV409" i="1" s="1"/>
  <c r="AU408" i="1"/>
  <c r="AX408" i="1" s="1"/>
  <c r="AZ408" i="1" s="1"/>
  <c r="BB408" i="1" s="1"/>
  <c r="AU407" i="1"/>
  <c r="AV407" i="1" s="1"/>
  <c r="X407" i="1"/>
  <c r="Y407" i="1" a="1"/>
  <c r="Y407" i="1" s="1"/>
  <c r="BE407" i="1"/>
  <c r="BG407" i="1"/>
  <c r="BI407" i="1"/>
  <c r="X408" i="1"/>
  <c r="Y408" i="1" a="1"/>
  <c r="Y408" i="1" s="1"/>
  <c r="BE408" i="1"/>
  <c r="BG408" i="1"/>
  <c r="BI408" i="1"/>
  <c r="X409" i="1"/>
  <c r="Y409" i="1" a="1"/>
  <c r="Y409" i="1" s="1"/>
  <c r="BE409" i="1"/>
  <c r="BG409" i="1"/>
  <c r="BI409" i="1"/>
  <c r="X410" i="1"/>
  <c r="Y410" i="1" a="1"/>
  <c r="Y410" i="1" s="1"/>
  <c r="BE410" i="1"/>
  <c r="BG410" i="1"/>
  <c r="BI410" i="1"/>
  <c r="X411" i="1"/>
  <c r="Y411" i="1" a="1"/>
  <c r="Y411" i="1" s="1"/>
  <c r="BE411" i="1"/>
  <c r="BG411" i="1"/>
  <c r="BI411" i="1"/>
  <c r="X414" i="1"/>
  <c r="Y414" i="1" a="1"/>
  <c r="Y414" i="1" s="1"/>
  <c r="AU414" i="1"/>
  <c r="AX414" i="1" s="1"/>
  <c r="AZ414" i="1" s="1"/>
  <c r="BB414" i="1" s="1"/>
  <c r="BE414" i="1"/>
  <c r="BG414" i="1"/>
  <c r="BI414" i="1"/>
  <c r="X415" i="1"/>
  <c r="Y415" i="1" a="1"/>
  <c r="Y415" i="1" s="1"/>
  <c r="AU415" i="1"/>
  <c r="AV415" i="1" s="1"/>
  <c r="BE415" i="1"/>
  <c r="BG415" i="1"/>
  <c r="BI415" i="1"/>
  <c r="X412" i="1"/>
  <c r="Y412" i="1" a="1"/>
  <c r="Y412" i="1" s="1"/>
  <c r="BE412" i="1"/>
  <c r="BG412" i="1"/>
  <c r="BI412" i="1"/>
  <c r="X413" i="1"/>
  <c r="Y413" i="1" a="1"/>
  <c r="Y413" i="1" s="1"/>
  <c r="AU413" i="1"/>
  <c r="AX413" i="1" s="1"/>
  <c r="AZ413" i="1" s="1"/>
  <c r="BB413" i="1" s="1"/>
  <c r="BE413" i="1"/>
  <c r="BG413" i="1"/>
  <c r="BI413" i="1"/>
  <c r="Y403" i="1" a="1"/>
  <c r="Y403" i="1" s="1"/>
  <c r="Y404" i="1" a="1"/>
  <c r="Y404" i="1" s="1"/>
  <c r="Y405" i="1" a="1"/>
  <c r="Y405" i="1" s="1"/>
  <c r="Y406" i="1" a="1"/>
  <c r="Y406" i="1" s="1"/>
  <c r="Y416" i="1" a="1"/>
  <c r="Y416" i="1" s="1"/>
  <c r="X403" i="1"/>
  <c r="X404" i="1"/>
  <c r="X405" i="1"/>
  <c r="X406" i="1"/>
  <c r="X416" i="1"/>
  <c r="BI403" i="1"/>
  <c r="BI404" i="1"/>
  <c r="BI405" i="1"/>
  <c r="BI406" i="1"/>
  <c r="BI416" i="1"/>
  <c r="BG403" i="1"/>
  <c r="BG404" i="1"/>
  <c r="BG405" i="1"/>
  <c r="BG406" i="1"/>
  <c r="BG416" i="1"/>
  <c r="BE403" i="1"/>
  <c r="BE404" i="1"/>
  <c r="BE405" i="1"/>
  <c r="BE406" i="1"/>
  <c r="BE416" i="1"/>
  <c r="BJ6" i="1" l="1" a="1"/>
  <c r="BJ6" i="1" s="1"/>
  <c r="BK6" i="1" s="1" a="1"/>
  <c r="BK6" i="1" s="1"/>
  <c r="BM6" i="1" s="1" a="1"/>
  <c r="BM6" i="1" s="1"/>
  <c r="BJ5" i="1" a="1"/>
  <c r="BJ5" i="1" s="1"/>
  <c r="BK5" i="1" s="1" a="1"/>
  <c r="BK5" i="1" s="1"/>
  <c r="BJ4" i="1" a="1"/>
  <c r="BJ4" i="1" s="1"/>
  <c r="BK4" i="1" s="1" a="1"/>
  <c r="BK4" i="1" s="1"/>
  <c r="AV414" i="1"/>
  <c r="AV412" i="1"/>
  <c r="AX407" i="1"/>
  <c r="AZ407" i="1" s="1"/>
  <c r="BB407" i="1" s="1"/>
  <c r="BF407" i="1" s="1"/>
  <c r="BH407" i="1" s="1"/>
  <c r="AV408" i="1"/>
  <c r="AX409" i="1"/>
  <c r="AZ409" i="1" s="1"/>
  <c r="BB409" i="1" s="1"/>
  <c r="AV411" i="1"/>
  <c r="BE9" i="1"/>
  <c r="BE10" i="1"/>
  <c r="BE11" i="1"/>
  <c r="BE16" i="1"/>
  <c r="BE17" i="1"/>
  <c r="BE18" i="1"/>
  <c r="BE19" i="1"/>
  <c r="BG9" i="1"/>
  <c r="BG10" i="1"/>
  <c r="BG11" i="1"/>
  <c r="BG16" i="1"/>
  <c r="BG17" i="1"/>
  <c r="BG18" i="1"/>
  <c r="BG19" i="1"/>
  <c r="X9" i="1"/>
  <c r="Z9" i="1" s="1"/>
  <c r="AA9" i="1" s="1"/>
  <c r="X10" i="1"/>
  <c r="X11" i="1"/>
  <c r="X16" i="1"/>
  <c r="X18" i="1"/>
  <c r="X17" i="1"/>
  <c r="X19" i="1"/>
  <c r="AV410" i="1"/>
  <c r="BD408" i="1"/>
  <c r="BF408" i="1"/>
  <c r="BH408" i="1" s="1"/>
  <c r="Z408" i="1"/>
  <c r="AA408" i="1" s="1"/>
  <c r="AH408" i="1" s="1"/>
  <c r="Z411" i="1"/>
  <c r="AA411" i="1" s="1"/>
  <c r="AH411" i="1" s="1"/>
  <c r="Z409" i="1"/>
  <c r="AA409" i="1" s="1"/>
  <c r="AH409" i="1" s="1"/>
  <c r="Z410" i="1"/>
  <c r="AA410" i="1" s="1"/>
  <c r="AH410" i="1" s="1"/>
  <c r="Z407" i="1"/>
  <c r="AA407" i="1" s="1"/>
  <c r="AH407" i="1" s="1"/>
  <c r="BD410" i="1"/>
  <c r="BF410" i="1"/>
  <c r="BH410" i="1" s="1"/>
  <c r="BF411" i="1"/>
  <c r="BH411" i="1" s="1"/>
  <c r="AV413" i="1"/>
  <c r="AX415" i="1"/>
  <c r="AZ415" i="1" s="1"/>
  <c r="BB415" i="1" s="1"/>
  <c r="BF415" i="1" s="1"/>
  <c r="BH415" i="1" s="1"/>
  <c r="Z414" i="1"/>
  <c r="AA414" i="1" s="1"/>
  <c r="AH414" i="1" s="1"/>
  <c r="Z415" i="1"/>
  <c r="AA415" i="1" s="1"/>
  <c r="AH415" i="1" s="1"/>
  <c r="BF414" i="1"/>
  <c r="BH414" i="1" s="1"/>
  <c r="BD414" i="1"/>
  <c r="Z412" i="1"/>
  <c r="AA412" i="1" s="1"/>
  <c r="AH412" i="1" s="1"/>
  <c r="Z413" i="1"/>
  <c r="AA413" i="1" s="1"/>
  <c r="AH413" i="1" s="1"/>
  <c r="BF413" i="1"/>
  <c r="BH413" i="1" s="1"/>
  <c r="BD413" i="1"/>
  <c r="E44" i="42"/>
  <c r="E43" i="42"/>
  <c r="E42" i="42"/>
  <c r="E41" i="42"/>
  <c r="E40" i="42"/>
  <c r="E39" i="42"/>
  <c r="E38" i="42"/>
  <c r="E37" i="42"/>
  <c r="E36" i="42"/>
  <c r="E35" i="42"/>
  <c r="E34" i="42"/>
  <c r="E33" i="42"/>
  <c r="E32" i="42"/>
  <c r="E31" i="42"/>
  <c r="E30" i="42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" i="42"/>
  <c r="E7" i="42"/>
  <c r="E6" i="42"/>
  <c r="E5" i="42"/>
  <c r="E4" i="42"/>
  <c r="E3" i="42"/>
  <c r="BL414" i="1" l="1" a="1"/>
  <c r="BL414" i="1" s="1"/>
  <c r="BL413" i="1" a="1"/>
  <c r="BL413" i="1" s="1"/>
  <c r="BL410" i="1" a="1"/>
  <c r="BL410" i="1" s="1"/>
  <c r="BM4" i="1" a="1"/>
  <c r="BM4" i="1" s="1"/>
  <c r="BM5" i="1" a="1"/>
  <c r="BM5" i="1" s="1"/>
  <c r="BL408" i="1" a="1"/>
  <c r="BL408" i="1" s="1"/>
  <c r="BL411" i="1" a="1"/>
  <c r="BL411" i="1" s="1"/>
  <c r="Z17" i="1"/>
  <c r="AA17" i="1" s="1"/>
  <c r="AH17" i="1" s="1"/>
  <c r="Z18" i="1"/>
  <c r="AA18" i="1" s="1"/>
  <c r="AH18" i="1" s="1"/>
  <c r="Z16" i="1"/>
  <c r="AA16" i="1" s="1"/>
  <c r="AH16" i="1" s="1"/>
  <c r="Z11" i="1"/>
  <c r="AA11" i="1" s="1"/>
  <c r="AH11" i="1" s="1"/>
  <c r="Z10" i="1"/>
  <c r="AA10" i="1" s="1"/>
  <c r="AH10" i="1" s="1"/>
  <c r="Z19" i="1"/>
  <c r="AA19" i="1" s="1"/>
  <c r="AH19" i="1" s="1"/>
  <c r="BD407" i="1"/>
  <c r="BD415" i="1"/>
  <c r="BD409" i="1"/>
  <c r="BF409" i="1"/>
  <c r="BH409" i="1" s="1"/>
  <c r="BJ410" i="1" a="1"/>
  <c r="BJ410" i="1" s="1"/>
  <c r="BJ408" i="1" a="1"/>
  <c r="BJ408" i="1" s="1"/>
  <c r="BJ411" i="1" a="1"/>
  <c r="BJ411" i="1" s="1"/>
  <c r="BJ414" i="1" a="1"/>
  <c r="BJ414" i="1" s="1"/>
  <c r="BF412" i="1"/>
  <c r="BH412" i="1" s="1"/>
  <c r="BD412" i="1"/>
  <c r="BJ413" i="1" a="1"/>
  <c r="BJ413" i="1" s="1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BL412" i="1" l="1" a="1"/>
  <c r="BL412" i="1" s="1"/>
  <c r="BL409" i="1" a="1"/>
  <c r="BL409" i="1" s="1"/>
  <c r="BK411" i="1" a="1"/>
  <c r="BK411" i="1" s="1"/>
  <c r="BM411" i="1" s="1" a="1"/>
  <c r="BM411" i="1" s="1"/>
  <c r="BK410" i="1" a="1"/>
  <c r="BK410" i="1" s="1"/>
  <c r="BM410" i="1" s="1" a="1"/>
  <c r="BM410" i="1" s="1"/>
  <c r="BK414" i="1" a="1"/>
  <c r="BK414" i="1" s="1"/>
  <c r="BM414" i="1" s="1" a="1"/>
  <c r="BM414" i="1" s="1"/>
  <c r="BJ415" i="1" a="1"/>
  <c r="BJ415" i="1" s="1"/>
  <c r="BL415" i="1" a="1"/>
  <c r="BL415" i="1" s="1"/>
  <c r="BJ407" i="1" a="1"/>
  <c r="BJ407" i="1" s="1"/>
  <c r="BL407" i="1" a="1"/>
  <c r="BL407" i="1" s="1"/>
  <c r="BK413" i="1" a="1"/>
  <c r="BK413" i="1" s="1"/>
  <c r="BM413" i="1" s="1" a="1"/>
  <c r="BM413" i="1" s="1"/>
  <c r="BK408" i="1" a="1"/>
  <c r="BK408" i="1" s="1"/>
  <c r="BM408" i="1" s="1" a="1"/>
  <c r="BM408" i="1" s="1"/>
  <c r="BJ409" i="1" a="1"/>
  <c r="BJ409" i="1" s="1"/>
  <c r="BJ412" i="1" a="1"/>
  <c r="BJ412" i="1" s="1"/>
  <c r="BK407" i="1" l="1" a="1"/>
  <c r="BK407" i="1" s="1"/>
  <c r="BM407" i="1" s="1" a="1"/>
  <c r="BM407" i="1" s="1"/>
  <c r="BK412" i="1" a="1"/>
  <c r="BK412" i="1" s="1"/>
  <c r="BM412" i="1" s="1" a="1"/>
  <c r="BM412" i="1" s="1"/>
  <c r="BK415" i="1" a="1"/>
  <c r="BK415" i="1" s="1"/>
  <c r="BM415" i="1" s="1" a="1"/>
  <c r="BM415" i="1" s="1"/>
  <c r="BK409" i="1" a="1"/>
  <c r="BK409" i="1" s="1"/>
  <c r="BM409" i="1" s="1" a="1"/>
  <c r="BM409" i="1" s="1"/>
  <c r="E3" i="65"/>
  <c r="E3" i="64"/>
  <c r="E3" i="63"/>
  <c r="E3" i="62"/>
  <c r="E3" i="61"/>
  <c r="E3" i="60"/>
  <c r="F34" i="59"/>
  <c r="F35" i="59" s="1"/>
  <c r="F36" i="59" s="1"/>
  <c r="F37" i="59" s="1"/>
  <c r="E3" i="59"/>
  <c r="E3" i="58"/>
  <c r="E3" i="57"/>
  <c r="E3" i="56"/>
  <c r="E3" i="55"/>
  <c r="E3" i="54"/>
  <c r="E3" i="53"/>
  <c r="E3" i="52"/>
  <c r="E3" i="48"/>
  <c r="F13" i="47"/>
  <c r="E3" i="47"/>
  <c r="Z406" i="1" l="1"/>
  <c r="AA406" i="1" s="1"/>
  <c r="Z404" i="1" l="1"/>
  <c r="AA404" i="1" s="1"/>
  <c r="Z403" i="1"/>
  <c r="Z416" i="1"/>
  <c r="AA416" i="1" s="1"/>
  <c r="Z405" i="1"/>
  <c r="AA405" i="1" s="1"/>
  <c r="AA403" i="1" l="1"/>
  <c r="AH71" i="1" l="1"/>
  <c r="AH75" i="1"/>
  <c r="AH72" i="1"/>
  <c r="AH92" i="1"/>
  <c r="AH81" i="1"/>
  <c r="AH79" i="1"/>
  <c r="AH73" i="1"/>
  <c r="AH80" i="1"/>
  <c r="AH82" i="1"/>
  <c r="AH78" i="1"/>
  <c r="AH87" i="1"/>
  <c r="AH86" i="1"/>
  <c r="AH65" i="1"/>
  <c r="AH55" i="1"/>
  <c r="AH91" i="1"/>
  <c r="AH416" i="1"/>
  <c r="AH406" i="1"/>
  <c r="AH405" i="1"/>
  <c r="AH404" i="1"/>
  <c r="AH403" i="1"/>
  <c r="AH392" i="1"/>
  <c r="AH391" i="1"/>
  <c r="AH390" i="1"/>
  <c r="AH368" i="1"/>
  <c r="AH367" i="1"/>
  <c r="AH366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296" i="1"/>
  <c r="AH295" i="1"/>
  <c r="AH294" i="1"/>
  <c r="AH293" i="1"/>
  <c r="AH292" i="1"/>
  <c r="AH289" i="1"/>
  <c r="AH288" i="1"/>
  <c r="AH287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69" i="1"/>
  <c r="AH268" i="1"/>
  <c r="AH267" i="1"/>
  <c r="AH255" i="1"/>
  <c r="AH266" i="1"/>
  <c r="AH265" i="1"/>
  <c r="AH264" i="1"/>
  <c r="AH263" i="1"/>
  <c r="AH262" i="1"/>
  <c r="AH261" i="1"/>
  <c r="AH260" i="1"/>
  <c r="AH259" i="1"/>
  <c r="AH258" i="1"/>
  <c r="AH257" i="1"/>
  <c r="AH256" i="1"/>
  <c r="AH236" i="1"/>
  <c r="AH235" i="1"/>
  <c r="AH234" i="1"/>
  <c r="AH239" i="1"/>
  <c r="AH238" i="1"/>
  <c r="AH237" i="1"/>
  <c r="AH233" i="1"/>
  <c r="AH232" i="1"/>
  <c r="AH229" i="1"/>
  <c r="AH228" i="1"/>
  <c r="AH227" i="1"/>
  <c r="AH226" i="1"/>
  <c r="AH225" i="1"/>
  <c r="AH208" i="1"/>
  <c r="AH207" i="1"/>
  <c r="AH206" i="1"/>
  <c r="AH210" i="1"/>
  <c r="AH209" i="1"/>
  <c r="AH193" i="1"/>
  <c r="AH192" i="1"/>
  <c r="AH191" i="1"/>
  <c r="AH190" i="1"/>
  <c r="AH185" i="1"/>
  <c r="AH184" i="1"/>
  <c r="AH183" i="1"/>
  <c r="AH182" i="1"/>
  <c r="AH181" i="1"/>
  <c r="AH180" i="1"/>
  <c r="AH187" i="1"/>
  <c r="AH179" i="1"/>
  <c r="AH178" i="1"/>
  <c r="AH177" i="1"/>
  <c r="AH176" i="1"/>
  <c r="AH175" i="1"/>
  <c r="AH186" i="1"/>
  <c r="AH174" i="1"/>
  <c r="AH170" i="1"/>
  <c r="AH169" i="1"/>
  <c r="AH168" i="1"/>
  <c r="AH167" i="1"/>
  <c r="AH166" i="1"/>
  <c r="AH171" i="1"/>
  <c r="AH145" i="1"/>
  <c r="AH144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3" i="1"/>
  <c r="AH88" i="1"/>
  <c r="AH83" i="1"/>
  <c r="AH74" i="1"/>
  <c r="AH68" i="1"/>
  <c r="AH67" i="1"/>
  <c r="AH66" i="1"/>
  <c r="AH58" i="1"/>
  <c r="AH57" i="1"/>
  <c r="AH56" i="1"/>
  <c r="AH28" i="1" l="1"/>
  <c r="AH23" i="1"/>
  <c r="AH24" i="1"/>
  <c r="AH26" i="1"/>
  <c r="AH27" i="1"/>
  <c r="AH29" i="1"/>
  <c r="AH25" i="1"/>
  <c r="AH52" i="1"/>
  <c r="AH61" i="1"/>
  <c r="AH62" i="1"/>
  <c r="AH300" i="1"/>
  <c r="AH303" i="1"/>
  <c r="AH301" i="1"/>
  <c r="AH302" i="1"/>
  <c r="AH45" i="1" l="1"/>
  <c r="AH39" i="1"/>
  <c r="AH33" i="1"/>
  <c r="AH43" i="1"/>
  <c r="AH37" i="1"/>
  <c r="AH44" i="1"/>
  <c r="AH38" i="1"/>
  <c r="AH48" i="1"/>
  <c r="AH36" i="1"/>
  <c r="AH40" i="1"/>
  <c r="AH34" i="1"/>
  <c r="AH42" i="1"/>
  <c r="AH47" i="1"/>
  <c r="AH41" i="1"/>
  <c r="AH35" i="1"/>
  <c r="AH46" i="1"/>
  <c r="AH197" i="1"/>
  <c r="AH198" i="1"/>
  <c r="AH250" i="1"/>
  <c r="AH397" i="1"/>
  <c r="AH245" i="1"/>
  <c r="AH251" i="1"/>
  <c r="AH246" i="1"/>
  <c r="AH252" i="1"/>
  <c r="AH247" i="1"/>
  <c r="AH242" i="1"/>
  <c r="AH248" i="1"/>
  <c r="AH243" i="1"/>
  <c r="AH249" i="1"/>
  <c r="AH312" i="1"/>
  <c r="AH396" i="1"/>
  <c r="AH398" i="1"/>
  <c r="AH299" i="1"/>
  <c r="AH51" i="1"/>
  <c r="AH399" i="1"/>
  <c r="AH22" i="1"/>
  <c r="AH400" i="1"/>
  <c r="AH215" i="1"/>
  <c r="AH244" i="1"/>
  <c r="AH220" i="1" l="1"/>
  <c r="AH311" i="1"/>
  <c r="AH9" i="1"/>
  <c r="AH222" i="1"/>
  <c r="AH199" i="1"/>
  <c r="AH221" i="1"/>
  <c r="AH218" i="1"/>
  <c r="AH216" i="1"/>
  <c r="AH217" i="1"/>
  <c r="AH219" i="1"/>
  <c r="AH202" i="1"/>
  <c r="AH196" i="1"/>
  <c r="AH308" i="1"/>
  <c r="AH307" i="1"/>
  <c r="AH214" i="1"/>
  <c r="AH200" i="1"/>
  <c r="AH201" i="1"/>
  <c r="AH203" i="1"/>
  <c r="AH310" i="1"/>
  <c r="AH313" i="1"/>
  <c r="AH309" i="1"/>
  <c r="AH385" i="1"/>
  <c r="AH387" i="1"/>
  <c r="AH372" i="1"/>
  <c r="AH371" i="1"/>
  <c r="AH386" i="1"/>
  <c r="AH395" i="1"/>
  <c r="AH213" i="1" l="1"/>
  <c r="AH306" i="1"/>
  <c r="AH161" i="1"/>
  <c r="AH162" i="1"/>
  <c r="AH159" i="1"/>
  <c r="AH160" i="1"/>
  <c r="AH163" i="1"/>
  <c r="AH156" i="1"/>
  <c r="AH157" i="1"/>
  <c r="AH158" i="1"/>
  <c r="AU368" i="1"/>
  <c r="AU367" i="1"/>
  <c r="AU366" i="1"/>
  <c r="AU341" i="1"/>
  <c r="AV341" i="1" s="1"/>
  <c r="AU340" i="1"/>
  <c r="AV340" i="1" s="1"/>
  <c r="AU339" i="1"/>
  <c r="AV339" i="1" s="1"/>
  <c r="AU338" i="1"/>
  <c r="AV338" i="1" s="1"/>
  <c r="AU337" i="1"/>
  <c r="AU336" i="1"/>
  <c r="AU335" i="1"/>
  <c r="AU334" i="1"/>
  <c r="AU333" i="1"/>
  <c r="AU332" i="1"/>
  <c r="AU331" i="1"/>
  <c r="AU330" i="1"/>
  <c r="AU327" i="1"/>
  <c r="AV327" i="1" s="1"/>
  <c r="AU326" i="1"/>
  <c r="AV326" i="1" s="1"/>
  <c r="AU325" i="1"/>
  <c r="AV325" i="1" s="1"/>
  <c r="AU324" i="1"/>
  <c r="AU323" i="1"/>
  <c r="AV323" i="1" s="1"/>
  <c r="AU322" i="1"/>
  <c r="AU321" i="1"/>
  <c r="AU320" i="1"/>
  <c r="AU319" i="1"/>
  <c r="AV319" i="1" s="1"/>
  <c r="AU318" i="1"/>
  <c r="AV318" i="1" s="1"/>
  <c r="AU317" i="1"/>
  <c r="AV317" i="1" s="1"/>
  <c r="AU316" i="1"/>
  <c r="AV316" i="1" s="1"/>
  <c r="AU313" i="1"/>
  <c r="AU312" i="1"/>
  <c r="AU311" i="1"/>
  <c r="AU310" i="1"/>
  <c r="AU309" i="1"/>
  <c r="AU308" i="1"/>
  <c r="AV308" i="1" s="1"/>
  <c r="AU307" i="1"/>
  <c r="AV307" i="1" s="1"/>
  <c r="AU306" i="1"/>
  <c r="AU303" i="1"/>
  <c r="AU302" i="1"/>
  <c r="AV302" i="1" s="1"/>
  <c r="AU301" i="1"/>
  <c r="AU300" i="1"/>
  <c r="AV300" i="1" s="1"/>
  <c r="AU299" i="1"/>
  <c r="AV299" i="1" s="1"/>
  <c r="AU296" i="1"/>
  <c r="AU295" i="1"/>
  <c r="AV295" i="1" s="1"/>
  <c r="AU294" i="1"/>
  <c r="AV294" i="1" s="1"/>
  <c r="AU293" i="1"/>
  <c r="AV293" i="1" s="1"/>
  <c r="AU292" i="1"/>
  <c r="AV292" i="1" s="1"/>
  <c r="AU289" i="1"/>
  <c r="AV289" i="1" s="1"/>
  <c r="AU288" i="1"/>
  <c r="AV288" i="1" s="1"/>
  <c r="AU287" i="1"/>
  <c r="AU284" i="1"/>
  <c r="AV284" i="1" s="1"/>
  <c r="AU283" i="1"/>
  <c r="AV283" i="1" s="1"/>
  <c r="AU282" i="1"/>
  <c r="AU281" i="1"/>
  <c r="AU280" i="1"/>
  <c r="AU279" i="1"/>
  <c r="AV279" i="1" s="1"/>
  <c r="AU278" i="1"/>
  <c r="AU277" i="1"/>
  <c r="AU276" i="1"/>
  <c r="AU275" i="1"/>
  <c r="AV275" i="1" s="1"/>
  <c r="AU274" i="1"/>
  <c r="AV274" i="1" s="1"/>
  <c r="AU273" i="1"/>
  <c r="AV273" i="1" s="1"/>
  <c r="AU272" i="1"/>
  <c r="AV272" i="1" s="1"/>
  <c r="AU269" i="1"/>
  <c r="AV269" i="1" s="1"/>
  <c r="AU268" i="1"/>
  <c r="AV268" i="1" s="1"/>
  <c r="AU267" i="1"/>
  <c r="AV267" i="1" s="1"/>
  <c r="AU255" i="1"/>
  <c r="AV255" i="1" s="1"/>
  <c r="AU266" i="1"/>
  <c r="AV266" i="1" s="1"/>
  <c r="AU265" i="1"/>
  <c r="AU264" i="1"/>
  <c r="AU263" i="1"/>
  <c r="AU262" i="1"/>
  <c r="AV262" i="1" s="1"/>
  <c r="AU261" i="1"/>
  <c r="AU260" i="1"/>
  <c r="AU259" i="1"/>
  <c r="AU258" i="1"/>
  <c r="AV258" i="1" s="1"/>
  <c r="AU257" i="1"/>
  <c r="AV257" i="1" s="1"/>
  <c r="AU256" i="1"/>
  <c r="AV256" i="1" s="1"/>
  <c r="AU252" i="1"/>
  <c r="AV252" i="1" s="1"/>
  <c r="AU251" i="1"/>
  <c r="AU250" i="1"/>
  <c r="AV250" i="1" s="1"/>
  <c r="AU249" i="1"/>
  <c r="AV249" i="1" s="1"/>
  <c r="AU248" i="1"/>
  <c r="AU247" i="1"/>
  <c r="AU246" i="1"/>
  <c r="AU245" i="1"/>
  <c r="AV245" i="1" s="1"/>
  <c r="AU244" i="1"/>
  <c r="AV244" i="1" s="1"/>
  <c r="AU243" i="1"/>
  <c r="AU242" i="1"/>
  <c r="AV242" i="1" s="1"/>
  <c r="AU236" i="1"/>
  <c r="AU235" i="1"/>
  <c r="AU234" i="1"/>
  <c r="AU239" i="1"/>
  <c r="AV239" i="1" s="1"/>
  <c r="AU238" i="1"/>
  <c r="AV238" i="1" s="1"/>
  <c r="AU237" i="1"/>
  <c r="AV237" i="1" s="1"/>
  <c r="AU233" i="1"/>
  <c r="AU232" i="1"/>
  <c r="AU229" i="1"/>
  <c r="AV229" i="1" s="1"/>
  <c r="AU228" i="1"/>
  <c r="AV228" i="1" s="1"/>
  <c r="AU227" i="1"/>
  <c r="AV227" i="1" s="1"/>
  <c r="AU226" i="1"/>
  <c r="AV226" i="1" s="1"/>
  <c r="AU225" i="1"/>
  <c r="AV225" i="1" s="1"/>
  <c r="AU222" i="1"/>
  <c r="AV222" i="1" s="1"/>
  <c r="AU217" i="1"/>
  <c r="AV217" i="1" s="1"/>
  <c r="AU221" i="1"/>
  <c r="AV221" i="1" s="1"/>
  <c r="AU216" i="1"/>
  <c r="AV216" i="1" s="1"/>
  <c r="AU220" i="1"/>
  <c r="AU215" i="1"/>
  <c r="AU219" i="1"/>
  <c r="AV219" i="1" s="1"/>
  <c r="AU214" i="1"/>
  <c r="AU218" i="1"/>
  <c r="AV218" i="1" s="1"/>
  <c r="AU213" i="1"/>
  <c r="AV213" i="1" s="1"/>
  <c r="AU208" i="1"/>
  <c r="AU207" i="1"/>
  <c r="AU206" i="1"/>
  <c r="AV206" i="1" s="1"/>
  <c r="AU210" i="1"/>
  <c r="AV210" i="1" s="1"/>
  <c r="AU209" i="1"/>
  <c r="AV209" i="1" s="1"/>
  <c r="AU203" i="1"/>
  <c r="AV203" i="1" s="1"/>
  <c r="AU199" i="1"/>
  <c r="AV199" i="1" s="1"/>
  <c r="AU198" i="1"/>
  <c r="AV198" i="1" s="1"/>
  <c r="AU202" i="1"/>
  <c r="AU197" i="1"/>
  <c r="AU201" i="1"/>
  <c r="AV201" i="1" s="1"/>
  <c r="AU200" i="1"/>
  <c r="AV200" i="1" s="1"/>
  <c r="AU196" i="1"/>
  <c r="AU193" i="1"/>
  <c r="AV193" i="1" s="1"/>
  <c r="AU192" i="1"/>
  <c r="AU191" i="1"/>
  <c r="AV191" i="1" s="1"/>
  <c r="AU190" i="1"/>
  <c r="AV190" i="1" s="1"/>
  <c r="AU185" i="1"/>
  <c r="AU184" i="1"/>
  <c r="AU183" i="1"/>
  <c r="AU182" i="1"/>
  <c r="AU181" i="1"/>
  <c r="AU180" i="1"/>
  <c r="AV180" i="1" s="1"/>
  <c r="AU187" i="1"/>
  <c r="AV187" i="1" s="1"/>
  <c r="AU179" i="1"/>
  <c r="AV179" i="1" s="1"/>
  <c r="AU178" i="1"/>
  <c r="AV178" i="1" s="1"/>
  <c r="AU177" i="1"/>
  <c r="AV177" i="1" s="1"/>
  <c r="AU176" i="1"/>
  <c r="AU175" i="1"/>
  <c r="AV175" i="1" s="1"/>
  <c r="AU186" i="1"/>
  <c r="AU174" i="1"/>
  <c r="AV174" i="1" s="1"/>
  <c r="AU170" i="1"/>
  <c r="AV170" i="1" s="1"/>
  <c r="AU169" i="1"/>
  <c r="AV169" i="1" s="1"/>
  <c r="AU168" i="1"/>
  <c r="AU167" i="1"/>
  <c r="AV167" i="1" s="1"/>
  <c r="AU166" i="1"/>
  <c r="AU171" i="1"/>
  <c r="AU163" i="1"/>
  <c r="AU159" i="1"/>
  <c r="AU162" i="1"/>
  <c r="AU158" i="1"/>
  <c r="AV158" i="1" s="1"/>
  <c r="AU161" i="1"/>
  <c r="AV161" i="1" s="1"/>
  <c r="AU157" i="1"/>
  <c r="AV157" i="1" s="1"/>
  <c r="AU160" i="1"/>
  <c r="AV160" i="1" s="1"/>
  <c r="AU156" i="1"/>
  <c r="AU153" i="1"/>
  <c r="AU150" i="1"/>
  <c r="AV150" i="1" s="1"/>
  <c r="AU152" i="1"/>
  <c r="AV152" i="1" s="1"/>
  <c r="AU149" i="1"/>
  <c r="AU151" i="1"/>
  <c r="AV151" i="1" s="1"/>
  <c r="AU148" i="1"/>
  <c r="AV148" i="1" s="1"/>
  <c r="AU145" i="1"/>
  <c r="AV145" i="1" s="1"/>
  <c r="AU144" i="1"/>
  <c r="AU141" i="1"/>
  <c r="AV141" i="1" s="1"/>
  <c r="AU140" i="1"/>
  <c r="AU139" i="1"/>
  <c r="AV139" i="1" s="1"/>
  <c r="AU138" i="1"/>
  <c r="AV138" i="1" s="1"/>
  <c r="AU137" i="1"/>
  <c r="AU136" i="1"/>
  <c r="AU135" i="1"/>
  <c r="AU134" i="1"/>
  <c r="AV134" i="1" s="1"/>
  <c r="AU133" i="1"/>
  <c r="AV133" i="1" s="1"/>
  <c r="AU132" i="1"/>
  <c r="AV132" i="1" s="1"/>
  <c r="AU131" i="1"/>
  <c r="AV131" i="1" s="1"/>
  <c r="AU130" i="1"/>
  <c r="AU129" i="1"/>
  <c r="AV129" i="1" s="1"/>
  <c r="AU128" i="1"/>
  <c r="AU127" i="1"/>
  <c r="AU126" i="1"/>
  <c r="AV126" i="1" s="1"/>
  <c r="AU125" i="1"/>
  <c r="AU124" i="1"/>
  <c r="AV124" i="1" s="1"/>
  <c r="AU121" i="1"/>
  <c r="AV121" i="1" s="1"/>
  <c r="AU120" i="1"/>
  <c r="AV120" i="1" s="1"/>
  <c r="AU119" i="1"/>
  <c r="AV119" i="1" s="1"/>
  <c r="AU118" i="1"/>
  <c r="AV118" i="1" s="1"/>
  <c r="AU117" i="1"/>
  <c r="AV117" i="1" s="1"/>
  <c r="AU116" i="1"/>
  <c r="AU115" i="1"/>
  <c r="AV115" i="1" s="1"/>
  <c r="AU114" i="1"/>
  <c r="AU113" i="1"/>
  <c r="AU112" i="1"/>
  <c r="AU111" i="1"/>
  <c r="AU110" i="1"/>
  <c r="AV110" i="1" s="1"/>
  <c r="AU109" i="1"/>
  <c r="AV109" i="1" s="1"/>
  <c r="AU108" i="1"/>
  <c r="AV108" i="1" s="1"/>
  <c r="AU107" i="1"/>
  <c r="AV107" i="1" s="1"/>
  <c r="AU106" i="1"/>
  <c r="AV106" i="1" s="1"/>
  <c r="AU105" i="1"/>
  <c r="AV105" i="1" s="1"/>
  <c r="AU104" i="1"/>
  <c r="AU103" i="1"/>
  <c r="AV103" i="1" s="1"/>
  <c r="AU102" i="1"/>
  <c r="AU101" i="1"/>
  <c r="AU100" i="1"/>
  <c r="AU99" i="1"/>
  <c r="AU98" i="1"/>
  <c r="AV98" i="1" s="1"/>
  <c r="AU97" i="1"/>
  <c r="AV97" i="1" s="1"/>
  <c r="AU96" i="1"/>
  <c r="AV96" i="1" s="1"/>
  <c r="AU93" i="1"/>
  <c r="AU92" i="1"/>
  <c r="AU91" i="1"/>
  <c r="AV91" i="1" s="1"/>
  <c r="AU88" i="1"/>
  <c r="AU87" i="1"/>
  <c r="AV87" i="1" s="1"/>
  <c r="AU86" i="1"/>
  <c r="AU83" i="1"/>
  <c r="AV83" i="1" s="1"/>
  <c r="AU82" i="1"/>
  <c r="AV82" i="1" s="1"/>
  <c r="AU81" i="1"/>
  <c r="AU80" i="1"/>
  <c r="AU79" i="1"/>
  <c r="AU78" i="1"/>
  <c r="AV78" i="1" s="1"/>
  <c r="AU75" i="1"/>
  <c r="AV75" i="1" s="1"/>
  <c r="AU74" i="1"/>
  <c r="AU73" i="1"/>
  <c r="AV73" i="1" s="1"/>
  <c r="AU72" i="1"/>
  <c r="AU71" i="1"/>
  <c r="AV71" i="1" s="1"/>
  <c r="AU68" i="1"/>
  <c r="AU67" i="1"/>
  <c r="AV67" i="1" s="1"/>
  <c r="AU66" i="1"/>
  <c r="AV66" i="1" s="1"/>
  <c r="AU65" i="1"/>
  <c r="AU62" i="1"/>
  <c r="AV62" i="1" s="1"/>
  <c r="AU61" i="1"/>
  <c r="AV61" i="1" s="1"/>
  <c r="AU58" i="1"/>
  <c r="AV58" i="1" s="1"/>
  <c r="AU57" i="1"/>
  <c r="AU56" i="1"/>
  <c r="AV56" i="1" s="1"/>
  <c r="AU55" i="1"/>
  <c r="AV55" i="1" s="1"/>
  <c r="AU52" i="1"/>
  <c r="AU51" i="1"/>
  <c r="AV51" i="1" s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29" i="1"/>
  <c r="AU28" i="1"/>
  <c r="AU27" i="1"/>
  <c r="AU26" i="1"/>
  <c r="AU25" i="1"/>
  <c r="AU24" i="1"/>
  <c r="AU23" i="1"/>
  <c r="AU22" i="1"/>
  <c r="AU10" i="1"/>
  <c r="AV10" i="1" s="1"/>
  <c r="AU19" i="1"/>
  <c r="AV19" i="1" s="1"/>
  <c r="AU18" i="1"/>
  <c r="AV18" i="1" s="1"/>
  <c r="AU17" i="1"/>
  <c r="AV17" i="1" s="1"/>
  <c r="AU16" i="1"/>
  <c r="AV16" i="1" s="1"/>
  <c r="AU9" i="1"/>
  <c r="AV9" i="1" s="1"/>
  <c r="AU11" i="1"/>
  <c r="AU387" i="1"/>
  <c r="AV387" i="1" s="1"/>
  <c r="AU386" i="1"/>
  <c r="AV386" i="1" s="1"/>
  <c r="AU385" i="1"/>
  <c r="AV385" i="1" s="1"/>
  <c r="AU372" i="1"/>
  <c r="AV372" i="1" s="1"/>
  <c r="AU371" i="1"/>
  <c r="AU392" i="1"/>
  <c r="AV392" i="1" s="1"/>
  <c r="AU391" i="1"/>
  <c r="AU390" i="1"/>
  <c r="AU400" i="1"/>
  <c r="AU399" i="1"/>
  <c r="AU398" i="1"/>
  <c r="AU397" i="1"/>
  <c r="AV397" i="1" s="1"/>
  <c r="AU396" i="1"/>
  <c r="AV396" i="1" s="1"/>
  <c r="AU395" i="1"/>
  <c r="AV395" i="1" s="1"/>
  <c r="AU416" i="1"/>
  <c r="AV416" i="1" s="1"/>
  <c r="AU406" i="1"/>
  <c r="AV406" i="1" s="1"/>
  <c r="AU405" i="1"/>
  <c r="AV405" i="1" s="1"/>
  <c r="AU404" i="1"/>
  <c r="AV404" i="1" s="1"/>
  <c r="AU403" i="1"/>
  <c r="AV403" i="1" s="1"/>
  <c r="AH148" i="1" l="1"/>
  <c r="AX256" i="1"/>
  <c r="AZ256" i="1" s="1"/>
  <c r="BB256" i="1" s="1"/>
  <c r="AX158" i="1"/>
  <c r="AZ158" i="1" s="1"/>
  <c r="BB158" i="1" s="1"/>
  <c r="AX121" i="1"/>
  <c r="AZ121" i="1" s="1"/>
  <c r="BB121" i="1" s="1"/>
  <c r="AX61" i="1"/>
  <c r="AZ61" i="1" s="1"/>
  <c r="BB61" i="1" s="1"/>
  <c r="AX396" i="1"/>
  <c r="AZ396" i="1" s="1"/>
  <c r="BB396" i="1" s="1"/>
  <c r="AX279" i="1"/>
  <c r="AZ279" i="1" s="1"/>
  <c r="BB279" i="1" s="1"/>
  <c r="AX175" i="1"/>
  <c r="AZ175" i="1" s="1"/>
  <c r="BB175" i="1" s="1"/>
  <c r="AX323" i="1"/>
  <c r="AZ323" i="1" s="1"/>
  <c r="BB323" i="1" s="1"/>
  <c r="AX216" i="1"/>
  <c r="AZ216" i="1" s="1"/>
  <c r="BB216" i="1" s="1"/>
  <c r="AX316" i="1"/>
  <c r="AZ316" i="1" s="1"/>
  <c r="BB316" i="1" s="1"/>
  <c r="AX114" i="1"/>
  <c r="AZ114" i="1" s="1"/>
  <c r="BB114" i="1" s="1"/>
  <c r="AV114" i="1"/>
  <c r="AV29" i="1"/>
  <c r="AX29" i="1"/>
  <c r="AZ29" i="1" s="1"/>
  <c r="BB29" i="1" s="1"/>
  <c r="AX79" i="1"/>
  <c r="AZ79" i="1" s="1"/>
  <c r="BB79" i="1" s="1"/>
  <c r="AV79" i="1"/>
  <c r="AX17" i="1"/>
  <c r="AZ17" i="1" s="1"/>
  <c r="BB17" i="1" s="1"/>
  <c r="AV44" i="1"/>
  <c r="AX44" i="1"/>
  <c r="AZ44" i="1" s="1"/>
  <c r="BB44" i="1" s="1"/>
  <c r="AX18" i="1"/>
  <c r="AZ18" i="1" s="1"/>
  <c r="BB18" i="1" s="1"/>
  <c r="AV45" i="1"/>
  <c r="AX45" i="1"/>
  <c r="AZ45" i="1" s="1"/>
  <c r="BB45" i="1" s="1"/>
  <c r="AX65" i="1"/>
  <c r="AZ65" i="1" s="1"/>
  <c r="BB65" i="1" s="1"/>
  <c r="AV65" i="1"/>
  <c r="AX81" i="1"/>
  <c r="AZ81" i="1" s="1"/>
  <c r="BB81" i="1" s="1"/>
  <c r="AV81" i="1"/>
  <c r="AX99" i="1"/>
  <c r="AZ99" i="1" s="1"/>
  <c r="BB99" i="1" s="1"/>
  <c r="AV99" i="1"/>
  <c r="AX111" i="1"/>
  <c r="AZ111" i="1" s="1"/>
  <c r="BB111" i="1" s="1"/>
  <c r="AV111" i="1"/>
  <c r="AX125" i="1"/>
  <c r="AZ125" i="1" s="1"/>
  <c r="BB125" i="1" s="1"/>
  <c r="AV125" i="1"/>
  <c r="AX137" i="1"/>
  <c r="AZ137" i="1" s="1"/>
  <c r="BB137" i="1" s="1"/>
  <c r="AV137" i="1"/>
  <c r="AX153" i="1"/>
  <c r="AZ153" i="1" s="1"/>
  <c r="BB153" i="1" s="1"/>
  <c r="AV153" i="1"/>
  <c r="AX168" i="1"/>
  <c r="AZ168" i="1" s="1"/>
  <c r="BB168" i="1" s="1"/>
  <c r="AV168" i="1"/>
  <c r="AX181" i="1"/>
  <c r="AZ181" i="1" s="1"/>
  <c r="BB181" i="1" s="1"/>
  <c r="AV181" i="1"/>
  <c r="AX197" i="1"/>
  <c r="AZ197" i="1" s="1"/>
  <c r="BB197" i="1" s="1"/>
  <c r="AV197" i="1"/>
  <c r="AX214" i="1"/>
  <c r="AZ214" i="1" s="1"/>
  <c r="BB214" i="1" s="1"/>
  <c r="AV214" i="1"/>
  <c r="AX260" i="1"/>
  <c r="AZ260" i="1" s="1"/>
  <c r="BB260" i="1" s="1"/>
  <c r="AV260" i="1"/>
  <c r="AX287" i="1"/>
  <c r="AZ287" i="1" s="1"/>
  <c r="BB287" i="1" s="1"/>
  <c r="AV287" i="1"/>
  <c r="AX303" i="1"/>
  <c r="AZ303" i="1" s="1"/>
  <c r="BB303" i="1" s="1"/>
  <c r="AV303" i="1"/>
  <c r="AX333" i="1"/>
  <c r="AZ333" i="1" s="1"/>
  <c r="BB333" i="1" s="1"/>
  <c r="AV333" i="1"/>
  <c r="AX22" i="1"/>
  <c r="AZ22" i="1" s="1"/>
  <c r="BB22" i="1" s="1"/>
  <c r="AV22" i="1"/>
  <c r="AX276" i="1"/>
  <c r="AZ276" i="1" s="1"/>
  <c r="BB276" i="1" s="1"/>
  <c r="AV276" i="1"/>
  <c r="AX336" i="1"/>
  <c r="AZ336" i="1" s="1"/>
  <c r="BB336" i="1" s="1"/>
  <c r="AV336" i="1"/>
  <c r="AX16" i="1"/>
  <c r="AZ16" i="1" s="1"/>
  <c r="BB16" i="1" s="1"/>
  <c r="AV43" i="1"/>
  <c r="AX43" i="1"/>
  <c r="AZ43" i="1" s="1"/>
  <c r="BB43" i="1" s="1"/>
  <c r="AX136" i="1"/>
  <c r="AZ136" i="1" s="1"/>
  <c r="BB136" i="1" s="1"/>
  <c r="AV136" i="1"/>
  <c r="AX161" i="1"/>
  <c r="AZ161" i="1" s="1"/>
  <c r="BB161" i="1" s="1"/>
  <c r="AX390" i="1"/>
  <c r="AZ390" i="1" s="1"/>
  <c r="BB390" i="1" s="1"/>
  <c r="AV390" i="1"/>
  <c r="AX33" i="1"/>
  <c r="AZ33" i="1" s="1"/>
  <c r="BB33" i="1" s="1"/>
  <c r="AV33" i="1"/>
  <c r="AX391" i="1"/>
  <c r="AZ391" i="1" s="1"/>
  <c r="BB391" i="1" s="1"/>
  <c r="AV391" i="1"/>
  <c r="AX19" i="1"/>
  <c r="AZ19" i="1" s="1"/>
  <c r="AV34" i="1"/>
  <c r="AX34" i="1"/>
  <c r="AZ34" i="1" s="1"/>
  <c r="BB34" i="1" s="1"/>
  <c r="AV46" i="1"/>
  <c r="AX46" i="1"/>
  <c r="AZ46" i="1" s="1"/>
  <c r="BB46" i="1" s="1"/>
  <c r="AX100" i="1"/>
  <c r="AZ100" i="1" s="1"/>
  <c r="BB100" i="1" s="1"/>
  <c r="AV100" i="1"/>
  <c r="AX112" i="1"/>
  <c r="AZ112" i="1" s="1"/>
  <c r="BB112" i="1" s="1"/>
  <c r="AV112" i="1"/>
  <c r="AX156" i="1"/>
  <c r="AZ156" i="1" s="1"/>
  <c r="BB156" i="1" s="1"/>
  <c r="AV156" i="1"/>
  <c r="AX182" i="1"/>
  <c r="AZ182" i="1" s="1"/>
  <c r="BB182" i="1" s="1"/>
  <c r="AV182" i="1"/>
  <c r="AX202" i="1"/>
  <c r="AZ202" i="1" s="1"/>
  <c r="BB202" i="1" s="1"/>
  <c r="AV202" i="1"/>
  <c r="AX232" i="1"/>
  <c r="AZ232" i="1" s="1"/>
  <c r="BB232" i="1" s="1"/>
  <c r="AV232" i="1"/>
  <c r="AX246" i="1"/>
  <c r="AZ246" i="1" s="1"/>
  <c r="BB246" i="1" s="1"/>
  <c r="AV246" i="1"/>
  <c r="AX261" i="1"/>
  <c r="AZ261" i="1" s="1"/>
  <c r="BB261" i="1" s="1"/>
  <c r="AV261" i="1"/>
  <c r="AX306" i="1"/>
  <c r="AZ306" i="1" s="1"/>
  <c r="BB306" i="1" s="1"/>
  <c r="AV306" i="1"/>
  <c r="AX320" i="1"/>
  <c r="AZ320" i="1" s="1"/>
  <c r="BB320" i="1" s="1"/>
  <c r="AV320" i="1"/>
  <c r="AX334" i="1"/>
  <c r="AZ334" i="1" s="1"/>
  <c r="BB334" i="1" s="1"/>
  <c r="AV334" i="1"/>
  <c r="AX68" i="1"/>
  <c r="AZ68" i="1" s="1"/>
  <c r="BB68" i="1" s="1"/>
  <c r="AV68" i="1"/>
  <c r="AX400" i="1"/>
  <c r="AZ400" i="1" s="1"/>
  <c r="BB400" i="1" s="1"/>
  <c r="AV400" i="1"/>
  <c r="AX10" i="1"/>
  <c r="AZ10" i="1" s="1"/>
  <c r="BB10" i="1" s="1"/>
  <c r="AV35" i="1"/>
  <c r="AX35" i="1"/>
  <c r="AZ35" i="1" s="1"/>
  <c r="BB35" i="1" s="1"/>
  <c r="AV47" i="1"/>
  <c r="AX47" i="1"/>
  <c r="AZ47" i="1" s="1"/>
  <c r="BB47" i="1" s="1"/>
  <c r="AX101" i="1"/>
  <c r="AZ101" i="1" s="1"/>
  <c r="BB101" i="1" s="1"/>
  <c r="AV101" i="1"/>
  <c r="AX113" i="1"/>
  <c r="AZ113" i="1" s="1"/>
  <c r="BB113" i="1" s="1"/>
  <c r="AV113" i="1"/>
  <c r="AX127" i="1"/>
  <c r="AZ127" i="1" s="1"/>
  <c r="BB127" i="1" s="1"/>
  <c r="AV127" i="1"/>
  <c r="AX183" i="1"/>
  <c r="AZ183" i="1" s="1"/>
  <c r="BB183" i="1" s="1"/>
  <c r="AV183" i="1"/>
  <c r="AX215" i="1"/>
  <c r="AZ215" i="1" s="1"/>
  <c r="BB215" i="1" s="1"/>
  <c r="AV215" i="1"/>
  <c r="AX233" i="1"/>
  <c r="AZ233" i="1" s="1"/>
  <c r="BB233" i="1" s="1"/>
  <c r="AV233" i="1"/>
  <c r="AX247" i="1"/>
  <c r="AZ247" i="1" s="1"/>
  <c r="BB247" i="1" s="1"/>
  <c r="AV247" i="1"/>
  <c r="AX321" i="1"/>
  <c r="AZ321" i="1" s="1"/>
  <c r="BB321" i="1" s="1"/>
  <c r="AV321" i="1"/>
  <c r="AX335" i="1"/>
  <c r="AZ335" i="1" s="1"/>
  <c r="BB335" i="1" s="1"/>
  <c r="AV335" i="1"/>
  <c r="AX220" i="1"/>
  <c r="AZ220" i="1" s="1"/>
  <c r="BB220" i="1" s="1"/>
  <c r="AV220" i="1"/>
  <c r="AV23" i="1"/>
  <c r="AX23" i="1"/>
  <c r="AZ23" i="1" s="1"/>
  <c r="AX185" i="1"/>
  <c r="AZ185" i="1" s="1"/>
  <c r="BB185" i="1" s="1"/>
  <c r="AV185" i="1"/>
  <c r="AX264" i="1"/>
  <c r="AZ264" i="1" s="1"/>
  <c r="BB264" i="1" s="1"/>
  <c r="AV264" i="1"/>
  <c r="AX277" i="1"/>
  <c r="AZ277" i="1" s="1"/>
  <c r="BB277" i="1" s="1"/>
  <c r="AV277" i="1"/>
  <c r="AX309" i="1"/>
  <c r="AZ309" i="1" s="1"/>
  <c r="BB309" i="1" s="1"/>
  <c r="AV309" i="1"/>
  <c r="AX337" i="1"/>
  <c r="AZ337" i="1" s="1"/>
  <c r="BB337" i="1" s="1"/>
  <c r="AV337" i="1"/>
  <c r="AX367" i="1"/>
  <c r="AZ367" i="1" s="1"/>
  <c r="BB367" i="1" s="1"/>
  <c r="AV367" i="1"/>
  <c r="AX186" i="1"/>
  <c r="AZ186" i="1" s="1"/>
  <c r="BB186" i="1" s="1"/>
  <c r="AV186" i="1"/>
  <c r="AV24" i="1"/>
  <c r="AX24" i="1"/>
  <c r="AZ24" i="1" s="1"/>
  <c r="BB24" i="1" s="1"/>
  <c r="AV38" i="1"/>
  <c r="AX38" i="1"/>
  <c r="AZ38" i="1" s="1"/>
  <c r="BB38" i="1" s="1"/>
  <c r="AX52" i="1"/>
  <c r="AZ52" i="1" s="1"/>
  <c r="BB52" i="1" s="1"/>
  <c r="AV52" i="1"/>
  <c r="AX72" i="1"/>
  <c r="AZ72" i="1" s="1"/>
  <c r="BB72" i="1" s="1"/>
  <c r="AV72" i="1"/>
  <c r="AX88" i="1"/>
  <c r="AZ88" i="1" s="1"/>
  <c r="BB88" i="1" s="1"/>
  <c r="AV88" i="1"/>
  <c r="AX104" i="1"/>
  <c r="AZ104" i="1" s="1"/>
  <c r="BB104" i="1" s="1"/>
  <c r="AV104" i="1"/>
  <c r="AX116" i="1"/>
  <c r="AZ116" i="1" s="1"/>
  <c r="BB116" i="1" s="1"/>
  <c r="AV116" i="1"/>
  <c r="AX130" i="1"/>
  <c r="AZ130" i="1" s="1"/>
  <c r="BB130" i="1" s="1"/>
  <c r="AV130" i="1"/>
  <c r="AX144" i="1"/>
  <c r="AZ144" i="1" s="1"/>
  <c r="BB144" i="1" s="1"/>
  <c r="AV144" i="1"/>
  <c r="AX265" i="1"/>
  <c r="AZ265" i="1" s="1"/>
  <c r="BB265" i="1" s="1"/>
  <c r="AV265" i="1"/>
  <c r="AX278" i="1"/>
  <c r="AZ278" i="1" s="1"/>
  <c r="BB278" i="1" s="1"/>
  <c r="AV278" i="1"/>
  <c r="AX310" i="1"/>
  <c r="AZ310" i="1" s="1"/>
  <c r="BB310" i="1" s="1"/>
  <c r="AV310" i="1"/>
  <c r="AX324" i="1"/>
  <c r="AZ324" i="1" s="1"/>
  <c r="BB324" i="1" s="1"/>
  <c r="AV324" i="1"/>
  <c r="AX368" i="1"/>
  <c r="AZ368" i="1" s="1"/>
  <c r="BB368" i="1" s="1"/>
  <c r="AV368" i="1"/>
  <c r="AX140" i="1"/>
  <c r="AZ140" i="1" s="1"/>
  <c r="BB140" i="1" s="1"/>
  <c r="AV140" i="1"/>
  <c r="AX167" i="1"/>
  <c r="AZ167" i="1" s="1"/>
  <c r="BB167" i="1" s="1"/>
  <c r="AV25" i="1"/>
  <c r="AX25" i="1"/>
  <c r="AZ25" i="1" s="1"/>
  <c r="AV39" i="1"/>
  <c r="AX39" i="1"/>
  <c r="AZ39" i="1" s="1"/>
  <c r="BB39" i="1" s="1"/>
  <c r="AX162" i="1"/>
  <c r="AZ162" i="1" s="1"/>
  <c r="BB162" i="1" s="1"/>
  <c r="AV162" i="1"/>
  <c r="AX176" i="1"/>
  <c r="AZ176" i="1" s="1"/>
  <c r="BB176" i="1" s="1"/>
  <c r="AV176" i="1"/>
  <c r="AX234" i="1"/>
  <c r="AZ234" i="1" s="1"/>
  <c r="BB234" i="1" s="1"/>
  <c r="AV234" i="1"/>
  <c r="AX251" i="1"/>
  <c r="AZ251" i="1" s="1"/>
  <c r="BB251" i="1" s="1"/>
  <c r="AV251" i="1"/>
  <c r="AX311" i="1"/>
  <c r="AZ311" i="1" s="1"/>
  <c r="BB311" i="1" s="1"/>
  <c r="AV311" i="1"/>
  <c r="AX102" i="1"/>
  <c r="AZ102" i="1" s="1"/>
  <c r="BB102" i="1" s="1"/>
  <c r="AV102" i="1"/>
  <c r="AX248" i="1"/>
  <c r="AZ248" i="1" s="1"/>
  <c r="BB248" i="1" s="1"/>
  <c r="AV248" i="1"/>
  <c r="AV37" i="1"/>
  <c r="AX37" i="1"/>
  <c r="AZ37" i="1" s="1"/>
  <c r="AV26" i="1"/>
  <c r="AX26" i="1"/>
  <c r="AZ26" i="1" s="1"/>
  <c r="BB26" i="1" s="1"/>
  <c r="AX40" i="1"/>
  <c r="AZ40" i="1" s="1"/>
  <c r="BB40" i="1" s="1"/>
  <c r="AV40" i="1"/>
  <c r="AX74" i="1"/>
  <c r="AZ74" i="1" s="1"/>
  <c r="BB74" i="1" s="1"/>
  <c r="AV74" i="1"/>
  <c r="AX92" i="1"/>
  <c r="AZ92" i="1" s="1"/>
  <c r="BB92" i="1" s="1"/>
  <c r="AV92" i="1"/>
  <c r="AX159" i="1"/>
  <c r="AZ159" i="1" s="1"/>
  <c r="BB159" i="1" s="1"/>
  <c r="AV159" i="1"/>
  <c r="AX192" i="1"/>
  <c r="AZ192" i="1" s="1"/>
  <c r="BB192" i="1" s="1"/>
  <c r="AV192" i="1"/>
  <c r="AX235" i="1"/>
  <c r="AZ235" i="1" s="1"/>
  <c r="BB235" i="1" s="1"/>
  <c r="AV235" i="1"/>
  <c r="AX280" i="1"/>
  <c r="AZ280" i="1" s="1"/>
  <c r="BB280" i="1" s="1"/>
  <c r="AV280" i="1"/>
  <c r="AX296" i="1"/>
  <c r="AZ296" i="1" s="1"/>
  <c r="BB296" i="1" s="1"/>
  <c r="AV296" i="1"/>
  <c r="AX312" i="1"/>
  <c r="AZ312" i="1" s="1"/>
  <c r="BB312" i="1" s="1"/>
  <c r="AV312" i="1"/>
  <c r="AX371" i="1"/>
  <c r="AZ371" i="1" s="1"/>
  <c r="BB371" i="1" s="1"/>
  <c r="AV371" i="1"/>
  <c r="AX366" i="1"/>
  <c r="AZ366" i="1" s="1"/>
  <c r="BB366" i="1" s="1"/>
  <c r="AV366" i="1"/>
  <c r="AX163" i="1"/>
  <c r="AZ163" i="1" s="1"/>
  <c r="BB163" i="1" s="1"/>
  <c r="AV163" i="1"/>
  <c r="AX207" i="1"/>
  <c r="AZ207" i="1" s="1"/>
  <c r="BB207" i="1" s="1"/>
  <c r="AV207" i="1"/>
  <c r="AX236" i="1"/>
  <c r="AZ236" i="1" s="1"/>
  <c r="BB236" i="1" s="1"/>
  <c r="AV236" i="1"/>
  <c r="AX281" i="1"/>
  <c r="AZ281" i="1" s="1"/>
  <c r="BB281" i="1" s="1"/>
  <c r="AV281" i="1"/>
  <c r="AX313" i="1"/>
  <c r="AZ313" i="1" s="1"/>
  <c r="BB313" i="1" s="1"/>
  <c r="AV313" i="1"/>
  <c r="AX36" i="1"/>
  <c r="AZ36" i="1" s="1"/>
  <c r="BB36" i="1" s="1"/>
  <c r="AV36" i="1"/>
  <c r="AX128" i="1"/>
  <c r="AZ128" i="1" s="1"/>
  <c r="BB128" i="1" s="1"/>
  <c r="AV128" i="1"/>
  <c r="AX184" i="1"/>
  <c r="AZ184" i="1" s="1"/>
  <c r="BB184" i="1" s="1"/>
  <c r="AV184" i="1"/>
  <c r="AX263" i="1"/>
  <c r="AZ263" i="1" s="1"/>
  <c r="BB263" i="1" s="1"/>
  <c r="AV263" i="1"/>
  <c r="AV11" i="1"/>
  <c r="AX11" i="1"/>
  <c r="AZ11" i="1" s="1"/>
  <c r="BB11" i="1" s="1"/>
  <c r="AV27" i="1"/>
  <c r="AX27" i="1"/>
  <c r="AZ27" i="1" s="1"/>
  <c r="AV41" i="1"/>
  <c r="AX41" i="1"/>
  <c r="AZ41" i="1" s="1"/>
  <c r="AX57" i="1"/>
  <c r="AZ57" i="1" s="1"/>
  <c r="BB57" i="1" s="1"/>
  <c r="AV57" i="1"/>
  <c r="AX93" i="1"/>
  <c r="AZ93" i="1" s="1"/>
  <c r="BB93" i="1" s="1"/>
  <c r="AV93" i="1"/>
  <c r="AX398" i="1"/>
  <c r="AZ398" i="1" s="1"/>
  <c r="BB398" i="1" s="1"/>
  <c r="AV398" i="1"/>
  <c r="AX9" i="1"/>
  <c r="AZ9" i="1" s="1"/>
  <c r="BB9" i="1" s="1"/>
  <c r="AV28" i="1"/>
  <c r="AX28" i="1"/>
  <c r="AZ28" i="1" s="1"/>
  <c r="BB28" i="1" s="1"/>
  <c r="AV42" i="1"/>
  <c r="AX42" i="1"/>
  <c r="AZ42" i="1" s="1"/>
  <c r="AX149" i="1"/>
  <c r="AZ149" i="1" s="1"/>
  <c r="BB149" i="1" s="1"/>
  <c r="AV149" i="1"/>
  <c r="AX171" i="1"/>
  <c r="AZ171" i="1" s="1"/>
  <c r="BB171" i="1" s="1"/>
  <c r="AV171" i="1"/>
  <c r="AX196" i="1"/>
  <c r="AZ196" i="1" s="1"/>
  <c r="BB196" i="1" s="1"/>
  <c r="AV196" i="1"/>
  <c r="AX208" i="1"/>
  <c r="AZ208" i="1" s="1"/>
  <c r="BB208" i="1" s="1"/>
  <c r="AV208" i="1"/>
  <c r="AX282" i="1"/>
  <c r="AZ282" i="1" s="1"/>
  <c r="BB282" i="1" s="1"/>
  <c r="AV282" i="1"/>
  <c r="AX330" i="1"/>
  <c r="AZ330" i="1" s="1"/>
  <c r="BB330" i="1" s="1"/>
  <c r="AV330" i="1"/>
  <c r="AX48" i="1"/>
  <c r="AZ48" i="1" s="1"/>
  <c r="BB48" i="1" s="1"/>
  <c r="AV48" i="1"/>
  <c r="AX322" i="1"/>
  <c r="AZ322" i="1" s="1"/>
  <c r="BB322" i="1" s="1"/>
  <c r="AV322" i="1"/>
  <c r="AX399" i="1"/>
  <c r="AZ399" i="1" s="1"/>
  <c r="BB399" i="1" s="1"/>
  <c r="AV399" i="1"/>
  <c r="AX135" i="1"/>
  <c r="AZ135" i="1" s="1"/>
  <c r="BB135" i="1" s="1"/>
  <c r="AV135" i="1"/>
  <c r="AX166" i="1"/>
  <c r="AZ166" i="1" s="1"/>
  <c r="BB166" i="1" s="1"/>
  <c r="AV166" i="1"/>
  <c r="AX243" i="1"/>
  <c r="AZ243" i="1" s="1"/>
  <c r="BB243" i="1" s="1"/>
  <c r="AV243" i="1"/>
  <c r="AX301" i="1"/>
  <c r="AZ301" i="1" s="1"/>
  <c r="BB301" i="1" s="1"/>
  <c r="AV301" i="1"/>
  <c r="AX331" i="1"/>
  <c r="AZ331" i="1" s="1"/>
  <c r="BB331" i="1" s="1"/>
  <c r="AV331" i="1"/>
  <c r="AX86" i="1"/>
  <c r="AZ86" i="1" s="1"/>
  <c r="BB86" i="1" s="1"/>
  <c r="AV86" i="1"/>
  <c r="AV32" i="1"/>
  <c r="AX32" i="1"/>
  <c r="AZ32" i="1" s="1"/>
  <c r="BB32" i="1" s="1"/>
  <c r="AX80" i="1"/>
  <c r="AZ80" i="1" s="1"/>
  <c r="BB80" i="1" s="1"/>
  <c r="AV80" i="1"/>
  <c r="AX259" i="1"/>
  <c r="AZ259" i="1" s="1"/>
  <c r="BB259" i="1" s="1"/>
  <c r="AV259" i="1"/>
  <c r="AX332" i="1"/>
  <c r="AZ332" i="1" s="1"/>
  <c r="BB332" i="1" s="1"/>
  <c r="AV332" i="1"/>
  <c r="AX97" i="1"/>
  <c r="AZ97" i="1" s="1"/>
  <c r="AX62" i="1"/>
  <c r="AZ62" i="1" s="1"/>
  <c r="BB62" i="1" s="1"/>
  <c r="AX138" i="1"/>
  <c r="AZ138" i="1" s="1"/>
  <c r="BB138" i="1" s="1"/>
  <c r="AX139" i="1"/>
  <c r="AZ139" i="1" s="1"/>
  <c r="BB139" i="1" s="1"/>
  <c r="AX67" i="1"/>
  <c r="AZ67" i="1" s="1"/>
  <c r="BB67" i="1" s="1"/>
  <c r="AX109" i="1"/>
  <c r="AZ109" i="1" s="1"/>
  <c r="BB109" i="1" s="1"/>
  <c r="AX288" i="1"/>
  <c r="AZ288" i="1" s="1"/>
  <c r="BB288" i="1" s="1"/>
  <c r="AX83" i="1"/>
  <c r="AZ83" i="1" s="1"/>
  <c r="BB83" i="1" s="1"/>
  <c r="AX177" i="1"/>
  <c r="AZ177" i="1" s="1"/>
  <c r="BB177" i="1" s="1"/>
  <c r="AX200" i="1"/>
  <c r="AZ200" i="1" s="1"/>
  <c r="BB200" i="1" s="1"/>
  <c r="AX201" i="1"/>
  <c r="AZ201" i="1" s="1"/>
  <c r="BB201" i="1" s="1"/>
  <c r="AX179" i="1"/>
  <c r="AZ179" i="1" s="1"/>
  <c r="BB179" i="1" s="1"/>
  <c r="AX222" i="1"/>
  <c r="AZ222" i="1" s="1"/>
  <c r="BB222" i="1" s="1"/>
  <c r="AX273" i="1"/>
  <c r="AZ273" i="1" s="1"/>
  <c r="BB273" i="1" s="1"/>
  <c r="AX327" i="1"/>
  <c r="AZ327" i="1" s="1"/>
  <c r="BB327" i="1" s="1"/>
  <c r="AX267" i="1"/>
  <c r="AZ267" i="1" s="1"/>
  <c r="BB267" i="1" s="1"/>
  <c r="AX199" i="1"/>
  <c r="AZ199" i="1" s="1"/>
  <c r="BB199" i="1" s="1"/>
  <c r="AX340" i="1"/>
  <c r="AZ340" i="1" s="1"/>
  <c r="BB340" i="1" s="1"/>
  <c r="AX169" i="1"/>
  <c r="AZ169" i="1" s="1"/>
  <c r="BB169" i="1" s="1"/>
  <c r="AX227" i="1"/>
  <c r="AZ227" i="1" s="1"/>
  <c r="BB227" i="1" s="1"/>
  <c r="AX242" i="1"/>
  <c r="AZ242" i="1" s="1"/>
  <c r="BB242" i="1" s="1"/>
  <c r="AX108" i="1"/>
  <c r="AZ108" i="1" s="1"/>
  <c r="BB108" i="1" s="1"/>
  <c r="AX120" i="1"/>
  <c r="AZ120" i="1" s="1"/>
  <c r="BB120" i="1" s="1"/>
  <c r="AX82" i="1"/>
  <c r="AZ82" i="1" s="1"/>
  <c r="BB82" i="1" s="1"/>
  <c r="AX110" i="1"/>
  <c r="AZ110" i="1" s="1"/>
  <c r="BB110" i="1" s="1"/>
  <c r="AX219" i="1"/>
  <c r="AZ219" i="1" s="1"/>
  <c r="BB219" i="1" s="1"/>
  <c r="AX119" i="1"/>
  <c r="AZ119" i="1" s="1"/>
  <c r="BB119" i="1" s="1"/>
  <c r="AX58" i="1"/>
  <c r="AZ58" i="1" s="1"/>
  <c r="BB58" i="1" s="1"/>
  <c r="AX124" i="1"/>
  <c r="AZ124" i="1" s="1"/>
  <c r="AX126" i="1"/>
  <c r="AZ126" i="1" s="1"/>
  <c r="BB126" i="1" s="1"/>
  <c r="AX145" i="1"/>
  <c r="AZ145" i="1" s="1"/>
  <c r="BB145" i="1" s="1"/>
  <c r="AX262" i="1"/>
  <c r="AZ262" i="1" s="1"/>
  <c r="BB262" i="1" s="1"/>
  <c r="AX294" i="1"/>
  <c r="AZ294" i="1" s="1"/>
  <c r="BB294" i="1" s="1"/>
  <c r="AX96" i="1"/>
  <c r="AZ96" i="1" s="1"/>
  <c r="BB96" i="1" s="1"/>
  <c r="AX174" i="1"/>
  <c r="AZ174" i="1" s="1"/>
  <c r="BB174" i="1" s="1"/>
  <c r="AX237" i="1"/>
  <c r="AZ237" i="1" s="1"/>
  <c r="BB237" i="1" s="1"/>
  <c r="AX295" i="1"/>
  <c r="AZ295" i="1" s="1"/>
  <c r="BB295" i="1" s="1"/>
  <c r="AX66" i="1"/>
  <c r="AZ66" i="1" s="1"/>
  <c r="BB66" i="1" s="1"/>
  <c r="AX75" i="1"/>
  <c r="AZ75" i="1" s="1"/>
  <c r="BB75" i="1" s="1"/>
  <c r="AX133" i="1"/>
  <c r="AZ133" i="1" s="1"/>
  <c r="BB133" i="1" s="1"/>
  <c r="AX238" i="1"/>
  <c r="AZ238" i="1" s="1"/>
  <c r="BB238" i="1" s="1"/>
  <c r="AX78" i="1"/>
  <c r="AZ78" i="1" s="1"/>
  <c r="AX98" i="1"/>
  <c r="AZ98" i="1" s="1"/>
  <c r="AX134" i="1"/>
  <c r="AZ134" i="1" s="1"/>
  <c r="BB134" i="1" s="1"/>
  <c r="AX193" i="1"/>
  <c r="AZ193" i="1" s="1"/>
  <c r="BB193" i="1" s="1"/>
  <c r="AX239" i="1"/>
  <c r="AZ239" i="1" s="1"/>
  <c r="BB239" i="1" s="1"/>
  <c r="AX244" i="1"/>
  <c r="AZ244" i="1" s="1"/>
  <c r="BB244" i="1" s="1"/>
  <c r="AX228" i="1"/>
  <c r="AZ228" i="1" s="1"/>
  <c r="BB228" i="1" s="1"/>
  <c r="AX107" i="1"/>
  <c r="AZ107" i="1" s="1"/>
  <c r="AX187" i="1"/>
  <c r="AZ187" i="1" s="1"/>
  <c r="BB187" i="1" s="1"/>
  <c r="AX245" i="1"/>
  <c r="AZ245" i="1" s="1"/>
  <c r="BB245" i="1" s="1"/>
  <c r="AX198" i="1"/>
  <c r="AZ198" i="1" s="1"/>
  <c r="AX151" i="1"/>
  <c r="AZ151" i="1" s="1"/>
  <c r="AX178" i="1"/>
  <c r="AZ178" i="1" s="1"/>
  <c r="BB178" i="1" s="1"/>
  <c r="AX397" i="1"/>
  <c r="AZ397" i="1" s="1"/>
  <c r="AX56" i="1"/>
  <c r="AZ56" i="1" s="1"/>
  <c r="AX218" i="1"/>
  <c r="AZ218" i="1" s="1"/>
  <c r="BB218" i="1" s="1"/>
  <c r="AX319" i="1"/>
  <c r="AZ319" i="1" s="1"/>
  <c r="BB319" i="1" s="1"/>
  <c r="AX387" i="1"/>
  <c r="AZ387" i="1" s="1"/>
  <c r="BB387" i="1" s="1"/>
  <c r="AX160" i="1"/>
  <c r="AZ160" i="1" s="1"/>
  <c r="BB160" i="1" s="1"/>
  <c r="AX206" i="1"/>
  <c r="AZ206" i="1" s="1"/>
  <c r="BB206" i="1" s="1"/>
  <c r="AX292" i="1"/>
  <c r="AZ292" i="1" s="1"/>
  <c r="BB292" i="1" s="1"/>
  <c r="AX269" i="1"/>
  <c r="AZ269" i="1" s="1"/>
  <c r="BB269" i="1" s="1"/>
  <c r="AX157" i="1"/>
  <c r="AZ157" i="1" s="1"/>
  <c r="AX293" i="1"/>
  <c r="AZ293" i="1" s="1"/>
  <c r="BB293" i="1" s="1"/>
  <c r="AX275" i="1"/>
  <c r="AZ275" i="1" s="1"/>
  <c r="AX180" i="1"/>
  <c r="AZ180" i="1" s="1"/>
  <c r="BB180" i="1" s="1"/>
  <c r="AX229" i="1"/>
  <c r="AZ229" i="1" s="1"/>
  <c r="BB229" i="1" s="1"/>
  <c r="AX386" i="1"/>
  <c r="AZ386" i="1" s="1"/>
  <c r="BB386" i="1" s="1"/>
  <c r="AX191" i="1"/>
  <c r="AZ191" i="1" s="1"/>
  <c r="BB191" i="1" s="1"/>
  <c r="AX91" i="1"/>
  <c r="AZ91" i="1" s="1"/>
  <c r="BB91" i="1" s="1"/>
  <c r="AX318" i="1"/>
  <c r="AZ318" i="1" s="1"/>
  <c r="AX213" i="1"/>
  <c r="AZ213" i="1" s="1"/>
  <c r="BB213" i="1" s="1"/>
  <c r="AX395" i="1"/>
  <c r="AX105" i="1"/>
  <c r="AZ105" i="1" s="1"/>
  <c r="AX150" i="1"/>
  <c r="AZ150" i="1" s="1"/>
  <c r="BB150" i="1" s="1"/>
  <c r="AX307" i="1"/>
  <c r="AZ307" i="1" s="1"/>
  <c r="AX106" i="1"/>
  <c r="AZ106" i="1" s="1"/>
  <c r="AX308" i="1"/>
  <c r="AZ308" i="1" s="1"/>
  <c r="AX406" i="1"/>
  <c r="AZ406" i="1" s="1"/>
  <c r="AX404" i="1"/>
  <c r="AZ404" i="1" s="1"/>
  <c r="AX405" i="1"/>
  <c r="AZ405" i="1" s="1"/>
  <c r="AX338" i="1"/>
  <c r="AZ338" i="1" s="1"/>
  <c r="BB338" i="1" s="1"/>
  <c r="AX325" i="1"/>
  <c r="AZ325" i="1" s="1"/>
  <c r="AX299" i="1"/>
  <c r="AZ299" i="1" s="1"/>
  <c r="BB299" i="1" s="1"/>
  <c r="AX289" i="1"/>
  <c r="AZ289" i="1" s="1"/>
  <c r="BB289" i="1" s="1"/>
  <c r="AX283" i="1"/>
  <c r="AZ283" i="1" s="1"/>
  <c r="AX266" i="1"/>
  <c r="AZ266" i="1" s="1"/>
  <c r="BB266" i="1" s="1"/>
  <c r="AX249" i="1"/>
  <c r="AZ249" i="1" s="1"/>
  <c r="BB249" i="1" s="1"/>
  <c r="AX225" i="1"/>
  <c r="AZ225" i="1" s="1"/>
  <c r="BB225" i="1" s="1"/>
  <c r="AX221" i="1"/>
  <c r="AZ221" i="1" s="1"/>
  <c r="AX148" i="1"/>
  <c r="AZ148" i="1" s="1"/>
  <c r="BB148" i="1" s="1"/>
  <c r="AX51" i="1"/>
  <c r="AZ51" i="1" s="1"/>
  <c r="BB51" i="1" s="1"/>
  <c r="AX71" i="1"/>
  <c r="AZ71" i="1" s="1"/>
  <c r="BB71" i="1" s="1"/>
  <c r="AX87" i="1"/>
  <c r="AZ87" i="1" s="1"/>
  <c r="BB87" i="1" s="1"/>
  <c r="AX103" i="1"/>
  <c r="AZ103" i="1" s="1"/>
  <c r="AX115" i="1"/>
  <c r="AZ115" i="1" s="1"/>
  <c r="AX129" i="1"/>
  <c r="AZ129" i="1" s="1"/>
  <c r="BB129" i="1" s="1"/>
  <c r="AX141" i="1"/>
  <c r="AZ141" i="1" s="1"/>
  <c r="AX392" i="1"/>
  <c r="AZ392" i="1" s="1"/>
  <c r="AX339" i="1"/>
  <c r="AZ339" i="1" s="1"/>
  <c r="BB339" i="1" s="1"/>
  <c r="AX326" i="1"/>
  <c r="AZ326" i="1" s="1"/>
  <c r="AX300" i="1"/>
  <c r="AZ300" i="1" s="1"/>
  <c r="BB300" i="1" s="1"/>
  <c r="AX272" i="1"/>
  <c r="AZ272" i="1" s="1"/>
  <c r="AX284" i="1"/>
  <c r="AZ284" i="1" s="1"/>
  <c r="BB284" i="1" s="1"/>
  <c r="AX255" i="1"/>
  <c r="AZ255" i="1" s="1"/>
  <c r="BB255" i="1" s="1"/>
  <c r="AX250" i="1"/>
  <c r="AZ250" i="1" s="1"/>
  <c r="BB250" i="1" s="1"/>
  <c r="AX226" i="1"/>
  <c r="AZ226" i="1" s="1"/>
  <c r="BB226" i="1" s="1"/>
  <c r="AX217" i="1"/>
  <c r="AZ217" i="1" s="1"/>
  <c r="BB217" i="1" s="1"/>
  <c r="AX55" i="1"/>
  <c r="AZ55" i="1" s="1"/>
  <c r="BB55" i="1" s="1"/>
  <c r="AX73" i="1"/>
  <c r="AZ73" i="1" s="1"/>
  <c r="BB73" i="1" s="1"/>
  <c r="AX117" i="1"/>
  <c r="AZ117" i="1" s="1"/>
  <c r="AX131" i="1"/>
  <c r="AZ131" i="1" s="1"/>
  <c r="BB131" i="1" s="1"/>
  <c r="AX372" i="1"/>
  <c r="AZ372" i="1" s="1"/>
  <c r="BB372" i="1" s="1"/>
  <c r="AX341" i="1"/>
  <c r="AZ341" i="1" s="1"/>
  <c r="BB341" i="1" s="1"/>
  <c r="AX317" i="1"/>
  <c r="AZ317" i="1" s="1"/>
  <c r="AX302" i="1"/>
  <c r="AZ302" i="1" s="1"/>
  <c r="BB302" i="1" s="1"/>
  <c r="AX274" i="1"/>
  <c r="AZ274" i="1" s="1"/>
  <c r="BB274" i="1" s="1"/>
  <c r="AX257" i="1"/>
  <c r="AZ257" i="1" s="1"/>
  <c r="BB257" i="1" s="1"/>
  <c r="AX268" i="1"/>
  <c r="AZ268" i="1" s="1"/>
  <c r="BB268" i="1" s="1"/>
  <c r="AX252" i="1"/>
  <c r="AZ252" i="1" s="1"/>
  <c r="BB252" i="1" s="1"/>
  <c r="AX209" i="1"/>
  <c r="AZ209" i="1" s="1"/>
  <c r="AX203" i="1"/>
  <c r="AZ203" i="1" s="1"/>
  <c r="BB203" i="1" s="1"/>
  <c r="AX170" i="1"/>
  <c r="AZ170" i="1" s="1"/>
  <c r="BB170" i="1" s="1"/>
  <c r="AX152" i="1"/>
  <c r="AZ152" i="1" s="1"/>
  <c r="BB152" i="1" s="1"/>
  <c r="AX132" i="1"/>
  <c r="AZ132" i="1" s="1"/>
  <c r="BB132" i="1" s="1"/>
  <c r="AX190" i="1"/>
  <c r="AZ190" i="1" s="1"/>
  <c r="BB190" i="1" s="1"/>
  <c r="AX210" i="1"/>
  <c r="AZ210" i="1" s="1"/>
  <c r="BB210" i="1" s="1"/>
  <c r="AX118" i="1"/>
  <c r="AZ118" i="1" s="1"/>
  <c r="AX258" i="1"/>
  <c r="AZ258" i="1" s="1"/>
  <c r="BB258" i="1" s="1"/>
  <c r="AX385" i="1"/>
  <c r="AZ385" i="1" s="1"/>
  <c r="BB385" i="1" s="1"/>
  <c r="AX403" i="1"/>
  <c r="AZ403" i="1" s="1"/>
  <c r="AX416" i="1"/>
  <c r="AZ416" i="1" s="1"/>
  <c r="BD129" i="1" l="1"/>
  <c r="BF129" i="1"/>
  <c r="BH129" i="1" s="1"/>
  <c r="BD372" i="1"/>
  <c r="BF372" i="1"/>
  <c r="BH372" i="1" s="1"/>
  <c r="BD258" i="1"/>
  <c r="BF258" i="1"/>
  <c r="BH258" i="1" s="1"/>
  <c r="BF73" i="1"/>
  <c r="BH73" i="1" s="1"/>
  <c r="BD73" i="1"/>
  <c r="BF133" i="1"/>
  <c r="BH133" i="1" s="1"/>
  <c r="BD133" i="1"/>
  <c r="BF199" i="1"/>
  <c r="BH199" i="1" s="1"/>
  <c r="BD199" i="1"/>
  <c r="BD109" i="1"/>
  <c r="BF109" i="1"/>
  <c r="BH109" i="1" s="1"/>
  <c r="BF80" i="1"/>
  <c r="BH80" i="1" s="1"/>
  <c r="BD80" i="1"/>
  <c r="BD243" i="1"/>
  <c r="BF243" i="1"/>
  <c r="BH243" i="1" s="1"/>
  <c r="BF330" i="1"/>
  <c r="BH330" i="1" s="1"/>
  <c r="BD330" i="1"/>
  <c r="BF324" i="1"/>
  <c r="BH324" i="1" s="1"/>
  <c r="BD324" i="1"/>
  <c r="BF116" i="1"/>
  <c r="BH116" i="1" s="1"/>
  <c r="BD116" i="1"/>
  <c r="BF337" i="1"/>
  <c r="BH337" i="1" s="1"/>
  <c r="BD337" i="1"/>
  <c r="BD220" i="1"/>
  <c r="BF220" i="1"/>
  <c r="BH220" i="1" s="1"/>
  <c r="BD215" i="1"/>
  <c r="BF215" i="1"/>
  <c r="BH215" i="1" s="1"/>
  <c r="BD390" i="1"/>
  <c r="BF390" i="1"/>
  <c r="BH390" i="1" s="1"/>
  <c r="BF276" i="1"/>
  <c r="BH276" i="1" s="1"/>
  <c r="BD276" i="1"/>
  <c r="BD260" i="1"/>
  <c r="BF260" i="1"/>
  <c r="BH260" i="1" s="1"/>
  <c r="BF137" i="1"/>
  <c r="BH137" i="1" s="1"/>
  <c r="BD137" i="1"/>
  <c r="BD289" i="1"/>
  <c r="BF289" i="1"/>
  <c r="BH289" i="1" s="1"/>
  <c r="BD245" i="1"/>
  <c r="BF245" i="1"/>
  <c r="BH245" i="1" s="1"/>
  <c r="BD75" i="1"/>
  <c r="BF75" i="1"/>
  <c r="BH75" i="1" s="1"/>
  <c r="BF119" i="1"/>
  <c r="BH119" i="1" s="1"/>
  <c r="BD119" i="1"/>
  <c r="BF267" i="1"/>
  <c r="BH267" i="1" s="1"/>
  <c r="BD267" i="1"/>
  <c r="BF67" i="1"/>
  <c r="BH67" i="1" s="1"/>
  <c r="BD67" i="1"/>
  <c r="BF263" i="1"/>
  <c r="BH263" i="1" s="1"/>
  <c r="BD263" i="1"/>
  <c r="BD236" i="1"/>
  <c r="BF236" i="1"/>
  <c r="BH236" i="1" s="1"/>
  <c r="BD296" i="1"/>
  <c r="BF296" i="1"/>
  <c r="BH296" i="1" s="1"/>
  <c r="BF74" i="1"/>
  <c r="BH74" i="1" s="1"/>
  <c r="BD74" i="1"/>
  <c r="BD248" i="1"/>
  <c r="BF248" i="1"/>
  <c r="BH248" i="1" s="1"/>
  <c r="BF162" i="1"/>
  <c r="BH162" i="1" s="1"/>
  <c r="BD162" i="1"/>
  <c r="BF334" i="1"/>
  <c r="BH334" i="1" s="1"/>
  <c r="BD334" i="1"/>
  <c r="BD202" i="1"/>
  <c r="BF202" i="1"/>
  <c r="BH202" i="1" s="1"/>
  <c r="BF216" i="1"/>
  <c r="BH216" i="1" s="1"/>
  <c r="BD216" i="1"/>
  <c r="BD217" i="1"/>
  <c r="BF217" i="1"/>
  <c r="BH217" i="1" s="1"/>
  <c r="BD299" i="1"/>
  <c r="BF299" i="1"/>
  <c r="BH299" i="1" s="1"/>
  <c r="BF213" i="1"/>
  <c r="BH213" i="1" s="1"/>
  <c r="BD213" i="1"/>
  <c r="BD292" i="1"/>
  <c r="BF292" i="1"/>
  <c r="BH292" i="1" s="1"/>
  <c r="BF187" i="1"/>
  <c r="BH187" i="1" s="1"/>
  <c r="BD187" i="1"/>
  <c r="BF66" i="1"/>
  <c r="BH66" i="1" s="1"/>
  <c r="BD66" i="1"/>
  <c r="BF219" i="1"/>
  <c r="BH219" i="1" s="1"/>
  <c r="BD219" i="1"/>
  <c r="BF327" i="1"/>
  <c r="BH327" i="1" s="1"/>
  <c r="BD327" i="1"/>
  <c r="BF139" i="1"/>
  <c r="BH139" i="1" s="1"/>
  <c r="BD139" i="1"/>
  <c r="BD166" i="1"/>
  <c r="BF166" i="1"/>
  <c r="BH166" i="1" s="1"/>
  <c r="BF282" i="1"/>
  <c r="BH282" i="1" s="1"/>
  <c r="BD282" i="1"/>
  <c r="BF310" i="1"/>
  <c r="BH310" i="1" s="1"/>
  <c r="BD310" i="1"/>
  <c r="BD104" i="1"/>
  <c r="BF104" i="1"/>
  <c r="BH104" i="1" s="1"/>
  <c r="BF309" i="1"/>
  <c r="BH309" i="1" s="1"/>
  <c r="BD309" i="1"/>
  <c r="BF183" i="1"/>
  <c r="BH183" i="1" s="1"/>
  <c r="BD183" i="1"/>
  <c r="BD214" i="1"/>
  <c r="BF214" i="1"/>
  <c r="BH214" i="1" s="1"/>
  <c r="BF125" i="1"/>
  <c r="BH125" i="1" s="1"/>
  <c r="BD125" i="1"/>
  <c r="BF323" i="1"/>
  <c r="BH323" i="1" s="1"/>
  <c r="BD323" i="1"/>
  <c r="BF226" i="1"/>
  <c r="BH226" i="1" s="1"/>
  <c r="BD226" i="1"/>
  <c r="BF273" i="1"/>
  <c r="BH273" i="1" s="1"/>
  <c r="BD273" i="1"/>
  <c r="BF184" i="1"/>
  <c r="BH184" i="1" s="1"/>
  <c r="BD184" i="1"/>
  <c r="BF102" i="1"/>
  <c r="BH102" i="1" s="1"/>
  <c r="BD102" i="1"/>
  <c r="BF320" i="1"/>
  <c r="BH320" i="1" s="1"/>
  <c r="BD320" i="1"/>
  <c r="BF182" i="1"/>
  <c r="BH182" i="1" s="1"/>
  <c r="BD182" i="1"/>
  <c r="BF161" i="1"/>
  <c r="BH161" i="1" s="1"/>
  <c r="BD161" i="1"/>
  <c r="BF175" i="1"/>
  <c r="BH175" i="1" s="1"/>
  <c r="BD175" i="1"/>
  <c r="BD110" i="1"/>
  <c r="BF110" i="1"/>
  <c r="BH110" i="1" s="1"/>
  <c r="BD280" i="1"/>
  <c r="BF280" i="1"/>
  <c r="BH280" i="1" s="1"/>
  <c r="BF274" i="1"/>
  <c r="BH274" i="1" s="1"/>
  <c r="BD274" i="1"/>
  <c r="BF87" i="1"/>
  <c r="BD87" i="1"/>
  <c r="BD91" i="1"/>
  <c r="BF91" i="1"/>
  <c r="BH91" i="1" s="1"/>
  <c r="BF160" i="1"/>
  <c r="BH160" i="1" s="1"/>
  <c r="BD160" i="1"/>
  <c r="BD237" i="1"/>
  <c r="BF237" i="1"/>
  <c r="BH237" i="1" s="1"/>
  <c r="BF82" i="1"/>
  <c r="BH82" i="1" s="1"/>
  <c r="BD82" i="1"/>
  <c r="BF222" i="1"/>
  <c r="BH222" i="1" s="1"/>
  <c r="BD222" i="1"/>
  <c r="BF86" i="1"/>
  <c r="BH86" i="1" s="1"/>
  <c r="BD86" i="1"/>
  <c r="BF135" i="1"/>
  <c r="BH135" i="1" s="1"/>
  <c r="BD135" i="1"/>
  <c r="BF208" i="1"/>
  <c r="BH208" i="1" s="1"/>
  <c r="BD208" i="1"/>
  <c r="BF278" i="1"/>
  <c r="BH278" i="1" s="1"/>
  <c r="BD278" i="1"/>
  <c r="BF88" i="1"/>
  <c r="BH88" i="1" s="1"/>
  <c r="BD88" i="1"/>
  <c r="BF277" i="1"/>
  <c r="BH277" i="1" s="1"/>
  <c r="BD277" i="1"/>
  <c r="BF335" i="1"/>
  <c r="BH335" i="1" s="1"/>
  <c r="BD335" i="1"/>
  <c r="BF127" i="1"/>
  <c r="BH127" i="1" s="1"/>
  <c r="BD127" i="1"/>
  <c r="BD391" i="1"/>
  <c r="BF391" i="1"/>
  <c r="BH391" i="1" s="1"/>
  <c r="BF197" i="1"/>
  <c r="BH197" i="1" s="1"/>
  <c r="BD197" i="1"/>
  <c r="BD111" i="1"/>
  <c r="BF111" i="1"/>
  <c r="BH111" i="1" s="1"/>
  <c r="BF279" i="1"/>
  <c r="BH279" i="1" s="1"/>
  <c r="BD279" i="1"/>
  <c r="BD210" i="1"/>
  <c r="BF210" i="1"/>
  <c r="BH210" i="1" s="1"/>
  <c r="BF295" i="1"/>
  <c r="BH295" i="1" s="1"/>
  <c r="BD295" i="1"/>
  <c r="BF207" i="1"/>
  <c r="BH207" i="1" s="1"/>
  <c r="BD207" i="1"/>
  <c r="BD250" i="1"/>
  <c r="BF250" i="1"/>
  <c r="BH250" i="1" s="1"/>
  <c r="BF338" i="1"/>
  <c r="BH338" i="1" s="1"/>
  <c r="BD338" i="1"/>
  <c r="BD228" i="1"/>
  <c r="BF228" i="1"/>
  <c r="BH228" i="1" s="1"/>
  <c r="BD302" i="1"/>
  <c r="BF302" i="1"/>
  <c r="BH302" i="1" s="1"/>
  <c r="BF255" i="1"/>
  <c r="BH255" i="1" s="1"/>
  <c r="BD255" i="1"/>
  <c r="BF71" i="1"/>
  <c r="BH71" i="1" s="1"/>
  <c r="BD71" i="1"/>
  <c r="BF191" i="1"/>
  <c r="BH191" i="1" s="1"/>
  <c r="BD191" i="1"/>
  <c r="BD387" i="1"/>
  <c r="BF387" i="1"/>
  <c r="BH387" i="1" s="1"/>
  <c r="BD244" i="1"/>
  <c r="BF244" i="1"/>
  <c r="BH244" i="1" s="1"/>
  <c r="BF174" i="1"/>
  <c r="BH174" i="1" s="1"/>
  <c r="BD174" i="1"/>
  <c r="BF120" i="1"/>
  <c r="BH120" i="1" s="1"/>
  <c r="BD120" i="1"/>
  <c r="BD179" i="1"/>
  <c r="BF179" i="1"/>
  <c r="BH179" i="1" s="1"/>
  <c r="BF398" i="1"/>
  <c r="BH398" i="1" s="1"/>
  <c r="BD398" i="1"/>
  <c r="BD128" i="1"/>
  <c r="BF128" i="1"/>
  <c r="BH128" i="1" s="1"/>
  <c r="BF163" i="1"/>
  <c r="BH163" i="1" s="1"/>
  <c r="BD163" i="1"/>
  <c r="BF235" i="1"/>
  <c r="BH235" i="1" s="1"/>
  <c r="BD235" i="1"/>
  <c r="BD311" i="1"/>
  <c r="BF311" i="1"/>
  <c r="BH311" i="1" s="1"/>
  <c r="BF306" i="1"/>
  <c r="BH306" i="1" s="1"/>
  <c r="BD306" i="1"/>
  <c r="BF156" i="1"/>
  <c r="BH156" i="1" s="1"/>
  <c r="BD156" i="1"/>
  <c r="BF136" i="1"/>
  <c r="BH136" i="1" s="1"/>
  <c r="BD136" i="1"/>
  <c r="BF396" i="1"/>
  <c r="BH396" i="1" s="1"/>
  <c r="BD396" i="1"/>
  <c r="BD252" i="1"/>
  <c r="BF252" i="1"/>
  <c r="BH252" i="1" s="1"/>
  <c r="BF268" i="1"/>
  <c r="BH268" i="1" s="1"/>
  <c r="BD268" i="1"/>
  <c r="BF206" i="1"/>
  <c r="BH206" i="1" s="1"/>
  <c r="BD206" i="1"/>
  <c r="BD239" i="1"/>
  <c r="BF239" i="1"/>
  <c r="BH239" i="1" s="1"/>
  <c r="BD96" i="1"/>
  <c r="BF96" i="1"/>
  <c r="BH96" i="1" s="1"/>
  <c r="BD108" i="1"/>
  <c r="BF108" i="1"/>
  <c r="BH108" i="1" s="1"/>
  <c r="BD201" i="1"/>
  <c r="BF201" i="1"/>
  <c r="BH201" i="1" s="1"/>
  <c r="BF399" i="1"/>
  <c r="BH399" i="1" s="1"/>
  <c r="BD399" i="1"/>
  <c r="BF196" i="1"/>
  <c r="BH196" i="1" s="1"/>
  <c r="BD196" i="1"/>
  <c r="BD167" i="1"/>
  <c r="BF167" i="1"/>
  <c r="BH167" i="1" s="1"/>
  <c r="BF265" i="1"/>
  <c r="BH265" i="1" s="1"/>
  <c r="BD265" i="1"/>
  <c r="BF72" i="1"/>
  <c r="BH72" i="1" s="1"/>
  <c r="BD72" i="1"/>
  <c r="BF186" i="1"/>
  <c r="BH186" i="1" s="1"/>
  <c r="BD186" i="1"/>
  <c r="BF264" i="1"/>
  <c r="BH264" i="1" s="1"/>
  <c r="BD264" i="1"/>
  <c r="BF321" i="1"/>
  <c r="BH321" i="1" s="1"/>
  <c r="BD321" i="1"/>
  <c r="BD113" i="1"/>
  <c r="BF113" i="1"/>
  <c r="BH113" i="1" s="1"/>
  <c r="BF333" i="1"/>
  <c r="BH333" i="1" s="1"/>
  <c r="BD333" i="1"/>
  <c r="BD181" i="1"/>
  <c r="BF181" i="1"/>
  <c r="BH181" i="1" s="1"/>
  <c r="BD99" i="1"/>
  <c r="BF99" i="1"/>
  <c r="BH99" i="1" s="1"/>
  <c r="BF79" i="1"/>
  <c r="BH79" i="1" s="1"/>
  <c r="BD79" i="1"/>
  <c r="BD257" i="1"/>
  <c r="BF257" i="1"/>
  <c r="BH257" i="1" s="1"/>
  <c r="BF284" i="1"/>
  <c r="BH284" i="1" s="1"/>
  <c r="BD284" i="1"/>
  <c r="BF319" i="1"/>
  <c r="BH319" i="1" s="1"/>
  <c r="BD319" i="1"/>
  <c r="BF341" i="1"/>
  <c r="BH341" i="1" s="1"/>
  <c r="BD341" i="1"/>
  <c r="BF148" i="1"/>
  <c r="BD148" i="1"/>
  <c r="BF229" i="1"/>
  <c r="BH229" i="1" s="1"/>
  <c r="BD229" i="1"/>
  <c r="BD218" i="1"/>
  <c r="BF218" i="1"/>
  <c r="BH218" i="1" s="1"/>
  <c r="BF193" i="1"/>
  <c r="BH193" i="1" s="1"/>
  <c r="BD193" i="1"/>
  <c r="BD294" i="1"/>
  <c r="BF294" i="1"/>
  <c r="BH294" i="1" s="1"/>
  <c r="BF200" i="1"/>
  <c r="BH200" i="1" s="1"/>
  <c r="BD200" i="1"/>
  <c r="BD366" i="1"/>
  <c r="BF366" i="1"/>
  <c r="BH366" i="1" s="1"/>
  <c r="BF192" i="1"/>
  <c r="BH192" i="1" s="1"/>
  <c r="BD192" i="1"/>
  <c r="BD251" i="1"/>
  <c r="BF251" i="1"/>
  <c r="BH251" i="1" s="1"/>
  <c r="BF400" i="1"/>
  <c r="BH400" i="1" s="1"/>
  <c r="BD400" i="1"/>
  <c r="BD261" i="1"/>
  <c r="BF261" i="1"/>
  <c r="BH261" i="1" s="1"/>
  <c r="BD112" i="1"/>
  <c r="BF112" i="1"/>
  <c r="BH112" i="1" s="1"/>
  <c r="BD121" i="1"/>
  <c r="BF121" i="1"/>
  <c r="BH121" i="1" s="1"/>
  <c r="BD269" i="1"/>
  <c r="BF269" i="1"/>
  <c r="BH269" i="1" s="1"/>
  <c r="BF190" i="1"/>
  <c r="BH190" i="1" s="1"/>
  <c r="BD190" i="1"/>
  <c r="BF138" i="1"/>
  <c r="BH138" i="1" s="1"/>
  <c r="BD138" i="1"/>
  <c r="BF132" i="1"/>
  <c r="BH132" i="1" s="1"/>
  <c r="BD132" i="1"/>
  <c r="BD386" i="1"/>
  <c r="BF386" i="1"/>
  <c r="BH386" i="1" s="1"/>
  <c r="BD300" i="1"/>
  <c r="BF300" i="1"/>
  <c r="BH300" i="1" s="1"/>
  <c r="BD180" i="1"/>
  <c r="BF180" i="1"/>
  <c r="BH180" i="1" s="1"/>
  <c r="BF134" i="1"/>
  <c r="BH134" i="1" s="1"/>
  <c r="BD134" i="1"/>
  <c r="BD262" i="1"/>
  <c r="BF262" i="1"/>
  <c r="BH262" i="1" s="1"/>
  <c r="BD242" i="1"/>
  <c r="BF242" i="1"/>
  <c r="BH242" i="1" s="1"/>
  <c r="BF332" i="1"/>
  <c r="BH332" i="1" s="1"/>
  <c r="BD332" i="1"/>
  <c r="BF331" i="1"/>
  <c r="BH331" i="1" s="1"/>
  <c r="BD331" i="1"/>
  <c r="BF322" i="1"/>
  <c r="BH322" i="1" s="1"/>
  <c r="BD322" i="1"/>
  <c r="BF171" i="1"/>
  <c r="BH171" i="1" s="1"/>
  <c r="BD171" i="1"/>
  <c r="BD140" i="1"/>
  <c r="BF140" i="1"/>
  <c r="BH140" i="1" s="1"/>
  <c r="BD144" i="1"/>
  <c r="BF144" i="1"/>
  <c r="BH144" i="1" s="1"/>
  <c r="BF185" i="1"/>
  <c r="BH185" i="1" s="1"/>
  <c r="BD185" i="1"/>
  <c r="BF247" i="1"/>
  <c r="BH247" i="1" s="1"/>
  <c r="BD247" i="1"/>
  <c r="BD101" i="1"/>
  <c r="BF101" i="1"/>
  <c r="BH101" i="1" s="1"/>
  <c r="BF303" i="1"/>
  <c r="BH303" i="1" s="1"/>
  <c r="BD303" i="1"/>
  <c r="BD168" i="1"/>
  <c r="BF168" i="1"/>
  <c r="BH168" i="1" s="1"/>
  <c r="BF81" i="1"/>
  <c r="BH81" i="1" s="1"/>
  <c r="BD81" i="1"/>
  <c r="BD158" i="1"/>
  <c r="BF158" i="1"/>
  <c r="BH158" i="1" s="1"/>
  <c r="BF145" i="1"/>
  <c r="BD145" i="1"/>
  <c r="BD313" i="1"/>
  <c r="BF313" i="1"/>
  <c r="BH313" i="1" s="1"/>
  <c r="BD371" i="1"/>
  <c r="BF371" i="1"/>
  <c r="BH371" i="1" s="1"/>
  <c r="BF159" i="1"/>
  <c r="BH159" i="1" s="1"/>
  <c r="BD159" i="1"/>
  <c r="BF68" i="1"/>
  <c r="BH68" i="1" s="1"/>
  <c r="BD68" i="1"/>
  <c r="BD246" i="1"/>
  <c r="BF246" i="1"/>
  <c r="BH246" i="1" s="1"/>
  <c r="BD100" i="1"/>
  <c r="BF100" i="1"/>
  <c r="BH100" i="1" s="1"/>
  <c r="BF256" i="1"/>
  <c r="BH256" i="1" s="1"/>
  <c r="BD256" i="1"/>
  <c r="BD152" i="1"/>
  <c r="BF152" i="1"/>
  <c r="BH152" i="1" s="1"/>
  <c r="BF177" i="1"/>
  <c r="BH177" i="1" s="1"/>
  <c r="BD177" i="1"/>
  <c r="BF339" i="1"/>
  <c r="BH339" i="1" s="1"/>
  <c r="BD339" i="1"/>
  <c r="BD249" i="1"/>
  <c r="BF249" i="1"/>
  <c r="BH249" i="1" s="1"/>
  <c r="BD178" i="1"/>
  <c r="BF178" i="1"/>
  <c r="BH178" i="1" s="1"/>
  <c r="BF126" i="1"/>
  <c r="BH126" i="1" s="1"/>
  <c r="BD126" i="1"/>
  <c r="BD169" i="1"/>
  <c r="BF169" i="1"/>
  <c r="BH169" i="1" s="1"/>
  <c r="BF83" i="1"/>
  <c r="BH83" i="1" s="1"/>
  <c r="BD83" i="1"/>
  <c r="BD259" i="1"/>
  <c r="BF259" i="1"/>
  <c r="BH259" i="1" s="1"/>
  <c r="BD301" i="1"/>
  <c r="BF301" i="1"/>
  <c r="BH301" i="1" s="1"/>
  <c r="BF149" i="1"/>
  <c r="BH149" i="1" s="1"/>
  <c r="BD149" i="1"/>
  <c r="BD368" i="1"/>
  <c r="BF368" i="1"/>
  <c r="BH368" i="1" s="1"/>
  <c r="BD130" i="1"/>
  <c r="BF130" i="1"/>
  <c r="BH130" i="1" s="1"/>
  <c r="BD367" i="1"/>
  <c r="BF367" i="1"/>
  <c r="BH367" i="1" s="1"/>
  <c r="BD233" i="1"/>
  <c r="BF233" i="1"/>
  <c r="BH233" i="1" s="1"/>
  <c r="BF336" i="1"/>
  <c r="BH336" i="1" s="1"/>
  <c r="BD336" i="1"/>
  <c r="BF287" i="1"/>
  <c r="BH287" i="1" s="1"/>
  <c r="BD287" i="1"/>
  <c r="BD153" i="1"/>
  <c r="BF153" i="1"/>
  <c r="BH153" i="1" s="1"/>
  <c r="BF65" i="1"/>
  <c r="BH65" i="1" s="1"/>
  <c r="BD65" i="1"/>
  <c r="BF114" i="1"/>
  <c r="BH114" i="1" s="1"/>
  <c r="BD114" i="1"/>
  <c r="BD225" i="1"/>
  <c r="BF225" i="1"/>
  <c r="BH225" i="1" s="1"/>
  <c r="BD227" i="1"/>
  <c r="BF227" i="1"/>
  <c r="BH227" i="1" s="1"/>
  <c r="BF234" i="1"/>
  <c r="BH234" i="1" s="1"/>
  <c r="BD234" i="1"/>
  <c r="BD170" i="1"/>
  <c r="BF170" i="1"/>
  <c r="BH170" i="1" s="1"/>
  <c r="BF131" i="1"/>
  <c r="BH131" i="1" s="1"/>
  <c r="BD131" i="1"/>
  <c r="BD385" i="1"/>
  <c r="BF385" i="1"/>
  <c r="BH385" i="1" s="1"/>
  <c r="BD203" i="1"/>
  <c r="BF203" i="1"/>
  <c r="BH203" i="1" s="1"/>
  <c r="BF266" i="1"/>
  <c r="BH266" i="1" s="1"/>
  <c r="BD266" i="1"/>
  <c r="BD150" i="1"/>
  <c r="BF150" i="1"/>
  <c r="BD293" i="1"/>
  <c r="BF293" i="1"/>
  <c r="BH293" i="1" s="1"/>
  <c r="BD238" i="1"/>
  <c r="BF238" i="1"/>
  <c r="BH238" i="1" s="1"/>
  <c r="BF340" i="1"/>
  <c r="BH340" i="1" s="1"/>
  <c r="BD340" i="1"/>
  <c r="BF288" i="1"/>
  <c r="BH288" i="1" s="1"/>
  <c r="BD288" i="1"/>
  <c r="BD93" i="1"/>
  <c r="BF93" i="1"/>
  <c r="BH93" i="1" s="1"/>
  <c r="BF281" i="1"/>
  <c r="BH281" i="1" s="1"/>
  <c r="BD281" i="1"/>
  <c r="BD312" i="1"/>
  <c r="BF312" i="1"/>
  <c r="BH312" i="1" s="1"/>
  <c r="BD92" i="1"/>
  <c r="BF92" i="1"/>
  <c r="BH92" i="1" s="1"/>
  <c r="BF176" i="1"/>
  <c r="BH176" i="1" s="1"/>
  <c r="BD176" i="1"/>
  <c r="BF232" i="1"/>
  <c r="BH232" i="1" s="1"/>
  <c r="BD232" i="1"/>
  <c r="BF316" i="1"/>
  <c r="BH316" i="1" s="1"/>
  <c r="BD316" i="1"/>
  <c r="BD39" i="1"/>
  <c r="BF39" i="1"/>
  <c r="BH39" i="1" s="1"/>
  <c r="BF22" i="1"/>
  <c r="BD22" i="1"/>
  <c r="BD44" i="1"/>
  <c r="BF44" i="1"/>
  <c r="BH44" i="1" s="1"/>
  <c r="BF9" i="1"/>
  <c r="BD9" i="1"/>
  <c r="BD40" i="1"/>
  <c r="BF40" i="1"/>
  <c r="BH40" i="1" s="1"/>
  <c r="BD32" i="1"/>
  <c r="BF32" i="1"/>
  <c r="BH32" i="1" s="1"/>
  <c r="BF62" i="1"/>
  <c r="BH62" i="1" s="1"/>
  <c r="BD62" i="1"/>
  <c r="BD26" i="1"/>
  <c r="BF26" i="1"/>
  <c r="BH26" i="1" s="1"/>
  <c r="BF17" i="1"/>
  <c r="BD17" i="1"/>
  <c r="BD10" i="1"/>
  <c r="BF10" i="1"/>
  <c r="BF51" i="1"/>
  <c r="BH51" i="1" s="1"/>
  <c r="BD51" i="1"/>
  <c r="BF11" i="1"/>
  <c r="BD11" i="1"/>
  <c r="BD43" i="1"/>
  <c r="BF43" i="1"/>
  <c r="BH43" i="1" s="1"/>
  <c r="BF61" i="1"/>
  <c r="BH61" i="1" s="1"/>
  <c r="BD61" i="1"/>
  <c r="BF58" i="1"/>
  <c r="BH58" i="1" s="1"/>
  <c r="BD58" i="1"/>
  <c r="BF36" i="1"/>
  <c r="BH36" i="1" s="1"/>
  <c r="BD36" i="1"/>
  <c r="BD29" i="1"/>
  <c r="BF29" i="1"/>
  <c r="BH29" i="1" s="1"/>
  <c r="BD57" i="1"/>
  <c r="BF57" i="1"/>
  <c r="BH57" i="1" s="1"/>
  <c r="BF52" i="1"/>
  <c r="BH52" i="1" s="1"/>
  <c r="BD52" i="1"/>
  <c r="BF16" i="1"/>
  <c r="BD16" i="1"/>
  <c r="BD34" i="1"/>
  <c r="BF34" i="1"/>
  <c r="BH34" i="1" s="1"/>
  <c r="BF18" i="1"/>
  <c r="BD18" i="1"/>
  <c r="BD38" i="1"/>
  <c r="BF38" i="1"/>
  <c r="BH38" i="1" s="1"/>
  <c r="BF47" i="1"/>
  <c r="BH47" i="1" s="1"/>
  <c r="BD47" i="1"/>
  <c r="BF48" i="1"/>
  <c r="BH48" i="1" s="1"/>
  <c r="BD48" i="1"/>
  <c r="BD46" i="1"/>
  <c r="BF46" i="1"/>
  <c r="BH46" i="1" s="1"/>
  <c r="BD33" i="1"/>
  <c r="BF33" i="1"/>
  <c r="BH33" i="1" s="1"/>
  <c r="BD55" i="1"/>
  <c r="BF55" i="1"/>
  <c r="BH55" i="1" s="1"/>
  <c r="BD28" i="1"/>
  <c r="BF28" i="1"/>
  <c r="BH28" i="1" s="1"/>
  <c r="BF24" i="1"/>
  <c r="BD24" i="1"/>
  <c r="BF35" i="1"/>
  <c r="BH35" i="1" s="1"/>
  <c r="BD35" i="1"/>
  <c r="BD45" i="1"/>
  <c r="BF45" i="1"/>
  <c r="BH45" i="1" s="1"/>
  <c r="BB97" i="1"/>
  <c r="BB403" i="1"/>
  <c r="BB392" i="1"/>
  <c r="BB405" i="1"/>
  <c r="BB406" i="1"/>
  <c r="BB404" i="1"/>
  <c r="BB397" i="1"/>
  <c r="BB416" i="1"/>
  <c r="BB272" i="1"/>
  <c r="BB141" i="1"/>
  <c r="BB221" i="1"/>
  <c r="BB107" i="1"/>
  <c r="BB27" i="1"/>
  <c r="BB25" i="1"/>
  <c r="BB42" i="1"/>
  <c r="BB19" i="1"/>
  <c r="BB115" i="1"/>
  <c r="BB23" i="1"/>
  <c r="BB307" i="1"/>
  <c r="BB151" i="1"/>
  <c r="BB37" i="1"/>
  <c r="BB325" i="1"/>
  <c r="BB308" i="1"/>
  <c r="BB157" i="1"/>
  <c r="BB124" i="1"/>
  <c r="BB117" i="1"/>
  <c r="BB326" i="1"/>
  <c r="BB103" i="1"/>
  <c r="BB106" i="1"/>
  <c r="BB105" i="1"/>
  <c r="BB56" i="1"/>
  <c r="BB318" i="1"/>
  <c r="BB198" i="1"/>
  <c r="BB317" i="1"/>
  <c r="BB283" i="1"/>
  <c r="BB275" i="1"/>
  <c r="BB98" i="1"/>
  <c r="BB41" i="1"/>
  <c r="BB209" i="1"/>
  <c r="BB78" i="1"/>
  <c r="BB118" i="1"/>
  <c r="BL61" i="1" l="1" a="1"/>
  <c r="BL61" i="1" s="1"/>
  <c r="BL126" i="1" a="1"/>
  <c r="BL126" i="1" s="1"/>
  <c r="BL256" i="1" a="1"/>
  <c r="BL256" i="1" s="1"/>
  <c r="BL322" i="1" a="1"/>
  <c r="BL322" i="1" s="1"/>
  <c r="BL192" i="1" a="1"/>
  <c r="BL192" i="1" s="1"/>
  <c r="BL229" i="1" a="1"/>
  <c r="BL229" i="1" s="1"/>
  <c r="BL79" i="1" a="1"/>
  <c r="BL79" i="1" s="1"/>
  <c r="BL264" i="1" a="1"/>
  <c r="BL264" i="1" s="1"/>
  <c r="BL399" i="1" a="1"/>
  <c r="BL399" i="1" s="1"/>
  <c r="BL268" i="1" a="1"/>
  <c r="BL268" i="1" s="1"/>
  <c r="BL120" i="1" a="1"/>
  <c r="BL120" i="1" s="1"/>
  <c r="BL255" i="1" a="1"/>
  <c r="BL255" i="1" s="1"/>
  <c r="BL295" i="1" a="1"/>
  <c r="BL295" i="1" s="1"/>
  <c r="BL127" i="1" a="1"/>
  <c r="BL127" i="1" s="1"/>
  <c r="BL135" i="1" a="1"/>
  <c r="BL135" i="1" s="1"/>
  <c r="BL161" i="1" a="1"/>
  <c r="BL161" i="1" s="1"/>
  <c r="BL226" i="1" a="1"/>
  <c r="BL226" i="1" s="1"/>
  <c r="BL219" i="1" a="1"/>
  <c r="BL219" i="1" s="1"/>
  <c r="BL74" i="1" a="1"/>
  <c r="BL74" i="1" s="1"/>
  <c r="BL119" i="1" a="1"/>
  <c r="BL119" i="1" s="1"/>
  <c r="BL276" i="1" a="1"/>
  <c r="BL276" i="1" s="1"/>
  <c r="BL324" i="1" a="1"/>
  <c r="BL324" i="1" s="1"/>
  <c r="BL93" i="1" a="1"/>
  <c r="BL93" i="1" s="1"/>
  <c r="BL249" i="1" a="1"/>
  <c r="BL249" i="1" s="1"/>
  <c r="BL246" i="1" a="1"/>
  <c r="BL246" i="1" s="1"/>
  <c r="BL386" i="1" a="1"/>
  <c r="BL386" i="1" s="1"/>
  <c r="BL112" i="1" a="1"/>
  <c r="BL112" i="1" s="1"/>
  <c r="BL181" i="1" a="1"/>
  <c r="BL181" i="1" s="1"/>
  <c r="BL244" i="1" a="1"/>
  <c r="BL244" i="1" s="1"/>
  <c r="BL202" i="1" a="1"/>
  <c r="BL202" i="1" s="1"/>
  <c r="BL245" i="1" a="1"/>
  <c r="BL245" i="1" s="1"/>
  <c r="BL243" i="1" a="1"/>
  <c r="BL243" i="1" s="1"/>
  <c r="BL133" i="1" a="1"/>
  <c r="BL133" i="1" s="1"/>
  <c r="BL385" i="1" a="1"/>
  <c r="BL385" i="1" s="1"/>
  <c r="BL43" i="1" a="1"/>
  <c r="BL43" i="1" s="1"/>
  <c r="BL258" i="1" a="1"/>
  <c r="BL258" i="1" s="1"/>
  <c r="BL367" i="1" a="1"/>
  <c r="BL367" i="1" s="1"/>
  <c r="BL168" i="1" a="1"/>
  <c r="BL168" i="1" s="1"/>
  <c r="BL140" i="1" a="1"/>
  <c r="BL140" i="1" s="1"/>
  <c r="BL262" i="1" a="1"/>
  <c r="BL262" i="1" s="1"/>
  <c r="BL167" i="1" a="1"/>
  <c r="BL167" i="1" s="1"/>
  <c r="BL300" i="1" a="1"/>
  <c r="BL300" i="1" s="1"/>
  <c r="BL301" i="1" a="1"/>
  <c r="BL301" i="1" s="1"/>
  <c r="BL236" i="1" a="1"/>
  <c r="BL236" i="1" s="1"/>
  <c r="BL228" i="1" a="1"/>
  <c r="BL228" i="1" s="1"/>
  <c r="BL227" i="1" a="1"/>
  <c r="BL227" i="1" s="1"/>
  <c r="BL215" i="1" a="1"/>
  <c r="BL215" i="1" s="1"/>
  <c r="BL178" i="1" a="1"/>
  <c r="BL178" i="1" s="1"/>
  <c r="BL158" i="1" a="1"/>
  <c r="BL158" i="1" s="1"/>
  <c r="BL100" i="1" a="1"/>
  <c r="BL100" i="1" s="1"/>
  <c r="BL108" i="1" a="1"/>
  <c r="BL108" i="1" s="1"/>
  <c r="BL113" i="1" a="1"/>
  <c r="BL113" i="1" s="1"/>
  <c r="BL39" i="1" a="1"/>
  <c r="BL39" i="1" s="1"/>
  <c r="BL29" i="1" a="1"/>
  <c r="BL29" i="1" s="1"/>
  <c r="BL203" i="1" a="1"/>
  <c r="BL203" i="1" s="1"/>
  <c r="BL225" i="1" a="1"/>
  <c r="BL225" i="1" s="1"/>
  <c r="BL233" i="1" a="1"/>
  <c r="BL233" i="1" s="1"/>
  <c r="BL259" i="1" a="1"/>
  <c r="BL259" i="1" s="1"/>
  <c r="BL144" i="1" a="1"/>
  <c r="BL144" i="1" s="1"/>
  <c r="BL242" i="1" a="1"/>
  <c r="BL242" i="1" s="1"/>
  <c r="BL261" i="1" a="1"/>
  <c r="BL261" i="1" s="1"/>
  <c r="BL294" i="1" a="1"/>
  <c r="BL294" i="1" s="1"/>
  <c r="BL96" i="1" a="1"/>
  <c r="BL96" i="1" s="1"/>
  <c r="BL128" i="1" a="1"/>
  <c r="BL128" i="1" s="1"/>
  <c r="BL387" i="1" a="1"/>
  <c r="BL387" i="1" s="1"/>
  <c r="BL121" i="1" a="1"/>
  <c r="BL121" i="1" s="1"/>
  <c r="BL366" i="1" a="1"/>
  <c r="BL366" i="1" s="1"/>
  <c r="BL99" i="1" a="1"/>
  <c r="BL99" i="1" s="1"/>
  <c r="BL201" i="1" a="1"/>
  <c r="BL201" i="1" s="1"/>
  <c r="BL252" i="1" a="1"/>
  <c r="BL252" i="1" s="1"/>
  <c r="BL111" i="1" a="1"/>
  <c r="BL111" i="1" s="1"/>
  <c r="BL280" i="1" a="1"/>
  <c r="BL280" i="1" s="1"/>
  <c r="BL239" i="1" a="1"/>
  <c r="BL239" i="1" s="1"/>
  <c r="BL250" i="1" a="1"/>
  <c r="BL250" i="1" s="1"/>
  <c r="BL92" i="1" a="1"/>
  <c r="BL92" i="1" s="1"/>
  <c r="BL238" i="1" a="1"/>
  <c r="BL238" i="1" s="1"/>
  <c r="BL130" i="1" a="1"/>
  <c r="BL130" i="1" s="1"/>
  <c r="BL169" i="1" a="1"/>
  <c r="BL169" i="1" s="1"/>
  <c r="BL152" i="1" a="1"/>
  <c r="BL152" i="1" s="1"/>
  <c r="BL371" i="1" a="1"/>
  <c r="BL371" i="1" s="1"/>
  <c r="BL251" i="1" a="1"/>
  <c r="BL251" i="1" s="1"/>
  <c r="BL218" i="1" a="1"/>
  <c r="BL218" i="1" s="1"/>
  <c r="BL257" i="1" a="1"/>
  <c r="BL257" i="1" s="1"/>
  <c r="BL179" i="1" a="1"/>
  <c r="BL179" i="1" s="1"/>
  <c r="BL391" i="1" a="1"/>
  <c r="BL391" i="1" s="1"/>
  <c r="BL299" i="1" a="1"/>
  <c r="BL299" i="1" s="1"/>
  <c r="BL248" i="1" a="1"/>
  <c r="BL248" i="1" s="1"/>
  <c r="BL260" i="1" a="1"/>
  <c r="BL260" i="1" s="1"/>
  <c r="BL302" i="1" a="1"/>
  <c r="BL302" i="1" s="1"/>
  <c r="BL210" i="1" a="1"/>
  <c r="BL210" i="1" s="1"/>
  <c r="BL237" i="1" a="1"/>
  <c r="BL237" i="1" s="1"/>
  <c r="BL110" i="1" a="1"/>
  <c r="BL110" i="1" s="1"/>
  <c r="BL214" i="1" a="1"/>
  <c r="BL214" i="1" s="1"/>
  <c r="BL166" i="1" a="1"/>
  <c r="BL166" i="1" s="1"/>
  <c r="BL292" i="1" a="1"/>
  <c r="BL292" i="1" s="1"/>
  <c r="BL289" i="1" a="1"/>
  <c r="BL289" i="1" s="1"/>
  <c r="BL220" i="1" a="1"/>
  <c r="BL220" i="1" s="1"/>
  <c r="BL372" i="1" a="1"/>
  <c r="BL372" i="1" s="1"/>
  <c r="BL296" i="1" a="1"/>
  <c r="BL296" i="1" s="1"/>
  <c r="BL75" i="1" a="1"/>
  <c r="BL75" i="1" s="1"/>
  <c r="BL390" i="1" a="1"/>
  <c r="BL390" i="1" s="1"/>
  <c r="BL109" i="1" a="1"/>
  <c r="BL109" i="1" s="1"/>
  <c r="BL129" i="1" a="1"/>
  <c r="BL129" i="1" s="1"/>
  <c r="BL58" i="1" a="1"/>
  <c r="BL58" i="1" s="1"/>
  <c r="BL131" i="1" a="1"/>
  <c r="BL131" i="1" s="1"/>
  <c r="BL65" i="1" a="1"/>
  <c r="BL65" i="1" s="1"/>
  <c r="BL303" i="1" a="1"/>
  <c r="BL303" i="1" s="1"/>
  <c r="BL171" i="1" a="1"/>
  <c r="BL171" i="1" s="1"/>
  <c r="BL134" i="1" a="1"/>
  <c r="BL134" i="1" s="1"/>
  <c r="BL190" i="1" a="1"/>
  <c r="BL190" i="1" s="1"/>
  <c r="BL321" i="1" a="1"/>
  <c r="BL321" i="1" s="1"/>
  <c r="BL196" i="1" a="1"/>
  <c r="BL196" i="1" s="1"/>
  <c r="BL206" i="1" a="1"/>
  <c r="BL206" i="1" s="1"/>
  <c r="BL306" i="1" a="1"/>
  <c r="BL306" i="1" s="1"/>
  <c r="BL71" i="1" a="1"/>
  <c r="BL71" i="1" s="1"/>
  <c r="BL207" i="1" a="1"/>
  <c r="BL207" i="1" s="1"/>
  <c r="BL208" i="1" a="1"/>
  <c r="BL208" i="1" s="1"/>
  <c r="BL160" i="1" a="1"/>
  <c r="BL160" i="1" s="1"/>
  <c r="BL175" i="1" a="1"/>
  <c r="BL175" i="1" s="1"/>
  <c r="BL273" i="1" a="1"/>
  <c r="BL273" i="1" s="1"/>
  <c r="BL309" i="1" a="1"/>
  <c r="BL309" i="1" s="1"/>
  <c r="BL327" i="1" a="1"/>
  <c r="BL327" i="1" s="1"/>
  <c r="BL267" i="1" a="1"/>
  <c r="BL267" i="1" s="1"/>
  <c r="BL116" i="1" a="1"/>
  <c r="BL116" i="1" s="1"/>
  <c r="BL199" i="1" a="1"/>
  <c r="BL199" i="1" s="1"/>
  <c r="BL312" i="1" a="1"/>
  <c r="BL312" i="1" s="1"/>
  <c r="BL293" i="1" a="1"/>
  <c r="BL293" i="1" s="1"/>
  <c r="BL170" i="1" a="1"/>
  <c r="BL170" i="1" s="1"/>
  <c r="BL153" i="1" a="1"/>
  <c r="BL153" i="1" s="1"/>
  <c r="BL368" i="1" a="1"/>
  <c r="BL368" i="1" s="1"/>
  <c r="BL313" i="1" a="1"/>
  <c r="BL313" i="1" s="1"/>
  <c r="BL101" i="1" a="1"/>
  <c r="BL101" i="1" s="1"/>
  <c r="BL180" i="1" a="1"/>
  <c r="BL180" i="1" s="1"/>
  <c r="BL269" i="1" a="1"/>
  <c r="BL269" i="1" s="1"/>
  <c r="BL311" i="1" a="1"/>
  <c r="BL311" i="1" s="1"/>
  <c r="BL91" i="1" a="1"/>
  <c r="BL91" i="1" s="1"/>
  <c r="BL104" i="1" a="1"/>
  <c r="BL104" i="1" s="1"/>
  <c r="BL217" i="1" a="1"/>
  <c r="BL217" i="1" s="1"/>
  <c r="BL281" i="1" a="1"/>
  <c r="BL281" i="1" s="1"/>
  <c r="BL234" i="1" a="1"/>
  <c r="BL234" i="1" s="1"/>
  <c r="BL287" i="1" a="1"/>
  <c r="BL287" i="1" s="1"/>
  <c r="BL149" i="1" a="1"/>
  <c r="BL149" i="1" s="1"/>
  <c r="BL247" i="1" a="1"/>
  <c r="BL247" i="1" s="1"/>
  <c r="BL331" i="1" a="1"/>
  <c r="BL331" i="1" s="1"/>
  <c r="BL186" i="1" a="1"/>
  <c r="BL186" i="1" s="1"/>
  <c r="BL235" i="1" a="1"/>
  <c r="BL235" i="1" s="1"/>
  <c r="BL174" i="1" a="1"/>
  <c r="BL174" i="1" s="1"/>
  <c r="BL335" i="1" a="1"/>
  <c r="BL335" i="1" s="1"/>
  <c r="BL86" i="1" a="1"/>
  <c r="BL86" i="1" s="1"/>
  <c r="BL182" i="1" a="1"/>
  <c r="BL182" i="1" s="1"/>
  <c r="BL323" i="1" a="1"/>
  <c r="BL323" i="1" s="1"/>
  <c r="BL310" i="1" a="1"/>
  <c r="BL310" i="1" s="1"/>
  <c r="BL216" i="1" a="1"/>
  <c r="BL216" i="1" s="1"/>
  <c r="BL330" i="1" a="1"/>
  <c r="BL330" i="1" s="1"/>
  <c r="BL47" i="1" a="1"/>
  <c r="BL47" i="1" s="1"/>
  <c r="BL316" i="1" a="1"/>
  <c r="BL316" i="1" s="1"/>
  <c r="BL266" i="1" a="1"/>
  <c r="BL266" i="1" s="1"/>
  <c r="BL336" i="1" a="1"/>
  <c r="BL336" i="1" s="1"/>
  <c r="BL185" i="1" a="1"/>
  <c r="BL185" i="1" s="1"/>
  <c r="BL332" i="1" a="1"/>
  <c r="BL332" i="1" s="1"/>
  <c r="BL200" i="1" a="1"/>
  <c r="BL200" i="1" s="1"/>
  <c r="BL341" i="1" a="1"/>
  <c r="BL341" i="1" s="1"/>
  <c r="BL72" i="1" a="1"/>
  <c r="BL72" i="1" s="1"/>
  <c r="BL396" i="1" a="1"/>
  <c r="BL396" i="1" s="1"/>
  <c r="BL163" i="1" a="1"/>
  <c r="BL163" i="1" s="1"/>
  <c r="BL279" i="1" a="1"/>
  <c r="BL279" i="1" s="1"/>
  <c r="BL277" i="1" a="1"/>
  <c r="BL277" i="1" s="1"/>
  <c r="BL222" i="1" a="1"/>
  <c r="BL222" i="1" s="1"/>
  <c r="BL274" i="1" a="1"/>
  <c r="BL274" i="1" s="1"/>
  <c r="BL320" i="1" a="1"/>
  <c r="BL320" i="1" s="1"/>
  <c r="BL125" i="1" a="1"/>
  <c r="BL125" i="1" s="1"/>
  <c r="BL282" i="1" a="1"/>
  <c r="BL282" i="1" s="1"/>
  <c r="BL187" i="1" a="1"/>
  <c r="BL187" i="1" s="1"/>
  <c r="BL51" i="1" a="1"/>
  <c r="BL51" i="1" s="1"/>
  <c r="BL232" i="1" a="1"/>
  <c r="BL232" i="1" s="1"/>
  <c r="BL288" i="1" a="1"/>
  <c r="BL288" i="1" s="1"/>
  <c r="BL339" i="1" a="1"/>
  <c r="BL339" i="1" s="1"/>
  <c r="BL68" i="1" a="1"/>
  <c r="BL68" i="1" s="1"/>
  <c r="BL81" i="1" a="1"/>
  <c r="BL81" i="1" s="1"/>
  <c r="BL132" i="1" a="1"/>
  <c r="BL132" i="1" s="1"/>
  <c r="BL319" i="1" a="1"/>
  <c r="BL319" i="1" s="1"/>
  <c r="BL333" i="1" a="1"/>
  <c r="BL333" i="1" s="1"/>
  <c r="BL265" i="1" a="1"/>
  <c r="BL265" i="1" s="1"/>
  <c r="BL136" i="1" a="1"/>
  <c r="BL136" i="1" s="1"/>
  <c r="BL338" i="1" a="1"/>
  <c r="BL338" i="1" s="1"/>
  <c r="BL88" i="1" a="1"/>
  <c r="BL88" i="1" s="1"/>
  <c r="BL82" i="1" a="1"/>
  <c r="BL82" i="1" s="1"/>
  <c r="BL102" i="1" a="1"/>
  <c r="BL102" i="1" s="1"/>
  <c r="BL334" i="1" a="1"/>
  <c r="BL334" i="1" s="1"/>
  <c r="BL263" i="1" a="1"/>
  <c r="BL263" i="1" s="1"/>
  <c r="BL80" i="1" a="1"/>
  <c r="BL80" i="1" s="1"/>
  <c r="BL36" i="1" a="1"/>
  <c r="BL36" i="1" s="1"/>
  <c r="BH10" i="1"/>
  <c r="BL10" i="1" s="1" a="1"/>
  <c r="BL10" i="1" s="1"/>
  <c r="BL176" i="1" a="1"/>
  <c r="BL176" i="1" s="1"/>
  <c r="BL340" i="1" a="1"/>
  <c r="BL340" i="1" s="1"/>
  <c r="BL114" i="1" a="1"/>
  <c r="BL114" i="1" s="1"/>
  <c r="BL83" i="1" a="1"/>
  <c r="BL83" i="1" s="1"/>
  <c r="BL177" i="1" a="1"/>
  <c r="BL177" i="1" s="1"/>
  <c r="BL159" i="1" a="1"/>
  <c r="BL159" i="1" s="1"/>
  <c r="BL138" i="1" a="1"/>
  <c r="BL138" i="1" s="1"/>
  <c r="BL400" i="1" a="1"/>
  <c r="BL400" i="1" s="1"/>
  <c r="BL193" i="1" a="1"/>
  <c r="BL193" i="1" s="1"/>
  <c r="BL284" i="1" a="1"/>
  <c r="BL284" i="1" s="1"/>
  <c r="BL156" i="1" a="1"/>
  <c r="BL156" i="1" s="1"/>
  <c r="BL398" i="1" a="1"/>
  <c r="BL398" i="1" s="1"/>
  <c r="BL191" i="1" a="1"/>
  <c r="BL191" i="1" s="1"/>
  <c r="BL197" i="1" a="1"/>
  <c r="BL197" i="1" s="1"/>
  <c r="BL278" i="1" a="1"/>
  <c r="BL278" i="1" s="1"/>
  <c r="BL184" i="1" a="1"/>
  <c r="BL184" i="1" s="1"/>
  <c r="BL183" i="1" a="1"/>
  <c r="BL183" i="1" s="1"/>
  <c r="BL139" i="1" a="1"/>
  <c r="BL139" i="1" s="1"/>
  <c r="BL213" i="1" a="1"/>
  <c r="BL213" i="1" s="1"/>
  <c r="BL162" i="1" a="1"/>
  <c r="BL162" i="1" s="1"/>
  <c r="BL67" i="1" a="1"/>
  <c r="BL67" i="1" s="1"/>
  <c r="BL137" i="1" a="1"/>
  <c r="BL137" i="1" s="1"/>
  <c r="BL337" i="1" a="1"/>
  <c r="BL337" i="1" s="1"/>
  <c r="BL28" i="1" a="1"/>
  <c r="BL28" i="1" s="1"/>
  <c r="BL26" i="1" a="1"/>
  <c r="BL26" i="1" s="1"/>
  <c r="BH24" i="1"/>
  <c r="BL24" i="1" s="1" a="1"/>
  <c r="BL24" i="1" s="1"/>
  <c r="BL38" i="1" a="1"/>
  <c r="BL38" i="1" s="1"/>
  <c r="BL40" i="1" a="1"/>
  <c r="BL40" i="1" s="1"/>
  <c r="BL55" i="1" a="1"/>
  <c r="BL55" i="1" s="1"/>
  <c r="BL32" i="1" a="1"/>
  <c r="BL32" i="1" s="1"/>
  <c r="BL33" i="1" a="1"/>
  <c r="BL33" i="1" s="1"/>
  <c r="BL34" i="1" a="1"/>
  <c r="BL34" i="1" s="1"/>
  <c r="BL44" i="1" a="1"/>
  <c r="BL44" i="1" s="1"/>
  <c r="BL57" i="1" a="1"/>
  <c r="BL57" i="1" s="1"/>
  <c r="BL45" i="1" a="1"/>
  <c r="BL45" i="1" s="1"/>
  <c r="BL46" i="1" a="1"/>
  <c r="BL46" i="1" s="1"/>
  <c r="BH22" i="1"/>
  <c r="BL22" i="1" s="1" a="1"/>
  <c r="BL22" i="1" s="1"/>
  <c r="BL35" i="1" a="1"/>
  <c r="BL35" i="1" s="1"/>
  <c r="BL48" i="1" a="1"/>
  <c r="BL48" i="1" s="1"/>
  <c r="BL52" i="1" a="1"/>
  <c r="BL52" i="1" s="1"/>
  <c r="BL62" i="1" a="1"/>
  <c r="BL62" i="1" s="1"/>
  <c r="BL66" i="1" a="1"/>
  <c r="BL66" i="1" s="1"/>
  <c r="BL73" i="1" a="1"/>
  <c r="BL73" i="1" s="1"/>
  <c r="BH11" i="1"/>
  <c r="BL11" i="1" s="1" a="1"/>
  <c r="BL11" i="1" s="1"/>
  <c r="BH9" i="1"/>
  <c r="BL9" i="1" s="1" a="1"/>
  <c r="BL9" i="1" s="1"/>
  <c r="BH17" i="1"/>
  <c r="BL17" i="1" s="1" a="1"/>
  <c r="BL17" i="1" s="1"/>
  <c r="BH18" i="1"/>
  <c r="BL18" i="1" s="1" a="1"/>
  <c r="BL18" i="1" s="1"/>
  <c r="BH16" i="1"/>
  <c r="BL16" i="1" s="1" a="1"/>
  <c r="BL16" i="1" s="1"/>
  <c r="BJ152" i="1" a="1"/>
  <c r="BJ152" i="1" s="1"/>
  <c r="BJ138" i="1" a="1"/>
  <c r="BJ138" i="1" s="1"/>
  <c r="BJ136" i="1" a="1"/>
  <c r="BJ136" i="1" s="1"/>
  <c r="BJ132" i="1" a="1"/>
  <c r="BJ132" i="1" s="1"/>
  <c r="BJ126" i="1" a="1"/>
  <c r="BJ126" i="1" s="1"/>
  <c r="BJ137" i="1" a="1"/>
  <c r="BJ137" i="1" s="1"/>
  <c r="BD98" i="1"/>
  <c r="BF98" i="1"/>
  <c r="BH98" i="1" s="1"/>
  <c r="BF124" i="1"/>
  <c r="BH124" i="1" s="1"/>
  <c r="BD124" i="1"/>
  <c r="BJ176" i="1" a="1"/>
  <c r="BJ176" i="1" s="1"/>
  <c r="BJ340" i="1" a="1"/>
  <c r="BJ340" i="1" s="1"/>
  <c r="BJ114" i="1" a="1"/>
  <c r="BJ114" i="1" s="1"/>
  <c r="BJ83" i="1" a="1"/>
  <c r="BJ83" i="1" s="1"/>
  <c r="BJ177" i="1" a="1"/>
  <c r="BJ177" i="1" s="1"/>
  <c r="BJ159" i="1" a="1"/>
  <c r="BJ159" i="1" s="1"/>
  <c r="BJ140" i="1" a="1"/>
  <c r="BJ140" i="1" s="1"/>
  <c r="BJ319" i="1" a="1"/>
  <c r="BJ319" i="1" s="1"/>
  <c r="BJ333" i="1" a="1"/>
  <c r="BJ333" i="1" s="1"/>
  <c r="BJ265" i="1" a="1"/>
  <c r="BJ265" i="1" s="1"/>
  <c r="BJ396" i="1" a="1"/>
  <c r="BJ396" i="1" s="1"/>
  <c r="BJ163" i="1" a="1"/>
  <c r="BJ163" i="1" s="1"/>
  <c r="BJ174" i="1" a="1"/>
  <c r="BJ174" i="1" s="1"/>
  <c r="BJ127" i="1" a="1"/>
  <c r="BJ127" i="1" s="1"/>
  <c r="BJ135" i="1" a="1"/>
  <c r="BJ135" i="1" s="1"/>
  <c r="BJ161" i="1" a="1"/>
  <c r="BJ161" i="1" s="1"/>
  <c r="BJ226" i="1" a="1"/>
  <c r="BJ226" i="1" s="1"/>
  <c r="BJ219" i="1" a="1"/>
  <c r="BJ219" i="1" s="1"/>
  <c r="BJ74" i="1" a="1"/>
  <c r="BJ74" i="1" s="1"/>
  <c r="BJ119" i="1" a="1"/>
  <c r="BJ119" i="1" s="1"/>
  <c r="BJ116" i="1" a="1"/>
  <c r="BJ116" i="1" s="1"/>
  <c r="BJ199" i="1" a="1"/>
  <c r="BJ199" i="1" s="1"/>
  <c r="BF275" i="1"/>
  <c r="BH275" i="1" s="1"/>
  <c r="BD275" i="1"/>
  <c r="BJ262" i="1" a="1"/>
  <c r="BJ262" i="1" s="1"/>
  <c r="BJ261" i="1" a="1"/>
  <c r="BJ261" i="1" s="1"/>
  <c r="BJ294" i="1" a="1"/>
  <c r="BJ294" i="1" s="1"/>
  <c r="BJ108" i="1" a="1"/>
  <c r="BJ108" i="1" s="1"/>
  <c r="BJ302" i="1" a="1"/>
  <c r="BJ302" i="1" s="1"/>
  <c r="BJ210" i="1" a="1"/>
  <c r="BJ210" i="1" s="1"/>
  <c r="BJ91" i="1" a="1"/>
  <c r="BJ91" i="1" s="1"/>
  <c r="BJ104" i="1" a="1"/>
  <c r="BJ104" i="1" s="1"/>
  <c r="BJ217" i="1" a="1"/>
  <c r="BJ217" i="1" s="1"/>
  <c r="BJ260" i="1" a="1"/>
  <c r="BJ260" i="1" s="1"/>
  <c r="BJ279" i="1" a="1"/>
  <c r="BJ279" i="1" s="1"/>
  <c r="BJ335" i="1" a="1"/>
  <c r="BJ335" i="1" s="1"/>
  <c r="BJ182" i="1" a="1"/>
  <c r="BJ182" i="1" s="1"/>
  <c r="BJ323" i="1" a="1"/>
  <c r="BJ323" i="1" s="1"/>
  <c r="BJ310" i="1" a="1"/>
  <c r="BJ310" i="1" s="1"/>
  <c r="BJ66" i="1" a="1"/>
  <c r="BJ66" i="1" s="1"/>
  <c r="BJ216" i="1" a="1"/>
  <c r="BJ216" i="1" s="1"/>
  <c r="BJ276" i="1" a="1"/>
  <c r="BJ276" i="1" s="1"/>
  <c r="BJ324" i="1" a="1"/>
  <c r="BJ324" i="1" s="1"/>
  <c r="BJ171" i="1" a="1"/>
  <c r="BJ171" i="1" s="1"/>
  <c r="BJ400" i="1" a="1"/>
  <c r="BJ400" i="1" s="1"/>
  <c r="BJ92" i="1" a="1"/>
  <c r="BJ92" i="1" s="1"/>
  <c r="BJ238" i="1" a="1"/>
  <c r="BJ238" i="1" s="1"/>
  <c r="BJ131" i="1" a="1"/>
  <c r="BJ131" i="1" s="1"/>
  <c r="BJ130" i="1" a="1"/>
  <c r="BJ130" i="1" s="1"/>
  <c r="BJ169" i="1" a="1"/>
  <c r="BJ169" i="1" s="1"/>
  <c r="BJ371" i="1" a="1"/>
  <c r="BJ371" i="1" s="1"/>
  <c r="BJ134" i="1" a="1"/>
  <c r="BJ134" i="1" s="1"/>
  <c r="BJ113" i="1" a="1"/>
  <c r="BJ113" i="1" s="1"/>
  <c r="BJ167" i="1" a="1"/>
  <c r="BJ167" i="1" s="1"/>
  <c r="BJ96" i="1" a="1"/>
  <c r="BJ96" i="1" s="1"/>
  <c r="BJ128" i="1" a="1"/>
  <c r="BJ128" i="1" s="1"/>
  <c r="BJ244" i="1" a="1"/>
  <c r="BJ244" i="1" s="1"/>
  <c r="BJ228" i="1" a="1"/>
  <c r="BJ228" i="1" s="1"/>
  <c r="BJ86" i="1" a="1"/>
  <c r="BJ86" i="1" s="1"/>
  <c r="BH87" i="1"/>
  <c r="BL87" i="1" s="1" a="1"/>
  <c r="BL87" i="1" s="1"/>
  <c r="BJ296" i="1" a="1"/>
  <c r="BJ296" i="1" s="1"/>
  <c r="BJ75" i="1" a="1"/>
  <c r="BJ75" i="1" s="1"/>
  <c r="BJ133" i="1" a="1"/>
  <c r="BJ133" i="1" s="1"/>
  <c r="BD221" i="1"/>
  <c r="BF221" i="1"/>
  <c r="BH221" i="1" s="1"/>
  <c r="BJ256" i="1" a="1"/>
  <c r="BJ256" i="1" s="1"/>
  <c r="BJ322" i="1" a="1"/>
  <c r="BJ322" i="1" s="1"/>
  <c r="BJ190" i="1" a="1"/>
  <c r="BJ190" i="1" s="1"/>
  <c r="BJ321" i="1" a="1"/>
  <c r="BJ321" i="1" s="1"/>
  <c r="BJ196" i="1" a="1"/>
  <c r="BJ196" i="1" s="1"/>
  <c r="BJ156" i="1" a="1"/>
  <c r="BJ156" i="1" s="1"/>
  <c r="BJ398" i="1" a="1"/>
  <c r="BJ398" i="1" s="1"/>
  <c r="BJ338" i="1" a="1"/>
  <c r="BJ338" i="1" s="1"/>
  <c r="BJ277" i="1" a="1"/>
  <c r="BJ277" i="1" s="1"/>
  <c r="BJ222" i="1" a="1"/>
  <c r="BJ222" i="1" s="1"/>
  <c r="BJ274" i="1" a="1"/>
  <c r="BJ274" i="1" s="1"/>
  <c r="BJ320" i="1" a="1"/>
  <c r="BJ320" i="1" s="1"/>
  <c r="BJ282" i="1" a="1"/>
  <c r="BJ282" i="1" s="1"/>
  <c r="BJ187" i="1" a="1"/>
  <c r="BJ187" i="1" s="1"/>
  <c r="BJ330" i="1" a="1"/>
  <c r="BJ330" i="1" s="1"/>
  <c r="BJ73" i="1" a="1"/>
  <c r="BJ73" i="1" s="1"/>
  <c r="BF325" i="1"/>
  <c r="BH325" i="1" s="1"/>
  <c r="BD325" i="1"/>
  <c r="BF198" i="1"/>
  <c r="BH198" i="1" s="1"/>
  <c r="BD198" i="1"/>
  <c r="BF318" i="1"/>
  <c r="BH318" i="1" s="1"/>
  <c r="BD318" i="1"/>
  <c r="BD151" i="1"/>
  <c r="BF151" i="1"/>
  <c r="BH151" i="1" s="1"/>
  <c r="BJ312" i="1" a="1"/>
  <c r="BJ312" i="1" s="1"/>
  <c r="BJ293" i="1" a="1"/>
  <c r="BJ293" i="1" s="1"/>
  <c r="BJ170" i="1" a="1"/>
  <c r="BJ170" i="1" s="1"/>
  <c r="BJ153" i="1" a="1"/>
  <c r="BJ153" i="1" s="1"/>
  <c r="BJ368" i="1" a="1"/>
  <c r="BJ368" i="1" s="1"/>
  <c r="BJ313" i="1" a="1"/>
  <c r="BJ313" i="1" s="1"/>
  <c r="BJ101" i="1" a="1"/>
  <c r="BJ101" i="1" s="1"/>
  <c r="BJ180" i="1" a="1"/>
  <c r="BJ180" i="1" s="1"/>
  <c r="BJ251" i="1" a="1"/>
  <c r="BJ251" i="1" s="1"/>
  <c r="BJ218" i="1" a="1"/>
  <c r="BJ218" i="1" s="1"/>
  <c r="BJ257" i="1" a="1"/>
  <c r="BJ257" i="1" s="1"/>
  <c r="BJ239" i="1" a="1"/>
  <c r="BJ239" i="1" s="1"/>
  <c r="BJ387" i="1" a="1"/>
  <c r="BJ387" i="1" s="1"/>
  <c r="BJ111" i="1" a="1"/>
  <c r="BJ111" i="1" s="1"/>
  <c r="BJ125" i="1" a="1"/>
  <c r="BJ125" i="1" s="1"/>
  <c r="BJ202" i="1" a="1"/>
  <c r="BJ202" i="1" s="1"/>
  <c r="BJ236" i="1" a="1"/>
  <c r="BJ236" i="1" s="1"/>
  <c r="BJ245" i="1" a="1"/>
  <c r="BJ245" i="1" s="1"/>
  <c r="BJ390" i="1" a="1"/>
  <c r="BJ390" i="1" s="1"/>
  <c r="BD107" i="1"/>
  <c r="BF107" i="1"/>
  <c r="BH107" i="1" s="1"/>
  <c r="BJ385" i="1" a="1"/>
  <c r="BJ385" i="1" s="1"/>
  <c r="BJ367" i="1" a="1"/>
  <c r="BJ367" i="1" s="1"/>
  <c r="BJ65" i="1" a="1"/>
  <c r="BJ65" i="1" s="1"/>
  <c r="BJ303" i="1" a="1"/>
  <c r="BJ303" i="1" s="1"/>
  <c r="BJ193" i="1" a="1"/>
  <c r="BJ193" i="1" s="1"/>
  <c r="BF272" i="1"/>
  <c r="BH272" i="1" s="1"/>
  <c r="BD272" i="1"/>
  <c r="BH150" i="1"/>
  <c r="BJ150" i="1" s="1" a="1"/>
  <c r="BJ150" i="1" s="1"/>
  <c r="BJ247" i="1" a="1"/>
  <c r="BJ247" i="1" s="1"/>
  <c r="BJ331" i="1" a="1"/>
  <c r="BJ331" i="1" s="1"/>
  <c r="BJ192" i="1" a="1"/>
  <c r="BJ192" i="1" s="1"/>
  <c r="BJ229" i="1" a="1"/>
  <c r="BJ229" i="1" s="1"/>
  <c r="BJ79" i="1" a="1"/>
  <c r="BJ79" i="1" s="1"/>
  <c r="BJ264" i="1" a="1"/>
  <c r="BJ264" i="1" s="1"/>
  <c r="BJ399" i="1" a="1"/>
  <c r="BJ399" i="1" s="1"/>
  <c r="BJ206" i="1" a="1"/>
  <c r="BJ206" i="1" s="1"/>
  <c r="BJ306" i="1" a="1"/>
  <c r="BJ306" i="1" s="1"/>
  <c r="BJ191" i="1" a="1"/>
  <c r="BJ191" i="1" s="1"/>
  <c r="BJ197" i="1" a="1"/>
  <c r="BJ197" i="1" s="1"/>
  <c r="BJ82" i="1" a="1"/>
  <c r="BJ82" i="1" s="1"/>
  <c r="BJ102" i="1" a="1"/>
  <c r="BJ102" i="1" s="1"/>
  <c r="BJ334" i="1" a="1"/>
  <c r="BJ334" i="1" s="1"/>
  <c r="BJ263" i="1" a="1"/>
  <c r="BJ263" i="1" s="1"/>
  <c r="BD157" i="1"/>
  <c r="BF157" i="1"/>
  <c r="BH157" i="1" s="1"/>
  <c r="BF308" i="1"/>
  <c r="BH308" i="1" s="1"/>
  <c r="BD308" i="1"/>
  <c r="BJ284" i="1" a="1"/>
  <c r="BJ284" i="1" s="1"/>
  <c r="BJ281" i="1" a="1"/>
  <c r="BJ281" i="1" s="1"/>
  <c r="BJ149" i="1" a="1"/>
  <c r="BJ149" i="1" s="1"/>
  <c r="BJ178" i="1" a="1"/>
  <c r="BJ178" i="1" s="1"/>
  <c r="BJ100" i="1" a="1"/>
  <c r="BJ100" i="1" s="1"/>
  <c r="BH145" i="1"/>
  <c r="BJ145" i="1" s="1" a="1"/>
  <c r="BJ145" i="1" s="1"/>
  <c r="BJ300" i="1" a="1"/>
  <c r="BJ300" i="1" s="1"/>
  <c r="BJ269" i="1" a="1"/>
  <c r="BJ269" i="1" s="1"/>
  <c r="BJ250" i="1" a="1"/>
  <c r="BJ250" i="1" s="1"/>
  <c r="BJ88" i="1" a="1"/>
  <c r="BJ88" i="1" s="1"/>
  <c r="BJ280" i="1" a="1"/>
  <c r="BJ280" i="1" s="1"/>
  <c r="BJ214" i="1" a="1"/>
  <c r="BJ214" i="1" s="1"/>
  <c r="BJ166" i="1" a="1"/>
  <c r="BJ166" i="1" s="1"/>
  <c r="BJ292" i="1" a="1"/>
  <c r="BJ292" i="1" s="1"/>
  <c r="BJ289" i="1" a="1"/>
  <c r="BJ289" i="1" s="1"/>
  <c r="BJ215" i="1" a="1"/>
  <c r="BJ215" i="1" s="1"/>
  <c r="BJ243" i="1" a="1"/>
  <c r="BJ243" i="1" s="1"/>
  <c r="BJ258" i="1" a="1"/>
  <c r="BJ258" i="1" s="1"/>
  <c r="BF317" i="1"/>
  <c r="BH317" i="1" s="1"/>
  <c r="BD317" i="1"/>
  <c r="BJ287" i="1" a="1"/>
  <c r="BJ287" i="1" s="1"/>
  <c r="BD105" i="1"/>
  <c r="BF105" i="1"/>
  <c r="BH105" i="1" s="1"/>
  <c r="BF397" i="1"/>
  <c r="BH397" i="1" s="1"/>
  <c r="BD397" i="1"/>
  <c r="BF118" i="1"/>
  <c r="BH118" i="1" s="1"/>
  <c r="BD118" i="1"/>
  <c r="BF106" i="1"/>
  <c r="BH106" i="1" s="1"/>
  <c r="BD106" i="1"/>
  <c r="BF115" i="1"/>
  <c r="BH115" i="1" s="1"/>
  <c r="BD115" i="1"/>
  <c r="BJ232" i="1" a="1"/>
  <c r="BJ232" i="1" s="1"/>
  <c r="BJ266" i="1" a="1"/>
  <c r="BJ266" i="1" s="1"/>
  <c r="BJ336" i="1" a="1"/>
  <c r="BJ336" i="1" s="1"/>
  <c r="BJ185" i="1" a="1"/>
  <c r="BJ185" i="1" s="1"/>
  <c r="BJ332" i="1" a="1"/>
  <c r="BJ332" i="1" s="1"/>
  <c r="BJ186" i="1" a="1"/>
  <c r="BJ186" i="1" s="1"/>
  <c r="BJ268" i="1" a="1"/>
  <c r="BJ268" i="1" s="1"/>
  <c r="BJ71" i="1" a="1"/>
  <c r="BJ71" i="1" s="1"/>
  <c r="BJ207" i="1" a="1"/>
  <c r="BJ207" i="1" s="1"/>
  <c r="BJ278" i="1" a="1"/>
  <c r="BJ278" i="1" s="1"/>
  <c r="BJ184" i="1" a="1"/>
  <c r="BJ184" i="1" s="1"/>
  <c r="BJ183" i="1" a="1"/>
  <c r="BJ183" i="1" s="1"/>
  <c r="BJ139" i="1" a="1"/>
  <c r="BJ139" i="1" s="1"/>
  <c r="BJ213" i="1" a="1"/>
  <c r="BJ213" i="1" s="1"/>
  <c r="BJ162" i="1" a="1"/>
  <c r="BJ162" i="1" s="1"/>
  <c r="BJ67" i="1" a="1"/>
  <c r="BJ67" i="1" s="1"/>
  <c r="BJ80" i="1" a="1"/>
  <c r="BJ80" i="1" s="1"/>
  <c r="BD141" i="1"/>
  <c r="BF141" i="1"/>
  <c r="BH141" i="1" s="1"/>
  <c r="BJ316" i="1" a="1"/>
  <c r="BJ316" i="1" s="1"/>
  <c r="BJ234" i="1" a="1"/>
  <c r="BJ234" i="1" s="1"/>
  <c r="BD78" i="1"/>
  <c r="BF78" i="1"/>
  <c r="BH78" i="1" s="1"/>
  <c r="BF103" i="1"/>
  <c r="BH103" i="1" s="1"/>
  <c r="BD103" i="1"/>
  <c r="BD97" i="1"/>
  <c r="BF97" i="1"/>
  <c r="BH97" i="1" s="1"/>
  <c r="BJ93" i="1" a="1"/>
  <c r="BJ93" i="1" s="1"/>
  <c r="BJ227" i="1" a="1"/>
  <c r="BJ227" i="1" s="1"/>
  <c r="BJ301" i="1" a="1"/>
  <c r="BJ301" i="1" s="1"/>
  <c r="BJ249" i="1" a="1"/>
  <c r="BJ249" i="1" s="1"/>
  <c r="BJ246" i="1" a="1"/>
  <c r="BJ246" i="1" s="1"/>
  <c r="BJ158" i="1" a="1"/>
  <c r="BJ158" i="1" s="1"/>
  <c r="BJ121" i="1" a="1"/>
  <c r="BJ121" i="1" s="1"/>
  <c r="BJ366" i="1" a="1"/>
  <c r="BJ366" i="1" s="1"/>
  <c r="BH148" i="1"/>
  <c r="BJ148" i="1" s="1" a="1"/>
  <c r="BJ148" i="1" s="1"/>
  <c r="BJ99" i="1" a="1"/>
  <c r="BJ99" i="1" s="1"/>
  <c r="BJ311" i="1" a="1"/>
  <c r="BJ311" i="1" s="1"/>
  <c r="BJ179" i="1" a="1"/>
  <c r="BJ179" i="1" s="1"/>
  <c r="BJ237" i="1" a="1"/>
  <c r="BJ237" i="1" s="1"/>
  <c r="BJ110" i="1" a="1"/>
  <c r="BJ110" i="1" s="1"/>
  <c r="BJ220" i="1" a="1"/>
  <c r="BJ220" i="1" s="1"/>
  <c r="BJ372" i="1" a="1"/>
  <c r="BJ372" i="1" s="1"/>
  <c r="BD209" i="1"/>
  <c r="BF209" i="1"/>
  <c r="BH209" i="1" s="1"/>
  <c r="BJ288" i="1" a="1"/>
  <c r="BJ288" i="1" s="1"/>
  <c r="BJ339" i="1" a="1"/>
  <c r="BJ339" i="1" s="1"/>
  <c r="BJ68" i="1" a="1"/>
  <c r="BJ68" i="1" s="1"/>
  <c r="BJ81" i="1" a="1"/>
  <c r="BJ81" i="1" s="1"/>
  <c r="BJ200" i="1" a="1"/>
  <c r="BJ200" i="1" s="1"/>
  <c r="BJ341" i="1" a="1"/>
  <c r="BJ341" i="1" s="1"/>
  <c r="BJ72" i="1" a="1"/>
  <c r="BJ72" i="1" s="1"/>
  <c r="BJ235" i="1" a="1"/>
  <c r="BJ235" i="1" s="1"/>
  <c r="BJ120" i="1" a="1"/>
  <c r="BJ120" i="1" s="1"/>
  <c r="BJ255" i="1" a="1"/>
  <c r="BJ255" i="1" s="1"/>
  <c r="BJ295" i="1" a="1"/>
  <c r="BJ295" i="1" s="1"/>
  <c r="BJ208" i="1" a="1"/>
  <c r="BJ208" i="1" s="1"/>
  <c r="BJ160" i="1" a="1"/>
  <c r="BJ160" i="1" s="1"/>
  <c r="BJ175" i="1" a="1"/>
  <c r="BJ175" i="1" s="1"/>
  <c r="BJ273" i="1" a="1"/>
  <c r="BJ273" i="1" s="1"/>
  <c r="BJ309" i="1" a="1"/>
  <c r="BJ309" i="1" s="1"/>
  <c r="BJ327" i="1" a="1"/>
  <c r="BJ327" i="1" s="1"/>
  <c r="BJ267" i="1" a="1"/>
  <c r="BJ267" i="1" s="1"/>
  <c r="BJ337" i="1" a="1"/>
  <c r="BJ337" i="1" s="1"/>
  <c r="BJ168" i="1" a="1"/>
  <c r="BJ168" i="1" s="1"/>
  <c r="BF283" i="1"/>
  <c r="BH283" i="1" s="1"/>
  <c r="BD283" i="1"/>
  <c r="BF307" i="1"/>
  <c r="BH307" i="1" s="1"/>
  <c r="BD307" i="1"/>
  <c r="BD392" i="1"/>
  <c r="BF392" i="1"/>
  <c r="BH392" i="1" s="1"/>
  <c r="BF326" i="1"/>
  <c r="BH326" i="1" s="1"/>
  <c r="BD326" i="1"/>
  <c r="BF117" i="1"/>
  <c r="BH117" i="1" s="1"/>
  <c r="BD117" i="1"/>
  <c r="BJ203" i="1" a="1"/>
  <c r="BJ203" i="1" s="1"/>
  <c r="BJ225" i="1" a="1"/>
  <c r="BJ225" i="1" s="1"/>
  <c r="BJ233" i="1" a="1"/>
  <c r="BJ233" i="1" s="1"/>
  <c r="BJ259" i="1" a="1"/>
  <c r="BJ259" i="1" s="1"/>
  <c r="BJ144" i="1" a="1"/>
  <c r="BJ144" i="1" s="1"/>
  <c r="BJ242" i="1" a="1"/>
  <c r="BJ242" i="1" s="1"/>
  <c r="BJ386" i="1" a="1"/>
  <c r="BJ386" i="1" s="1"/>
  <c r="BJ112" i="1" a="1"/>
  <c r="BJ112" i="1" s="1"/>
  <c r="BJ181" i="1" a="1"/>
  <c r="BJ181" i="1" s="1"/>
  <c r="BJ201" i="1" a="1"/>
  <c r="BJ201" i="1" s="1"/>
  <c r="BJ252" i="1" a="1"/>
  <c r="BJ252" i="1" s="1"/>
  <c r="BJ391" i="1" a="1"/>
  <c r="BJ391" i="1" s="1"/>
  <c r="BJ299" i="1" a="1"/>
  <c r="BJ299" i="1" s="1"/>
  <c r="BJ248" i="1" a="1"/>
  <c r="BJ248" i="1" s="1"/>
  <c r="BJ109" i="1" a="1"/>
  <c r="BJ109" i="1" s="1"/>
  <c r="BJ129" i="1" a="1"/>
  <c r="BJ129" i="1" s="1"/>
  <c r="BD37" i="1"/>
  <c r="BF37" i="1"/>
  <c r="BH37" i="1" s="1"/>
  <c r="BJ51" i="1" a="1"/>
  <c r="BJ51" i="1" s="1"/>
  <c r="BJ28" i="1" a="1"/>
  <c r="BJ28" i="1" s="1"/>
  <c r="BJ38" i="1" a="1"/>
  <c r="BJ38" i="1" s="1"/>
  <c r="BJ29" i="1" a="1"/>
  <c r="BJ29" i="1" s="1"/>
  <c r="BK29" i="1" s="1" a="1"/>
  <c r="BK29" i="1" s="1"/>
  <c r="BJ40" i="1" a="1"/>
  <c r="BJ40" i="1" s="1"/>
  <c r="BJ57" i="1" a="1"/>
  <c r="BJ57" i="1" s="1"/>
  <c r="BJ36" i="1" a="1"/>
  <c r="BJ36" i="1" s="1"/>
  <c r="BD56" i="1"/>
  <c r="BF56" i="1"/>
  <c r="BH56" i="1" s="1"/>
  <c r="BF23" i="1"/>
  <c r="BD23" i="1"/>
  <c r="BJ55" i="1" a="1"/>
  <c r="BJ55" i="1" s="1"/>
  <c r="BJ58" i="1" a="1"/>
  <c r="BJ58" i="1" s="1"/>
  <c r="BJ32" i="1" a="1"/>
  <c r="BJ32" i="1" s="1"/>
  <c r="BJ33" i="1" a="1"/>
  <c r="BJ33" i="1" s="1"/>
  <c r="BJ34" i="1" a="1"/>
  <c r="BJ34" i="1" s="1"/>
  <c r="BJ44" i="1" a="1"/>
  <c r="BJ44" i="1" s="1"/>
  <c r="BJ47" i="1" a="1"/>
  <c r="BJ47" i="1" s="1"/>
  <c r="BD42" i="1"/>
  <c r="BF42" i="1"/>
  <c r="BH42" i="1" s="1"/>
  <c r="BJ61" i="1" a="1"/>
  <c r="BJ61" i="1" s="1"/>
  <c r="BF19" i="1"/>
  <c r="BD19" i="1"/>
  <c r="BD41" i="1"/>
  <c r="BF41" i="1"/>
  <c r="BH41" i="1" s="1"/>
  <c r="BF25" i="1"/>
  <c r="BD25" i="1"/>
  <c r="BJ45" i="1" a="1"/>
  <c r="BJ45" i="1" s="1"/>
  <c r="BJ46" i="1" a="1"/>
  <c r="BJ46" i="1" s="1"/>
  <c r="BJ26" i="1" a="1"/>
  <c r="BJ26" i="1" s="1"/>
  <c r="BF27" i="1"/>
  <c r="BD27" i="1"/>
  <c r="BJ35" i="1" a="1"/>
  <c r="BJ35" i="1" s="1"/>
  <c r="BJ48" i="1" a="1"/>
  <c r="BJ48" i="1" s="1"/>
  <c r="BJ52" i="1" a="1"/>
  <c r="BJ52" i="1" s="1"/>
  <c r="BJ62" i="1" a="1"/>
  <c r="BJ62" i="1" s="1"/>
  <c r="BJ43" i="1" a="1"/>
  <c r="BJ43" i="1" s="1"/>
  <c r="BJ39" i="1" a="1"/>
  <c r="BJ39" i="1" s="1"/>
  <c r="BF416" i="1"/>
  <c r="BH416" i="1" s="1"/>
  <c r="BD416" i="1"/>
  <c r="BF404" i="1"/>
  <c r="BH404" i="1" s="1"/>
  <c r="BD404" i="1"/>
  <c r="BF406" i="1"/>
  <c r="BH406" i="1" s="1"/>
  <c r="BD406" i="1"/>
  <c r="BF405" i="1"/>
  <c r="BH405" i="1" s="1"/>
  <c r="BD405" i="1"/>
  <c r="BF403" i="1"/>
  <c r="BH403" i="1" s="1"/>
  <c r="BD403" i="1"/>
  <c r="AZ395" i="1"/>
  <c r="BJ10" i="1" l="1" a="1"/>
  <c r="BJ10" i="1" s="1"/>
  <c r="BK10" i="1" s="1" a="1"/>
  <c r="BK10" i="1" s="1"/>
  <c r="BM10" i="1" s="1" a="1"/>
  <c r="BM10" i="1" s="1"/>
  <c r="BJ24" i="1" a="1"/>
  <c r="BJ24" i="1" s="1"/>
  <c r="BK24" i="1" s="1" a="1"/>
  <c r="BK24" i="1" s="1"/>
  <c r="BM24" i="1" s="1" a="1"/>
  <c r="BM24" i="1" s="1"/>
  <c r="BJ16" i="1" a="1"/>
  <c r="BJ16" i="1" s="1"/>
  <c r="BJ11" i="1" a="1"/>
  <c r="BJ11" i="1" s="1"/>
  <c r="BJ18" i="1" a="1"/>
  <c r="BJ18" i="1" s="1"/>
  <c r="BL397" i="1" a="1"/>
  <c r="BL397" i="1" s="1"/>
  <c r="BL403" i="1" a="1"/>
  <c r="BL403" i="1" s="1"/>
  <c r="BL405" i="1" a="1"/>
  <c r="BL405" i="1" s="1"/>
  <c r="BJ22" i="1" a="1"/>
  <c r="BJ22" i="1" s="1"/>
  <c r="BK22" i="1" s="1" a="1"/>
  <c r="BK22" i="1" s="1"/>
  <c r="BM22" i="1" s="1" a="1"/>
  <c r="BM22" i="1" s="1"/>
  <c r="BL308" i="1" a="1"/>
  <c r="BL308" i="1" s="1"/>
  <c r="BL105" i="1" a="1"/>
  <c r="BL105" i="1" s="1"/>
  <c r="BL115" i="1" a="1"/>
  <c r="BL115" i="1" s="1"/>
  <c r="BL275" i="1" a="1"/>
  <c r="BL275" i="1" s="1"/>
  <c r="BL124" i="1" a="1"/>
  <c r="BL124" i="1" s="1"/>
  <c r="BL141" i="1" a="1"/>
  <c r="BL141" i="1" s="1"/>
  <c r="BJ17" i="1" a="1"/>
  <c r="BJ17" i="1" s="1"/>
  <c r="BK17" i="1" s="1" a="1"/>
  <c r="BK17" i="1" s="1"/>
  <c r="BM17" i="1" s="1" a="1"/>
  <c r="BM17" i="1" s="1"/>
  <c r="BL406" i="1" a="1"/>
  <c r="BL406" i="1" s="1"/>
  <c r="BL42" i="1" a="1"/>
  <c r="BL42" i="1" s="1"/>
  <c r="BL392" i="1" a="1"/>
  <c r="BL392" i="1" s="1"/>
  <c r="BL78" i="1" a="1"/>
  <c r="BL78" i="1" s="1"/>
  <c r="BJ9" i="1" a="1"/>
  <c r="BJ9" i="1" s="1"/>
  <c r="BK9" i="1" s="1" a="1"/>
  <c r="BK9" i="1" s="1"/>
  <c r="BM9" i="1" s="1" a="1"/>
  <c r="BM9" i="1" s="1"/>
  <c r="BL118" i="1" a="1"/>
  <c r="BL118" i="1" s="1"/>
  <c r="BL117" i="1" a="1"/>
  <c r="BL117" i="1" s="1"/>
  <c r="BL318" i="1" a="1"/>
  <c r="BL318" i="1" s="1"/>
  <c r="BL416" i="1" a="1"/>
  <c r="BL416" i="1" s="1"/>
  <c r="BL307" i="1" a="1"/>
  <c r="BL307" i="1" s="1"/>
  <c r="BL272" i="1" a="1"/>
  <c r="BL272" i="1" s="1"/>
  <c r="BL98" i="1" a="1"/>
  <c r="BL98" i="1" s="1"/>
  <c r="BK386" i="1" a="1"/>
  <c r="BK386" i="1" s="1"/>
  <c r="BM386" i="1" s="1" a="1"/>
  <c r="BM386" i="1" s="1"/>
  <c r="BL41" i="1" a="1"/>
  <c r="BL41" i="1" s="1"/>
  <c r="BK299" i="1" a="1"/>
  <c r="BK299" i="1" s="1"/>
  <c r="BM299" i="1" s="1" a="1"/>
  <c r="BM299" i="1" s="1"/>
  <c r="BK203" i="1" a="1"/>
  <c r="BK203" i="1" s="1"/>
  <c r="BM203" i="1" s="1" a="1"/>
  <c r="BM203" i="1" s="1"/>
  <c r="BK337" i="1" a="1"/>
  <c r="BK337" i="1" s="1"/>
  <c r="BM337" i="1" s="1" a="1"/>
  <c r="BM337" i="1" s="1"/>
  <c r="BK237" i="1" a="1"/>
  <c r="BK237" i="1" s="1"/>
  <c r="BM237" i="1" s="1" a="1"/>
  <c r="BM237" i="1" s="1"/>
  <c r="BK93" i="1" a="1"/>
  <c r="BK93" i="1" s="1"/>
  <c r="BM93" i="1" s="1" a="1"/>
  <c r="BM93" i="1" s="1"/>
  <c r="BK185" i="1" a="1"/>
  <c r="BK185" i="1" s="1"/>
  <c r="BM185" i="1" s="1" a="1"/>
  <c r="BM185" i="1" s="1"/>
  <c r="BK280" i="1" a="1"/>
  <c r="BK280" i="1" s="1"/>
  <c r="BM280" i="1" s="1" a="1"/>
  <c r="BM280" i="1" s="1"/>
  <c r="BK264" i="1" a="1"/>
  <c r="BK264" i="1" s="1"/>
  <c r="BM264" i="1" s="1" a="1"/>
  <c r="BM264" i="1" s="1"/>
  <c r="BK367" i="1" a="1"/>
  <c r="BK367" i="1" s="1"/>
  <c r="BM367" i="1" s="1" a="1"/>
  <c r="BM367" i="1" s="1"/>
  <c r="BK257" i="1" a="1"/>
  <c r="BK257" i="1" s="1"/>
  <c r="BM257" i="1" s="1" a="1"/>
  <c r="BM257" i="1" s="1"/>
  <c r="BL151" i="1" a="1"/>
  <c r="BL151" i="1" s="1"/>
  <c r="BK274" i="1" a="1"/>
  <c r="BK274" i="1" s="1"/>
  <c r="BM274" i="1" s="1" a="1"/>
  <c r="BM274" i="1" s="1"/>
  <c r="BL221" i="1" a="1"/>
  <c r="BL221" i="1" s="1"/>
  <c r="BK134" i="1" a="1"/>
  <c r="BK134" i="1" s="1"/>
  <c r="BM134" i="1" s="1" a="1"/>
  <c r="BM134" i="1" s="1"/>
  <c r="BK108" i="1" a="1"/>
  <c r="BK108" i="1" s="1"/>
  <c r="BM108" i="1" s="1" a="1"/>
  <c r="BM108" i="1" s="1"/>
  <c r="BK161" i="1" a="1"/>
  <c r="BK161" i="1" s="1"/>
  <c r="BM161" i="1" s="1" a="1"/>
  <c r="BM161" i="1" s="1"/>
  <c r="BK138" i="1" a="1"/>
  <c r="BK138" i="1" s="1"/>
  <c r="BM138" i="1" s="1" a="1"/>
  <c r="BM138" i="1" s="1"/>
  <c r="BK391" i="1" a="1"/>
  <c r="BK391" i="1" s="1"/>
  <c r="BM391" i="1" s="1" a="1"/>
  <c r="BM391" i="1" s="1"/>
  <c r="BK267" i="1" a="1"/>
  <c r="BK267" i="1" s="1"/>
  <c r="BM267" i="1" s="1" a="1"/>
  <c r="BM267" i="1" s="1"/>
  <c r="BK341" i="1" a="1"/>
  <c r="BK341" i="1" s="1"/>
  <c r="BM341" i="1" s="1" a="1"/>
  <c r="BM341" i="1" s="1"/>
  <c r="BK179" i="1" a="1"/>
  <c r="BK179" i="1" s="1"/>
  <c r="BM179" i="1" s="1" a="1"/>
  <c r="BM179" i="1" s="1"/>
  <c r="BK162" i="1" a="1"/>
  <c r="BK162" i="1" s="1"/>
  <c r="BM162" i="1" s="1" a="1"/>
  <c r="BM162" i="1" s="1"/>
  <c r="BK336" i="1" a="1"/>
  <c r="BK336" i="1" s="1"/>
  <c r="BM336" i="1" s="1" a="1"/>
  <c r="BM336" i="1" s="1"/>
  <c r="BK88" i="1" a="1"/>
  <c r="BK88" i="1" s="1"/>
  <c r="BM88" i="1" s="1" a="1"/>
  <c r="BM88" i="1" s="1"/>
  <c r="BK385" i="1" a="1"/>
  <c r="BK385" i="1" s="1"/>
  <c r="BM385" i="1" s="1" a="1"/>
  <c r="BM385" i="1" s="1"/>
  <c r="BK218" i="1" a="1"/>
  <c r="BK218" i="1" s="1"/>
  <c r="BM218" i="1" s="1" a="1"/>
  <c r="BM218" i="1" s="1"/>
  <c r="BK222" i="1" a="1"/>
  <c r="BK222" i="1" s="1"/>
  <c r="BM222" i="1" s="1" a="1"/>
  <c r="BM222" i="1" s="1"/>
  <c r="BK133" i="1" a="1"/>
  <c r="BK133" i="1" s="1"/>
  <c r="BM133" i="1" s="1" a="1"/>
  <c r="BM133" i="1" s="1"/>
  <c r="BK371" i="1" a="1"/>
  <c r="BK371" i="1" s="1"/>
  <c r="BM371" i="1" s="1" a="1"/>
  <c r="BM371" i="1" s="1"/>
  <c r="BK310" i="1" a="1"/>
  <c r="BK310" i="1" s="1"/>
  <c r="BM310" i="1" s="1" a="1"/>
  <c r="BM310" i="1" s="1"/>
  <c r="BK294" i="1" a="1"/>
  <c r="BK294" i="1" s="1"/>
  <c r="BM294" i="1" s="1" a="1"/>
  <c r="BM294" i="1" s="1"/>
  <c r="BK135" i="1" a="1"/>
  <c r="BK135" i="1" s="1"/>
  <c r="BM135" i="1" s="1" a="1"/>
  <c r="BM135" i="1" s="1"/>
  <c r="BK114" i="1" a="1"/>
  <c r="BK114" i="1" s="1"/>
  <c r="BM114" i="1" s="1" a="1"/>
  <c r="BM114" i="1" s="1"/>
  <c r="BK152" i="1" a="1"/>
  <c r="BK152" i="1" s="1"/>
  <c r="BM152" i="1" s="1" a="1"/>
  <c r="BM152" i="1" s="1"/>
  <c r="BK252" i="1" a="1"/>
  <c r="BK252" i="1" s="1"/>
  <c r="BM252" i="1" s="1" a="1"/>
  <c r="BM252" i="1" s="1"/>
  <c r="BK327" i="1" a="1"/>
  <c r="BK327" i="1" s="1"/>
  <c r="BM327" i="1" s="1" a="1"/>
  <c r="BM327" i="1" s="1"/>
  <c r="BK200" i="1" a="1"/>
  <c r="BK200" i="1" s="1"/>
  <c r="BM200" i="1" s="1" a="1"/>
  <c r="BM200" i="1" s="1"/>
  <c r="BK311" i="1" a="1"/>
  <c r="BK311" i="1" s="1"/>
  <c r="BM311" i="1" s="1" a="1"/>
  <c r="BM311" i="1" s="1"/>
  <c r="BL97" i="1" a="1"/>
  <c r="BL97" i="1" s="1"/>
  <c r="BK213" i="1" a="1"/>
  <c r="BK213" i="1" s="1"/>
  <c r="BM213" i="1" s="1" a="1"/>
  <c r="BM213" i="1" s="1"/>
  <c r="BK266" i="1" a="1"/>
  <c r="BK266" i="1" s="1"/>
  <c r="BM266" i="1" s="1" a="1"/>
  <c r="BM266" i="1" s="1"/>
  <c r="BK287" i="1" a="1"/>
  <c r="BK287" i="1" s="1"/>
  <c r="BM287" i="1" s="1" a="1"/>
  <c r="BM287" i="1" s="1"/>
  <c r="BK250" i="1" a="1"/>
  <c r="BK250" i="1" s="1"/>
  <c r="BM250" i="1" s="1" a="1"/>
  <c r="BM250" i="1" s="1"/>
  <c r="BL157" i="1" a="1"/>
  <c r="BL157" i="1" s="1"/>
  <c r="BK229" i="1" a="1"/>
  <c r="BK229" i="1" s="1"/>
  <c r="BM229" i="1" s="1" a="1"/>
  <c r="BM229" i="1" s="1"/>
  <c r="BK251" i="1" a="1"/>
  <c r="BK251" i="1" s="1"/>
  <c r="BM251" i="1" s="1" a="1"/>
  <c r="BM251" i="1" s="1"/>
  <c r="BK277" i="1" a="1"/>
  <c r="BK277" i="1" s="1"/>
  <c r="BM277" i="1" s="1" a="1"/>
  <c r="BM277" i="1" s="1"/>
  <c r="BK169" i="1" a="1"/>
  <c r="BK169" i="1" s="1"/>
  <c r="BM169" i="1" s="1" a="1"/>
  <c r="BM169" i="1" s="1"/>
  <c r="BK323" i="1" a="1"/>
  <c r="BK323" i="1" s="1"/>
  <c r="BM323" i="1" s="1" a="1"/>
  <c r="BM323" i="1" s="1"/>
  <c r="BK261" i="1" a="1"/>
  <c r="BK261" i="1" s="1"/>
  <c r="BM261" i="1" s="1" a="1"/>
  <c r="BM261" i="1" s="1"/>
  <c r="BK127" i="1" a="1"/>
  <c r="BK127" i="1" s="1"/>
  <c r="BM127" i="1" s="1" a="1"/>
  <c r="BM127" i="1" s="1"/>
  <c r="BK340" i="1" a="1"/>
  <c r="BK340" i="1" s="1"/>
  <c r="BM340" i="1" s="1" a="1"/>
  <c r="BM340" i="1" s="1"/>
  <c r="BM29" i="1" a="1"/>
  <c r="BM29" i="1" s="1"/>
  <c r="BK201" i="1" a="1"/>
  <c r="BK201" i="1" s="1"/>
  <c r="BM201" i="1" s="1" a="1"/>
  <c r="BM201" i="1" s="1"/>
  <c r="BL326" i="1" a="1"/>
  <c r="BL326" i="1" s="1"/>
  <c r="BK309" i="1" a="1"/>
  <c r="BK309" i="1" s="1"/>
  <c r="BM309" i="1" s="1" a="1"/>
  <c r="BM309" i="1" s="1"/>
  <c r="BK99" i="1" a="1"/>
  <c r="BK99" i="1" s="1"/>
  <c r="BM99" i="1" s="1" a="1"/>
  <c r="BM99" i="1" s="1"/>
  <c r="BL103" i="1" a="1"/>
  <c r="BL103" i="1" s="1"/>
  <c r="BK139" i="1" a="1"/>
  <c r="BK139" i="1" s="1"/>
  <c r="BM139" i="1" s="1" a="1"/>
  <c r="BM139" i="1" s="1"/>
  <c r="BK232" i="1" a="1"/>
  <c r="BK232" i="1" s="1"/>
  <c r="BM232" i="1" s="1" a="1"/>
  <c r="BM232" i="1" s="1"/>
  <c r="BL317" i="1" a="1"/>
  <c r="BL317" i="1" s="1"/>
  <c r="BK269" i="1" a="1"/>
  <c r="BK269" i="1" s="1"/>
  <c r="BM269" i="1" s="1" a="1"/>
  <c r="BM269" i="1" s="1"/>
  <c r="BK263" i="1" a="1"/>
  <c r="BK263" i="1" s="1"/>
  <c r="BM263" i="1" s="1" a="1"/>
  <c r="BM263" i="1" s="1"/>
  <c r="BK192" i="1" a="1"/>
  <c r="BK192" i="1" s="1"/>
  <c r="BM192" i="1" s="1" a="1"/>
  <c r="BM192" i="1" s="1"/>
  <c r="BL107" i="1" a="1"/>
  <c r="BL107" i="1" s="1"/>
  <c r="BK180" i="1" a="1"/>
  <c r="BK180" i="1" s="1"/>
  <c r="BM180" i="1" s="1" a="1"/>
  <c r="BM180" i="1" s="1"/>
  <c r="BL198" i="1" a="1"/>
  <c r="BL198" i="1" s="1"/>
  <c r="BK338" i="1" a="1"/>
  <c r="BK338" i="1" s="1"/>
  <c r="BM338" i="1" s="1" a="1"/>
  <c r="BM338" i="1" s="1"/>
  <c r="BK296" i="1" a="1"/>
  <c r="BK296" i="1" s="1"/>
  <c r="BM296" i="1" s="1" a="1"/>
  <c r="BM296" i="1" s="1"/>
  <c r="BK130" i="1" a="1"/>
  <c r="BK130" i="1" s="1"/>
  <c r="BM130" i="1" s="1" a="1"/>
  <c r="BM130" i="1" s="1"/>
  <c r="BK182" i="1" a="1"/>
  <c r="BK182" i="1" s="1"/>
  <c r="BM182" i="1" s="1" a="1"/>
  <c r="BM182" i="1" s="1"/>
  <c r="BK262" i="1" a="1"/>
  <c r="BK262" i="1" s="1"/>
  <c r="BM262" i="1" s="1" a="1"/>
  <c r="BM262" i="1" s="1"/>
  <c r="BK174" i="1" a="1"/>
  <c r="BK174" i="1" s="1"/>
  <c r="BM174" i="1" s="1" a="1"/>
  <c r="BM174" i="1" s="1"/>
  <c r="BK176" i="1" a="1"/>
  <c r="BK176" i="1" s="1"/>
  <c r="BM176" i="1" s="1" a="1"/>
  <c r="BM176" i="1" s="1"/>
  <c r="BL150" i="1" a="1"/>
  <c r="BL150" i="1" s="1"/>
  <c r="BL148" i="1" a="1"/>
  <c r="BL148" i="1" s="1"/>
  <c r="BK181" i="1" a="1"/>
  <c r="BK181" i="1" s="1"/>
  <c r="BM181" i="1" s="1" a="1"/>
  <c r="BM181" i="1" s="1"/>
  <c r="BK273" i="1" a="1"/>
  <c r="BK273" i="1" s="1"/>
  <c r="BM273" i="1" s="1" a="1"/>
  <c r="BM273" i="1" s="1"/>
  <c r="BK148" i="1" a="1"/>
  <c r="BK148" i="1" s="1"/>
  <c r="BK183" i="1" a="1"/>
  <c r="BK183" i="1" s="1"/>
  <c r="BM183" i="1" s="1" a="1"/>
  <c r="BM183" i="1" s="1"/>
  <c r="BK300" i="1" a="1"/>
  <c r="BK300" i="1" s="1"/>
  <c r="BM300" i="1" s="1" a="1"/>
  <c r="BM300" i="1" s="1"/>
  <c r="BK334" i="1" a="1"/>
  <c r="BK334" i="1" s="1"/>
  <c r="BM334" i="1" s="1" a="1"/>
  <c r="BM334" i="1" s="1"/>
  <c r="BK331" i="1" a="1"/>
  <c r="BK331" i="1" s="1"/>
  <c r="BM331" i="1" s="1" a="1"/>
  <c r="BM331" i="1" s="1"/>
  <c r="BK390" i="1" a="1"/>
  <c r="BK390" i="1" s="1"/>
  <c r="BM390" i="1" s="1" a="1"/>
  <c r="BM390" i="1" s="1"/>
  <c r="BK101" i="1" a="1"/>
  <c r="BK101" i="1" s="1"/>
  <c r="BM101" i="1" s="1" a="1"/>
  <c r="BM101" i="1" s="1"/>
  <c r="BK398" i="1" a="1"/>
  <c r="BK398" i="1" s="1"/>
  <c r="BM398" i="1" s="1" a="1"/>
  <c r="BM398" i="1" s="1"/>
  <c r="BK131" i="1" a="1"/>
  <c r="BK131" i="1" s="1"/>
  <c r="BM131" i="1" s="1" a="1"/>
  <c r="BM131" i="1" s="1"/>
  <c r="BK335" i="1" a="1"/>
  <c r="BK335" i="1" s="1"/>
  <c r="BM335" i="1" s="1" a="1"/>
  <c r="BM335" i="1" s="1"/>
  <c r="BK163" i="1" a="1"/>
  <c r="BK163" i="1" s="1"/>
  <c r="BM163" i="1" s="1" a="1"/>
  <c r="BM163" i="1" s="1"/>
  <c r="BL404" i="1" a="1"/>
  <c r="BL404" i="1" s="1"/>
  <c r="BK112" i="1" a="1"/>
  <c r="BK112" i="1" s="1"/>
  <c r="BM112" i="1" s="1" a="1"/>
  <c r="BM112" i="1" s="1"/>
  <c r="BK175" i="1" a="1"/>
  <c r="BK175" i="1" s="1"/>
  <c r="BM175" i="1" s="1" a="1"/>
  <c r="BM175" i="1" s="1"/>
  <c r="BK339" i="1" a="1"/>
  <c r="BK339" i="1" s="1"/>
  <c r="BM339" i="1" s="1" a="1"/>
  <c r="BM339" i="1" s="1"/>
  <c r="BK366" i="1" a="1"/>
  <c r="BK366" i="1" s="1"/>
  <c r="BM366" i="1" s="1" a="1"/>
  <c r="BM366" i="1" s="1"/>
  <c r="BK184" i="1" a="1"/>
  <c r="BK184" i="1" s="1"/>
  <c r="BM184" i="1" s="1" a="1"/>
  <c r="BM184" i="1" s="1"/>
  <c r="BK258" i="1" a="1"/>
  <c r="BK258" i="1" s="1"/>
  <c r="BM258" i="1" s="1" a="1"/>
  <c r="BM258" i="1" s="1"/>
  <c r="BK145" i="1" a="1"/>
  <c r="BK145" i="1" s="1"/>
  <c r="BK102" i="1" a="1"/>
  <c r="BK102" i="1" s="1"/>
  <c r="BM102" i="1" s="1" a="1"/>
  <c r="BM102" i="1" s="1"/>
  <c r="BK247" i="1" a="1"/>
  <c r="BK247" i="1" s="1"/>
  <c r="BM247" i="1" s="1" a="1"/>
  <c r="BM247" i="1" s="1"/>
  <c r="BK245" i="1" a="1"/>
  <c r="BK245" i="1" s="1"/>
  <c r="BM245" i="1" s="1" a="1"/>
  <c r="BM245" i="1" s="1"/>
  <c r="BK313" i="1" a="1"/>
  <c r="BK313" i="1" s="1"/>
  <c r="BM313" i="1" s="1" a="1"/>
  <c r="BM313" i="1" s="1"/>
  <c r="BL325" i="1" a="1"/>
  <c r="BL325" i="1" s="1"/>
  <c r="BK156" i="1" a="1"/>
  <c r="BK156" i="1" s="1"/>
  <c r="BM156" i="1" s="1" a="1"/>
  <c r="BM156" i="1" s="1"/>
  <c r="BK86" i="1" a="1"/>
  <c r="BK86" i="1" s="1"/>
  <c r="BM86" i="1" s="1" a="1"/>
  <c r="BM86" i="1" s="1"/>
  <c r="BK238" i="1" a="1"/>
  <c r="BK238" i="1" s="1"/>
  <c r="BM238" i="1" s="1" a="1"/>
  <c r="BM238" i="1" s="1"/>
  <c r="BK279" i="1" a="1"/>
  <c r="BK279" i="1" s="1"/>
  <c r="BM279" i="1" s="1" a="1"/>
  <c r="BM279" i="1" s="1"/>
  <c r="BK396" i="1" a="1"/>
  <c r="BK396" i="1" s="1"/>
  <c r="BM396" i="1" s="1" a="1"/>
  <c r="BM396" i="1" s="1"/>
  <c r="BK28" i="1" a="1"/>
  <c r="BK28" i="1" s="1"/>
  <c r="BM28" i="1" s="1" a="1"/>
  <c r="BM28" i="1" s="1"/>
  <c r="BK160" i="1" a="1"/>
  <c r="BK160" i="1" s="1"/>
  <c r="BM160" i="1" s="1" a="1"/>
  <c r="BM160" i="1" s="1"/>
  <c r="BK288" i="1" a="1"/>
  <c r="BK288" i="1" s="1"/>
  <c r="BM288" i="1" s="1" a="1"/>
  <c r="BM288" i="1" s="1"/>
  <c r="BK121" i="1" a="1"/>
  <c r="BK121" i="1" s="1"/>
  <c r="BM121" i="1" s="1" a="1"/>
  <c r="BM121" i="1" s="1"/>
  <c r="BK278" i="1" a="1"/>
  <c r="BK278" i="1" s="1"/>
  <c r="BM278" i="1" s="1" a="1"/>
  <c r="BM278" i="1" s="1"/>
  <c r="BL106" i="1" a="1"/>
  <c r="BL106" i="1" s="1"/>
  <c r="BK243" i="1" a="1"/>
  <c r="BK243" i="1" s="1"/>
  <c r="BM243" i="1" s="1" a="1"/>
  <c r="BM243" i="1" s="1"/>
  <c r="BK100" i="1" a="1"/>
  <c r="BK100" i="1" s="1"/>
  <c r="BM100" i="1" s="1" a="1"/>
  <c r="BM100" i="1" s="1"/>
  <c r="BK150" i="1" a="1"/>
  <c r="BK150" i="1" s="1"/>
  <c r="BK236" i="1" a="1"/>
  <c r="BK236" i="1" s="1"/>
  <c r="BM236" i="1" s="1" a="1"/>
  <c r="BM236" i="1" s="1"/>
  <c r="BK368" i="1" a="1"/>
  <c r="BK368" i="1" s="1"/>
  <c r="BM368" i="1" s="1" a="1"/>
  <c r="BM368" i="1" s="1"/>
  <c r="BK196" i="1" a="1"/>
  <c r="BK196" i="1" s="1"/>
  <c r="BM196" i="1" s="1" a="1"/>
  <c r="BM196" i="1" s="1"/>
  <c r="BK228" i="1" a="1"/>
  <c r="BK228" i="1" s="1"/>
  <c r="BM228" i="1" s="1" a="1"/>
  <c r="BM228" i="1" s="1"/>
  <c r="BK92" i="1" a="1"/>
  <c r="BK92" i="1" s="1"/>
  <c r="BM92" i="1" s="1" a="1"/>
  <c r="BM92" i="1" s="1"/>
  <c r="BK260" i="1" a="1"/>
  <c r="BK260" i="1" s="1"/>
  <c r="BM260" i="1" s="1" a="1"/>
  <c r="BM260" i="1" s="1"/>
  <c r="BK199" i="1" a="1"/>
  <c r="BK199" i="1" s="1"/>
  <c r="BM199" i="1" s="1" a="1"/>
  <c r="BM199" i="1" s="1"/>
  <c r="BK265" i="1" a="1"/>
  <c r="BK265" i="1" s="1"/>
  <c r="BM265" i="1" s="1" a="1"/>
  <c r="BM265" i="1" s="1"/>
  <c r="BL145" i="1" a="1"/>
  <c r="BL145" i="1" s="1"/>
  <c r="BK158" i="1" a="1"/>
  <c r="BK158" i="1" s="1"/>
  <c r="BM158" i="1" s="1" a="1"/>
  <c r="BM158" i="1" s="1"/>
  <c r="BK234" i="1" a="1"/>
  <c r="BK234" i="1" s="1"/>
  <c r="BM234" i="1" s="1" a="1"/>
  <c r="BM234" i="1" s="1"/>
  <c r="BK207" i="1" a="1"/>
  <c r="BK207" i="1" s="1"/>
  <c r="BM207" i="1" s="1" a="1"/>
  <c r="BM207" i="1" s="1"/>
  <c r="BK215" i="1" a="1"/>
  <c r="BK215" i="1" s="1"/>
  <c r="BM215" i="1" s="1" a="1"/>
  <c r="BM215" i="1" s="1"/>
  <c r="BK178" i="1" a="1"/>
  <c r="BK178" i="1" s="1"/>
  <c r="BM178" i="1" s="1" a="1"/>
  <c r="BM178" i="1" s="1"/>
  <c r="BK197" i="1" a="1"/>
  <c r="BK197" i="1" s="1"/>
  <c r="BM197" i="1" s="1" a="1"/>
  <c r="BM197" i="1" s="1"/>
  <c r="BK202" i="1" a="1"/>
  <c r="BK202" i="1" s="1"/>
  <c r="BM202" i="1" s="1" a="1"/>
  <c r="BM202" i="1" s="1"/>
  <c r="BK153" i="1" a="1"/>
  <c r="BK153" i="1" s="1"/>
  <c r="BM153" i="1" s="1" a="1"/>
  <c r="BM153" i="1" s="1"/>
  <c r="BK321" i="1" a="1"/>
  <c r="BK321" i="1" s="1"/>
  <c r="BM321" i="1" s="1" a="1"/>
  <c r="BM321" i="1" s="1"/>
  <c r="BK244" i="1" a="1"/>
  <c r="BK244" i="1" s="1"/>
  <c r="BM244" i="1" s="1" a="1"/>
  <c r="BM244" i="1" s="1"/>
  <c r="BK400" i="1" a="1"/>
  <c r="BK400" i="1" s="1"/>
  <c r="BM400" i="1" s="1" a="1"/>
  <c r="BM400" i="1" s="1"/>
  <c r="BK217" i="1" a="1"/>
  <c r="BK217" i="1" s="1"/>
  <c r="BM217" i="1" s="1" a="1"/>
  <c r="BM217" i="1" s="1"/>
  <c r="BK116" i="1" a="1"/>
  <c r="BK116" i="1" s="1"/>
  <c r="BM116" i="1" s="1" a="1"/>
  <c r="BM116" i="1" s="1"/>
  <c r="BK333" i="1" a="1"/>
  <c r="BK333" i="1" s="1"/>
  <c r="BM333" i="1" s="1" a="1"/>
  <c r="BM333" i="1" s="1"/>
  <c r="BK26" i="1" a="1"/>
  <c r="BK26" i="1" s="1"/>
  <c r="BM26" i="1" s="1" a="1"/>
  <c r="BM26" i="1" s="1"/>
  <c r="BK208" i="1" a="1"/>
  <c r="BK208" i="1" s="1"/>
  <c r="BM208" i="1" s="1" a="1"/>
  <c r="BM208" i="1" s="1"/>
  <c r="BL56" i="1" a="1"/>
  <c r="BL56" i="1" s="1"/>
  <c r="BL37" i="1" a="1"/>
  <c r="BL37" i="1" s="1"/>
  <c r="BK144" i="1" a="1"/>
  <c r="BK144" i="1" s="1"/>
  <c r="BM144" i="1" s="1" a="1"/>
  <c r="BM144" i="1" s="1"/>
  <c r="BK295" i="1" a="1"/>
  <c r="BK295" i="1" s="1"/>
  <c r="BM295" i="1" s="1" a="1"/>
  <c r="BM295" i="1" s="1"/>
  <c r="BL209" i="1" a="1"/>
  <c r="BL209" i="1" s="1"/>
  <c r="BK246" i="1" a="1"/>
  <c r="BK246" i="1" s="1"/>
  <c r="BM246" i="1" s="1" a="1"/>
  <c r="BM246" i="1" s="1"/>
  <c r="BK316" i="1" a="1"/>
  <c r="BK316" i="1" s="1"/>
  <c r="BM316" i="1" s="1" a="1"/>
  <c r="BM316" i="1" s="1"/>
  <c r="BK289" i="1" a="1"/>
  <c r="BK289" i="1" s="1"/>
  <c r="BM289" i="1" s="1" a="1"/>
  <c r="BM289" i="1" s="1"/>
  <c r="BK149" i="1" a="1"/>
  <c r="BK149" i="1" s="1"/>
  <c r="BM149" i="1" s="1" a="1"/>
  <c r="BM149" i="1" s="1"/>
  <c r="BK191" i="1" a="1"/>
  <c r="BK191" i="1" s="1"/>
  <c r="BM191" i="1" s="1" a="1"/>
  <c r="BM191" i="1" s="1"/>
  <c r="BK125" i="1" a="1"/>
  <c r="BK125" i="1" s="1"/>
  <c r="BM125" i="1" s="1" a="1"/>
  <c r="BM125" i="1" s="1"/>
  <c r="BK170" i="1" a="1"/>
  <c r="BK170" i="1" s="1"/>
  <c r="BM170" i="1" s="1" a="1"/>
  <c r="BM170" i="1" s="1"/>
  <c r="BK330" i="1" a="1"/>
  <c r="BK330" i="1" s="1"/>
  <c r="BM330" i="1" s="1" a="1"/>
  <c r="BM330" i="1" s="1"/>
  <c r="BK190" i="1" a="1"/>
  <c r="BK190" i="1" s="1"/>
  <c r="BM190" i="1" s="1" a="1"/>
  <c r="BM190" i="1" s="1"/>
  <c r="BK128" i="1" a="1"/>
  <c r="BK128" i="1" s="1"/>
  <c r="BM128" i="1" s="1" a="1"/>
  <c r="BM128" i="1" s="1"/>
  <c r="BK171" i="1" a="1"/>
  <c r="BK171" i="1" s="1"/>
  <c r="BM171" i="1" s="1" a="1"/>
  <c r="BM171" i="1" s="1"/>
  <c r="BK104" i="1" a="1"/>
  <c r="BK104" i="1" s="1"/>
  <c r="BM104" i="1" s="1" a="1"/>
  <c r="BM104" i="1" s="1"/>
  <c r="BK119" i="1" a="1"/>
  <c r="BK119" i="1" s="1"/>
  <c r="BM119" i="1" s="1" a="1"/>
  <c r="BM119" i="1" s="1"/>
  <c r="BK319" i="1" a="1"/>
  <c r="BK319" i="1" s="1"/>
  <c r="BM319" i="1" s="1" a="1"/>
  <c r="BM319" i="1" s="1"/>
  <c r="BK137" i="1" a="1"/>
  <c r="BK137" i="1" s="1"/>
  <c r="BM137" i="1" s="1" a="1"/>
  <c r="BM137" i="1" s="1"/>
  <c r="BK129" i="1" a="1"/>
  <c r="BK129" i="1" s="1"/>
  <c r="BM129" i="1" s="1" a="1"/>
  <c r="BM129" i="1" s="1"/>
  <c r="BK259" i="1" a="1"/>
  <c r="BK259" i="1" s="1"/>
  <c r="BM259" i="1" s="1" a="1"/>
  <c r="BM259" i="1" s="1"/>
  <c r="BL283" i="1" a="1"/>
  <c r="BL283" i="1" s="1"/>
  <c r="BK255" i="1" a="1"/>
  <c r="BK255" i="1" s="1"/>
  <c r="BM255" i="1" s="1" a="1"/>
  <c r="BM255" i="1" s="1"/>
  <c r="BK372" i="1" a="1"/>
  <c r="BK372" i="1" s="1"/>
  <c r="BM372" i="1" s="1" a="1"/>
  <c r="BM372" i="1" s="1"/>
  <c r="BK249" i="1" a="1"/>
  <c r="BK249" i="1" s="1"/>
  <c r="BM249" i="1" s="1" a="1"/>
  <c r="BM249" i="1" s="1"/>
  <c r="BK268" i="1" a="1"/>
  <c r="BK268" i="1" s="1"/>
  <c r="BM268" i="1" s="1" a="1"/>
  <c r="BM268" i="1" s="1"/>
  <c r="BK292" i="1" a="1"/>
  <c r="BK292" i="1" s="1"/>
  <c r="BM292" i="1" s="1" a="1"/>
  <c r="BM292" i="1" s="1"/>
  <c r="BK281" i="1" a="1"/>
  <c r="BK281" i="1" s="1"/>
  <c r="BM281" i="1" s="1" a="1"/>
  <c r="BM281" i="1" s="1"/>
  <c r="BK306" i="1" a="1"/>
  <c r="BK306" i="1" s="1"/>
  <c r="BM306" i="1" s="1" a="1"/>
  <c r="BM306" i="1" s="1"/>
  <c r="BK193" i="1" a="1"/>
  <c r="BK193" i="1" s="1"/>
  <c r="BM193" i="1" s="1" a="1"/>
  <c r="BM193" i="1" s="1"/>
  <c r="BK111" i="1" a="1"/>
  <c r="BK111" i="1" s="1"/>
  <c r="BM111" i="1" s="1" a="1"/>
  <c r="BM111" i="1" s="1"/>
  <c r="BK293" i="1" a="1"/>
  <c r="BK293" i="1" s="1"/>
  <c r="BM293" i="1" s="1" a="1"/>
  <c r="BM293" i="1" s="1"/>
  <c r="BK187" i="1" a="1"/>
  <c r="BK187" i="1" s="1"/>
  <c r="BM187" i="1" s="1" a="1"/>
  <c r="BM187" i="1" s="1"/>
  <c r="BK322" i="1" a="1"/>
  <c r="BK322" i="1" s="1"/>
  <c r="BM322" i="1" s="1" a="1"/>
  <c r="BM322" i="1" s="1"/>
  <c r="BK96" i="1" a="1"/>
  <c r="BK96" i="1" s="1"/>
  <c r="BM96" i="1" s="1" a="1"/>
  <c r="BM96" i="1" s="1"/>
  <c r="BK324" i="1" a="1"/>
  <c r="BK324" i="1" s="1"/>
  <c r="BM324" i="1" s="1" a="1"/>
  <c r="BM324" i="1" s="1"/>
  <c r="BK91" i="1" a="1"/>
  <c r="BK91" i="1" s="1"/>
  <c r="BM91" i="1" s="1" a="1"/>
  <c r="BM91" i="1" s="1"/>
  <c r="BK140" i="1" a="1"/>
  <c r="BK140" i="1" s="1"/>
  <c r="BM140" i="1" s="1" a="1"/>
  <c r="BM140" i="1" s="1"/>
  <c r="BK126" i="1" a="1"/>
  <c r="BK126" i="1" s="1"/>
  <c r="BM126" i="1" s="1" a="1"/>
  <c r="BM126" i="1" s="1"/>
  <c r="BK109" i="1" a="1"/>
  <c r="BK109" i="1" s="1"/>
  <c r="BM109" i="1" s="1" a="1"/>
  <c r="BM109" i="1" s="1"/>
  <c r="BK233" i="1" a="1"/>
  <c r="BK233" i="1" s="1"/>
  <c r="BM233" i="1" s="1" a="1"/>
  <c r="BM233" i="1" s="1"/>
  <c r="BK120" i="1" a="1"/>
  <c r="BK120" i="1" s="1"/>
  <c r="BM120" i="1" s="1" a="1"/>
  <c r="BM120" i="1" s="1"/>
  <c r="BK220" i="1" a="1"/>
  <c r="BK220" i="1" s="1"/>
  <c r="BM220" i="1" s="1" a="1"/>
  <c r="BM220" i="1" s="1"/>
  <c r="BK301" i="1" a="1"/>
  <c r="BK301" i="1" s="1"/>
  <c r="BM301" i="1" s="1" a="1"/>
  <c r="BM301" i="1" s="1"/>
  <c r="BK186" i="1" a="1"/>
  <c r="BK186" i="1" s="1"/>
  <c r="BM186" i="1" s="1" a="1"/>
  <c r="BM186" i="1" s="1"/>
  <c r="BK166" i="1" a="1"/>
  <c r="BK166" i="1" s="1"/>
  <c r="BM166" i="1" s="1" a="1"/>
  <c r="BM166" i="1" s="1"/>
  <c r="BK284" i="1" a="1"/>
  <c r="BK284" i="1" s="1"/>
  <c r="BM284" i="1" s="1" a="1"/>
  <c r="BM284" i="1" s="1"/>
  <c r="BK206" i="1" a="1"/>
  <c r="BK206" i="1" s="1"/>
  <c r="BM206" i="1" s="1" a="1"/>
  <c r="BM206" i="1" s="1"/>
  <c r="BK303" i="1" a="1"/>
  <c r="BK303" i="1" s="1"/>
  <c r="BM303" i="1" s="1" a="1"/>
  <c r="BM303" i="1" s="1"/>
  <c r="BK387" i="1" a="1"/>
  <c r="BK387" i="1" s="1"/>
  <c r="BM387" i="1" s="1" a="1"/>
  <c r="BM387" i="1" s="1"/>
  <c r="BK312" i="1" a="1"/>
  <c r="BK312" i="1" s="1"/>
  <c r="BM312" i="1" s="1" a="1"/>
  <c r="BM312" i="1" s="1"/>
  <c r="BK282" i="1" a="1"/>
  <c r="BK282" i="1" s="1"/>
  <c r="BM282" i="1" s="1" a="1"/>
  <c r="BM282" i="1" s="1"/>
  <c r="BK256" i="1" a="1"/>
  <c r="BK256" i="1" s="1"/>
  <c r="BM256" i="1" s="1" a="1"/>
  <c r="BM256" i="1" s="1"/>
  <c r="BK167" i="1" a="1"/>
  <c r="BK167" i="1" s="1"/>
  <c r="BM167" i="1" s="1" a="1"/>
  <c r="BM167" i="1" s="1"/>
  <c r="BK276" i="1" a="1"/>
  <c r="BK276" i="1" s="1"/>
  <c r="BM276" i="1" s="1" a="1"/>
  <c r="BM276" i="1" s="1"/>
  <c r="BK210" i="1" a="1"/>
  <c r="BK210" i="1" s="1"/>
  <c r="BM210" i="1" s="1" a="1"/>
  <c r="BM210" i="1" s="1"/>
  <c r="BK219" i="1" a="1"/>
  <c r="BK219" i="1" s="1"/>
  <c r="BM219" i="1" s="1" a="1"/>
  <c r="BM219" i="1" s="1"/>
  <c r="BK159" i="1" a="1"/>
  <c r="BK159" i="1" s="1"/>
  <c r="BM159" i="1" s="1" a="1"/>
  <c r="BM159" i="1" s="1"/>
  <c r="BK132" i="1" a="1"/>
  <c r="BK132" i="1" s="1"/>
  <c r="BM132" i="1" s="1" a="1"/>
  <c r="BM132" i="1" s="1"/>
  <c r="BK242" i="1" a="1"/>
  <c r="BK242" i="1" s="1"/>
  <c r="BM242" i="1" s="1" a="1"/>
  <c r="BM242" i="1" s="1"/>
  <c r="BK248" i="1" a="1"/>
  <c r="BK248" i="1" s="1"/>
  <c r="BM248" i="1" s="1" a="1"/>
  <c r="BM248" i="1" s="1"/>
  <c r="BK225" i="1" a="1"/>
  <c r="BK225" i="1" s="1"/>
  <c r="BM225" i="1" s="1" a="1"/>
  <c r="BM225" i="1" s="1"/>
  <c r="BK168" i="1" a="1"/>
  <c r="BK168" i="1" s="1"/>
  <c r="BM168" i="1" s="1" a="1"/>
  <c r="BM168" i="1" s="1"/>
  <c r="BK235" i="1" a="1"/>
  <c r="BK235" i="1" s="1"/>
  <c r="BM235" i="1" s="1" a="1"/>
  <c r="BM235" i="1" s="1"/>
  <c r="BK110" i="1" a="1"/>
  <c r="BK110" i="1" s="1"/>
  <c r="BM110" i="1" s="1" a="1"/>
  <c r="BM110" i="1" s="1"/>
  <c r="BK227" i="1" a="1"/>
  <c r="BK227" i="1" s="1"/>
  <c r="BM227" i="1" s="1" a="1"/>
  <c r="BM227" i="1" s="1"/>
  <c r="BK332" i="1" a="1"/>
  <c r="BK332" i="1" s="1"/>
  <c r="BM332" i="1" s="1" a="1"/>
  <c r="BM332" i="1" s="1"/>
  <c r="BK214" i="1" a="1"/>
  <c r="BK214" i="1" s="1"/>
  <c r="BM214" i="1" s="1" a="1"/>
  <c r="BM214" i="1" s="1"/>
  <c r="BK399" i="1" a="1"/>
  <c r="BK399" i="1" s="1"/>
  <c r="BM399" i="1" s="1" a="1"/>
  <c r="BM399" i="1" s="1"/>
  <c r="BK239" i="1" a="1"/>
  <c r="BK239" i="1" s="1"/>
  <c r="BM239" i="1" s="1" a="1"/>
  <c r="BM239" i="1" s="1"/>
  <c r="BK320" i="1" a="1"/>
  <c r="BK320" i="1" s="1"/>
  <c r="BM320" i="1" s="1" a="1"/>
  <c r="BM320" i="1" s="1"/>
  <c r="BK113" i="1" a="1"/>
  <c r="BK113" i="1" s="1"/>
  <c r="BM113" i="1" s="1" a="1"/>
  <c r="BM113" i="1" s="1"/>
  <c r="BK216" i="1" a="1"/>
  <c r="BK216" i="1" s="1"/>
  <c r="BM216" i="1" s="1" a="1"/>
  <c r="BM216" i="1" s="1"/>
  <c r="BK302" i="1" a="1"/>
  <c r="BK302" i="1" s="1"/>
  <c r="BM302" i="1" s="1" a="1"/>
  <c r="BM302" i="1" s="1"/>
  <c r="BK226" i="1" a="1"/>
  <c r="BK226" i="1" s="1"/>
  <c r="BM226" i="1" s="1" a="1"/>
  <c r="BM226" i="1" s="1"/>
  <c r="BK177" i="1" a="1"/>
  <c r="BK177" i="1" s="1"/>
  <c r="BM177" i="1" s="1" a="1"/>
  <c r="BM177" i="1" s="1"/>
  <c r="BK136" i="1" a="1"/>
  <c r="BK136" i="1" s="1"/>
  <c r="BM136" i="1" s="1" a="1"/>
  <c r="BM136" i="1" s="1"/>
  <c r="BH23" i="1"/>
  <c r="BJ23" i="1" s="1" a="1"/>
  <c r="BJ23" i="1" s="1"/>
  <c r="BH27" i="1"/>
  <c r="BL27" i="1" s="1" a="1"/>
  <c r="BL27" i="1" s="1"/>
  <c r="BK75" i="1" a="1"/>
  <c r="BK75" i="1" s="1"/>
  <c r="BM75" i="1" s="1" a="1"/>
  <c r="BM75" i="1" s="1"/>
  <c r="BK52" i="1" a="1"/>
  <c r="BK52" i="1" s="1"/>
  <c r="BM52" i="1" s="1" a="1"/>
  <c r="BM52" i="1" s="1"/>
  <c r="BK48" i="1" a="1"/>
  <c r="BK48" i="1" s="1"/>
  <c r="BM48" i="1" s="1" a="1"/>
  <c r="BM48" i="1" s="1"/>
  <c r="BK40" i="1" a="1"/>
  <c r="BK40" i="1" s="1"/>
  <c r="BM40" i="1" s="1" a="1"/>
  <c r="BM40" i="1" s="1"/>
  <c r="BK61" i="1" a="1"/>
  <c r="BK61" i="1" s="1"/>
  <c r="BM61" i="1" s="1" a="1"/>
  <c r="BM61" i="1" s="1"/>
  <c r="BK81" i="1" a="1"/>
  <c r="BK81" i="1" s="1"/>
  <c r="BM81" i="1" s="1" a="1"/>
  <c r="BM81" i="1" s="1"/>
  <c r="BK57" i="1" a="1"/>
  <c r="BK57" i="1" s="1"/>
  <c r="BM57" i="1" s="1" a="1"/>
  <c r="BM57" i="1" s="1"/>
  <c r="BK38" i="1" a="1"/>
  <c r="BK38" i="1" s="1"/>
  <c r="BM38" i="1" s="1" a="1"/>
  <c r="BM38" i="1" s="1"/>
  <c r="BK68" i="1" a="1"/>
  <c r="BK68" i="1" s="1"/>
  <c r="BM68" i="1" s="1" a="1"/>
  <c r="BM68" i="1" s="1"/>
  <c r="BK83" i="1" a="1"/>
  <c r="BK83" i="1" s="1"/>
  <c r="BM83" i="1" s="1" a="1"/>
  <c r="BM83" i="1" s="1"/>
  <c r="BK35" i="1" a="1"/>
  <c r="BK35" i="1" s="1"/>
  <c r="BM35" i="1" s="1" a="1"/>
  <c r="BM35" i="1" s="1"/>
  <c r="BK72" i="1" a="1"/>
  <c r="BK72" i="1" s="1"/>
  <c r="BM72" i="1" s="1" a="1"/>
  <c r="BM72" i="1" s="1"/>
  <c r="BK79" i="1" a="1"/>
  <c r="BK79" i="1" s="1"/>
  <c r="BM79" i="1" s="1" a="1"/>
  <c r="BM79" i="1" s="1"/>
  <c r="BK46" i="1" a="1"/>
  <c r="BK46" i="1" s="1"/>
  <c r="BM46" i="1" s="1" a="1"/>
  <c r="BM46" i="1" s="1"/>
  <c r="BK51" i="1" a="1"/>
  <c r="BK51" i="1" s="1"/>
  <c r="BM51" i="1" s="1" a="1"/>
  <c r="BM51" i="1" s="1"/>
  <c r="BK82" i="1" a="1"/>
  <c r="BK82" i="1" s="1"/>
  <c r="BM82" i="1" s="1" a="1"/>
  <c r="BM82" i="1" s="1"/>
  <c r="BK62" i="1" a="1"/>
  <c r="BK62" i="1" s="1"/>
  <c r="BM62" i="1" s="1" a="1"/>
  <c r="BM62" i="1" s="1"/>
  <c r="BK55" i="1" a="1"/>
  <c r="BK55" i="1" s="1"/>
  <c r="BM55" i="1" s="1" a="1"/>
  <c r="BM55" i="1" s="1"/>
  <c r="BK45" i="1" a="1"/>
  <c r="BK45" i="1" s="1"/>
  <c r="BM45" i="1" s="1" a="1"/>
  <c r="BM45" i="1" s="1"/>
  <c r="BK47" i="1" a="1"/>
  <c r="BK47" i="1" s="1"/>
  <c r="BM47" i="1" s="1" a="1"/>
  <c r="BM47" i="1" s="1"/>
  <c r="BK73" i="1" a="1"/>
  <c r="BK73" i="1" s="1"/>
  <c r="BM73" i="1" s="1" a="1"/>
  <c r="BM73" i="1" s="1"/>
  <c r="BK67" i="1" a="1"/>
  <c r="BK67" i="1" s="1"/>
  <c r="BM67" i="1" s="1" a="1"/>
  <c r="BM67" i="1" s="1"/>
  <c r="BK71" i="1" a="1"/>
  <c r="BK71" i="1" s="1"/>
  <c r="BM71" i="1" s="1" a="1"/>
  <c r="BM71" i="1" s="1"/>
  <c r="BK66" i="1" a="1"/>
  <c r="BK66" i="1" s="1"/>
  <c r="BM66" i="1" s="1" a="1"/>
  <c r="BM66" i="1" s="1"/>
  <c r="BK44" i="1" a="1"/>
  <c r="BK44" i="1" s="1"/>
  <c r="BM44" i="1" s="1" a="1"/>
  <c r="BM44" i="1" s="1"/>
  <c r="BH25" i="1"/>
  <c r="BJ25" i="1" s="1" a="1"/>
  <c r="BJ25" i="1" s="1"/>
  <c r="BK34" i="1" a="1"/>
  <c r="BK34" i="1" s="1"/>
  <c r="BM34" i="1" s="1" a="1"/>
  <c r="BM34" i="1" s="1"/>
  <c r="BK74" i="1" a="1"/>
  <c r="BK74" i="1" s="1"/>
  <c r="BM74" i="1" s="1" a="1"/>
  <c r="BM74" i="1" s="1"/>
  <c r="BK58" i="1" a="1"/>
  <c r="BK58" i="1" s="1"/>
  <c r="BM58" i="1" s="1" a="1"/>
  <c r="BM58" i="1" s="1"/>
  <c r="BK39" i="1" a="1"/>
  <c r="BK39" i="1" s="1"/>
  <c r="BM39" i="1" s="1" a="1"/>
  <c r="BM39" i="1" s="1"/>
  <c r="BK43" i="1" a="1"/>
  <c r="BK43" i="1" s="1"/>
  <c r="BM43" i="1" s="1" a="1"/>
  <c r="BM43" i="1" s="1"/>
  <c r="BK33" i="1" a="1"/>
  <c r="BK33" i="1" s="1"/>
  <c r="BM33" i="1" s="1" a="1"/>
  <c r="BM33" i="1" s="1"/>
  <c r="BK32" i="1" a="1"/>
  <c r="BK32" i="1" s="1"/>
  <c r="BM32" i="1" s="1" a="1"/>
  <c r="BM32" i="1" s="1"/>
  <c r="BK36" i="1" a="1"/>
  <c r="BK36" i="1" s="1"/>
  <c r="BM36" i="1" s="1" a="1"/>
  <c r="BM36" i="1" s="1"/>
  <c r="BK80" i="1" a="1"/>
  <c r="BK80" i="1" s="1"/>
  <c r="BM80" i="1" s="1" a="1"/>
  <c r="BM80" i="1" s="1"/>
  <c r="BK65" i="1" a="1"/>
  <c r="BK65" i="1" s="1"/>
  <c r="BM65" i="1" s="1" a="1"/>
  <c r="BM65" i="1" s="1"/>
  <c r="BK16" i="1" a="1"/>
  <c r="BK16" i="1" s="1"/>
  <c r="BM16" i="1" s="1" a="1"/>
  <c r="BM16" i="1" s="1"/>
  <c r="BK18" i="1" a="1"/>
  <c r="BK18" i="1" s="1"/>
  <c r="BM18" i="1" s="1" a="1"/>
  <c r="BM18" i="1" s="1"/>
  <c r="BH19" i="1"/>
  <c r="BL19" i="1" s="1" a="1"/>
  <c r="BL19" i="1" s="1"/>
  <c r="BK11" i="1" a="1"/>
  <c r="BK11" i="1" s="1"/>
  <c r="BM11" i="1" s="1" a="1"/>
  <c r="BM11" i="1" s="1"/>
  <c r="BJ275" i="1" a="1"/>
  <c r="BJ275" i="1" s="1"/>
  <c r="BJ198" i="1" a="1"/>
  <c r="BJ198" i="1" s="1"/>
  <c r="BJ117" i="1" a="1"/>
  <c r="BJ117" i="1" s="1"/>
  <c r="BJ115" i="1" a="1"/>
  <c r="BJ115" i="1" s="1"/>
  <c r="BJ317" i="1" a="1"/>
  <c r="BJ317" i="1" s="1"/>
  <c r="BJ141" i="1" a="1"/>
  <c r="BJ141" i="1" s="1"/>
  <c r="BJ308" i="1" a="1"/>
  <c r="BJ308" i="1" s="1"/>
  <c r="BJ325" i="1" a="1"/>
  <c r="BJ325" i="1" s="1"/>
  <c r="BJ221" i="1" a="1"/>
  <c r="BJ221" i="1" s="1"/>
  <c r="BJ326" i="1" a="1"/>
  <c r="BJ326" i="1" s="1"/>
  <c r="BJ106" i="1" a="1"/>
  <c r="BJ106" i="1" s="1"/>
  <c r="BJ97" i="1" a="1"/>
  <c r="BJ97" i="1" s="1"/>
  <c r="BJ118" i="1" a="1"/>
  <c r="BJ118" i="1" s="1"/>
  <c r="BJ157" i="1" a="1"/>
  <c r="BJ157" i="1" s="1"/>
  <c r="BJ272" i="1" a="1"/>
  <c r="BJ272" i="1" s="1"/>
  <c r="BJ392" i="1" a="1"/>
  <c r="BJ392" i="1" s="1"/>
  <c r="BJ209" i="1" a="1"/>
  <c r="BJ209" i="1" s="1"/>
  <c r="BJ103" i="1" a="1"/>
  <c r="BJ103" i="1" s="1"/>
  <c r="BJ107" i="1" a="1"/>
  <c r="BJ107" i="1" s="1"/>
  <c r="BJ307" i="1" a="1"/>
  <c r="BJ307" i="1" s="1"/>
  <c r="BJ397" i="1" a="1"/>
  <c r="BJ397" i="1" s="1"/>
  <c r="BJ124" i="1" a="1"/>
  <c r="BJ124" i="1" s="1"/>
  <c r="BJ283" i="1" a="1"/>
  <c r="BJ283" i="1" s="1"/>
  <c r="BJ78" i="1" a="1"/>
  <c r="BJ78" i="1" s="1"/>
  <c r="BJ151" i="1" a="1"/>
  <c r="BJ151" i="1" s="1"/>
  <c r="BJ87" i="1" a="1"/>
  <c r="BJ87" i="1" s="1"/>
  <c r="BJ105" i="1" a="1"/>
  <c r="BJ105" i="1" s="1"/>
  <c r="BJ318" i="1" a="1"/>
  <c r="BJ318" i="1" s="1"/>
  <c r="BJ98" i="1" a="1"/>
  <c r="BJ98" i="1" s="1"/>
  <c r="BJ56" i="1" a="1"/>
  <c r="BJ56" i="1" s="1"/>
  <c r="BJ41" i="1" a="1"/>
  <c r="BJ41" i="1" s="1"/>
  <c r="BJ42" i="1" a="1"/>
  <c r="BJ42" i="1" s="1"/>
  <c r="BJ37" i="1" a="1"/>
  <c r="BJ37" i="1" s="1"/>
  <c r="BJ403" i="1" a="1"/>
  <c r="BJ403" i="1" s="1"/>
  <c r="BJ405" i="1" a="1"/>
  <c r="BJ405" i="1" s="1"/>
  <c r="BJ406" i="1" a="1"/>
  <c r="BJ406" i="1" s="1"/>
  <c r="BJ404" i="1" a="1"/>
  <c r="BJ404" i="1" s="1"/>
  <c r="BJ416" i="1" a="1"/>
  <c r="BJ416" i="1" s="1"/>
  <c r="BB395" i="1"/>
  <c r="BM150" i="1" l="1" a="1"/>
  <c r="BM150" i="1" s="1"/>
  <c r="BJ27" i="1" a="1"/>
  <c r="BJ27" i="1" s="1"/>
  <c r="BK27" i="1" s="1" a="1"/>
  <c r="BK27" i="1" s="1"/>
  <c r="BJ19" i="1" a="1"/>
  <c r="BJ19" i="1" s="1"/>
  <c r="BK19" i="1" s="1" a="1"/>
  <c r="BK19" i="1" s="1"/>
  <c r="BM19" i="1" s="1" a="1"/>
  <c r="BM19" i="1" s="1"/>
  <c r="BM145" i="1" a="1"/>
  <c r="BM145" i="1" s="1"/>
  <c r="BM148" i="1" a="1"/>
  <c r="BM148" i="1" s="1"/>
  <c r="BK124" i="1" a="1"/>
  <c r="BK124" i="1" s="1"/>
  <c r="BM124" i="1" s="1" a="1"/>
  <c r="BM124" i="1" s="1"/>
  <c r="BK141" i="1" a="1"/>
  <c r="BK141" i="1" s="1"/>
  <c r="BM141" i="1" s="1" a="1"/>
  <c r="BM141" i="1" s="1"/>
  <c r="BK404" i="1" a="1"/>
  <c r="BK404" i="1" s="1"/>
  <c r="BM404" i="1" s="1" a="1"/>
  <c r="BM404" i="1" s="1"/>
  <c r="BK98" i="1" a="1"/>
  <c r="BK98" i="1" s="1"/>
  <c r="BM98" i="1" s="1" a="1"/>
  <c r="BM98" i="1" s="1"/>
  <c r="BK209" i="1" a="1"/>
  <c r="BK209" i="1" s="1"/>
  <c r="BM209" i="1" s="1" a="1"/>
  <c r="BM209" i="1" s="1"/>
  <c r="BK317" i="1" a="1"/>
  <c r="BK317" i="1" s="1"/>
  <c r="BM317" i="1" s="1" a="1"/>
  <c r="BM317" i="1" s="1"/>
  <c r="BK307" i="1" a="1"/>
  <c r="BK307" i="1" s="1"/>
  <c r="BM307" i="1" s="1" a="1"/>
  <c r="BM307" i="1" s="1"/>
  <c r="BK318" i="1" a="1"/>
  <c r="BK318" i="1" s="1"/>
  <c r="BM318" i="1" s="1" a="1"/>
  <c r="BM318" i="1" s="1"/>
  <c r="BK406" i="1" a="1"/>
  <c r="BK406" i="1" s="1"/>
  <c r="BM406" i="1" s="1" a="1"/>
  <c r="BM406" i="1" s="1"/>
  <c r="BK405" i="1" a="1"/>
  <c r="BK405" i="1" s="1"/>
  <c r="BM405" i="1" s="1" a="1"/>
  <c r="BM405" i="1" s="1"/>
  <c r="BK105" i="1" a="1"/>
  <c r="BK105" i="1" s="1"/>
  <c r="BM105" i="1" s="1" a="1"/>
  <c r="BM105" i="1" s="1"/>
  <c r="BK272" i="1" a="1"/>
  <c r="BK272" i="1" s="1"/>
  <c r="BM272" i="1" s="1" a="1"/>
  <c r="BM272" i="1" s="1"/>
  <c r="BK117" i="1" a="1"/>
  <c r="BK117" i="1" s="1"/>
  <c r="BM117" i="1" s="1" a="1"/>
  <c r="BM117" i="1" s="1"/>
  <c r="BL25" i="1" a="1"/>
  <c r="BL25" i="1" s="1"/>
  <c r="BK416" i="1" a="1"/>
  <c r="BK416" i="1" s="1"/>
  <c r="BM416" i="1" s="1" a="1"/>
  <c r="BM416" i="1" s="1"/>
  <c r="BK115" i="1" a="1"/>
  <c r="BK115" i="1" s="1"/>
  <c r="BM115" i="1" s="1" a="1"/>
  <c r="BM115" i="1" s="1"/>
  <c r="BK87" i="1" a="1"/>
  <c r="BK87" i="1" s="1"/>
  <c r="BM87" i="1" s="1" a="1"/>
  <c r="BM87" i="1" s="1"/>
  <c r="BK103" i="1" a="1"/>
  <c r="BK103" i="1" s="1"/>
  <c r="BM103" i="1" s="1" a="1"/>
  <c r="BM103" i="1" s="1"/>
  <c r="BK275" i="1" a="1"/>
  <c r="BK275" i="1" s="1"/>
  <c r="BM275" i="1" s="1" a="1"/>
  <c r="BM275" i="1" s="1"/>
  <c r="BK392" i="1" a="1"/>
  <c r="BK392" i="1" s="1"/>
  <c r="BM392" i="1" s="1" a="1"/>
  <c r="BM392" i="1" s="1"/>
  <c r="BK403" i="1" a="1"/>
  <c r="BK403" i="1" s="1"/>
  <c r="BM403" i="1" s="1" a="1"/>
  <c r="BM403" i="1" s="1"/>
  <c r="BK198" i="1" a="1"/>
  <c r="BK198" i="1" s="1"/>
  <c r="BM198" i="1" s="1" a="1"/>
  <c r="BM198" i="1" s="1"/>
  <c r="BK118" i="1" a="1"/>
  <c r="BK118" i="1" s="1"/>
  <c r="BM118" i="1" s="1" a="1"/>
  <c r="BM118" i="1" s="1"/>
  <c r="BK97" i="1" a="1"/>
  <c r="BK97" i="1" s="1"/>
  <c r="BM97" i="1" s="1" a="1"/>
  <c r="BM97" i="1" s="1"/>
  <c r="BK23" i="1" a="1"/>
  <c r="BK23" i="1" s="1"/>
  <c r="BL23" i="1" a="1"/>
  <c r="BL23" i="1" s="1"/>
  <c r="BK325" i="1" a="1"/>
  <c r="BK325" i="1" s="1"/>
  <c r="BM325" i="1" s="1" a="1"/>
  <c r="BM325" i="1" s="1"/>
  <c r="BK157" i="1" a="1"/>
  <c r="BK157" i="1" s="1"/>
  <c r="BM157" i="1" s="1" a="1"/>
  <c r="BM157" i="1" s="1"/>
  <c r="BK151" i="1" a="1"/>
  <c r="BK151" i="1" s="1"/>
  <c r="BM151" i="1" s="1" a="1"/>
  <c r="BM151" i="1" s="1"/>
  <c r="BK283" i="1" a="1"/>
  <c r="BK283" i="1" s="1"/>
  <c r="BM283" i="1" s="1" a="1"/>
  <c r="BM283" i="1" s="1"/>
  <c r="BK106" i="1" a="1"/>
  <c r="BK106" i="1" s="1"/>
  <c r="BM106" i="1" s="1" a="1"/>
  <c r="BM106" i="1" s="1"/>
  <c r="BK326" i="1" a="1"/>
  <c r="BK326" i="1" s="1"/>
  <c r="BM326" i="1" s="1" a="1"/>
  <c r="BM326" i="1" s="1"/>
  <c r="BK397" i="1" a="1"/>
  <c r="BK397" i="1" s="1"/>
  <c r="BM397" i="1" s="1" a="1"/>
  <c r="BM397" i="1" s="1"/>
  <c r="BK221" i="1" a="1"/>
  <c r="BK221" i="1" s="1"/>
  <c r="BM221" i="1" s="1" a="1"/>
  <c r="BM221" i="1" s="1"/>
  <c r="BK107" i="1" a="1"/>
  <c r="BK107" i="1" s="1"/>
  <c r="BM107" i="1" s="1" a="1"/>
  <c r="BM107" i="1" s="1"/>
  <c r="BK308" i="1" a="1"/>
  <c r="BK308" i="1" s="1"/>
  <c r="BM308" i="1" s="1" a="1"/>
  <c r="BM308" i="1" s="1"/>
  <c r="BK25" i="1" a="1"/>
  <c r="BK25" i="1" s="1"/>
  <c r="BK56" i="1" a="1"/>
  <c r="BK56" i="1" s="1"/>
  <c r="BM56" i="1" s="1" a="1"/>
  <c r="BM56" i="1" s="1"/>
  <c r="BK37" i="1" a="1"/>
  <c r="BK37" i="1" s="1"/>
  <c r="BM37" i="1" s="1" a="1"/>
  <c r="BM37" i="1" s="1"/>
  <c r="BK78" i="1" a="1"/>
  <c r="BK78" i="1" s="1"/>
  <c r="BM78" i="1" s="1" a="1"/>
  <c r="BM78" i="1" s="1"/>
  <c r="BK42" i="1" a="1"/>
  <c r="BK42" i="1" s="1"/>
  <c r="BM42" i="1" s="1" a="1"/>
  <c r="BM42" i="1" s="1"/>
  <c r="BK41" i="1" a="1"/>
  <c r="BK41" i="1" s="1"/>
  <c r="BM41" i="1" s="1" a="1"/>
  <c r="BM41" i="1" s="1"/>
  <c r="BF395" i="1"/>
  <c r="BH395" i="1" s="1"/>
  <c r="BD395" i="1"/>
  <c r="BM27" i="1" l="1" a="1"/>
  <c r="BM27" i="1" s="1"/>
  <c r="BM23" i="1" a="1"/>
  <c r="BM23" i="1" s="1"/>
  <c r="BM25" i="1" a="1"/>
  <c r="BM25" i="1" s="1"/>
  <c r="BL395" i="1" a="1"/>
  <c r="BL395" i="1" s="1"/>
  <c r="BJ395" i="1" a="1"/>
  <c r="BJ395" i="1" s="1"/>
  <c r="AH32" i="1"/>
  <c r="AH153" i="1"/>
  <c r="AH149" i="1"/>
  <c r="AH150" i="1"/>
  <c r="AH152" i="1"/>
  <c r="AH151" i="1"/>
  <c r="BK395" i="1" l="1" a="1"/>
  <c r="BK395" i="1" s="1"/>
  <c r="BM395" i="1" s="1" a="1"/>
  <c r="BM39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<sst xmlns="http://schemas.openxmlformats.org/spreadsheetml/2006/main" count="21955" uniqueCount="2384">
  <si>
    <t>barley</t>
  </si>
  <si>
    <t>awaran-2002</t>
  </si>
  <si>
    <t>rainfed</t>
  </si>
  <si>
    <t>jaur-17</t>
  </si>
  <si>
    <t>irrigated</t>
  </si>
  <si>
    <t>local turbat</t>
  </si>
  <si>
    <t>rakhshan-10</t>
  </si>
  <si>
    <t>sanober-96</t>
  </si>
  <si>
    <t>sorab-96</t>
  </si>
  <si>
    <t>sultan-17</t>
  </si>
  <si>
    <t>bottle gourd</t>
  </si>
  <si>
    <t>asian-pride</t>
  </si>
  <si>
    <t>bot-403</t>
  </si>
  <si>
    <t>bot-404</t>
  </si>
  <si>
    <t>fsd-round</t>
  </si>
  <si>
    <t>hbo-382-a</t>
  </si>
  <si>
    <t>spacer-f1</t>
  </si>
  <si>
    <t>vribg-2</t>
  </si>
  <si>
    <t>waleed-f1</t>
  </si>
  <si>
    <t>brinjal</t>
  </si>
  <si>
    <t>bemisal</t>
  </si>
  <si>
    <t>black beauty</t>
  </si>
  <si>
    <t>black pearl</t>
  </si>
  <si>
    <t>dilnasheen</t>
  </si>
  <si>
    <t>ep-900</t>
  </si>
  <si>
    <t>hybrid-3715</t>
  </si>
  <si>
    <t>hybrid-888</t>
  </si>
  <si>
    <t>hybrid shilpa</t>
  </si>
  <si>
    <t>khbr-202b</t>
  </si>
  <si>
    <t>khbr-205e</t>
  </si>
  <si>
    <t>kokila-f1</t>
  </si>
  <si>
    <t>nirala</t>
  </si>
  <si>
    <t>pala-49</t>
  </si>
  <si>
    <t>round black</t>
  </si>
  <si>
    <t>vrib-2013</t>
  </si>
  <si>
    <t>vrib-2016</t>
  </si>
  <si>
    <t>wel</t>
  </si>
  <si>
    <t>broccoli</t>
  </si>
  <si>
    <t>f1-30</t>
  </si>
  <si>
    <t>marathon</t>
  </si>
  <si>
    <t>cabbage</t>
  </si>
  <si>
    <t>cabbage-f1</t>
  </si>
  <si>
    <t>green cabbage</t>
  </si>
  <si>
    <t>purple cabbage</t>
  </si>
  <si>
    <t>red cabbage</t>
  </si>
  <si>
    <t>canary seed</t>
  </si>
  <si>
    <t>canary seeds</t>
  </si>
  <si>
    <t>canola</t>
  </si>
  <si>
    <t>aari canola</t>
  </si>
  <si>
    <t>faisal canola</t>
  </si>
  <si>
    <t>punjab canola</t>
  </si>
  <si>
    <t>super canola</t>
  </si>
  <si>
    <t>carrot</t>
  </si>
  <si>
    <t>bunero</t>
  </si>
  <si>
    <t>carrot deep red</t>
  </si>
  <si>
    <t>nantes</t>
  </si>
  <si>
    <t>nelson</t>
  </si>
  <si>
    <t>t-29</t>
  </si>
  <si>
    <t>cauliflower</t>
  </si>
  <si>
    <t>champa</t>
  </si>
  <si>
    <t>chino late</t>
  </si>
  <si>
    <t>faisalabad-1</t>
  </si>
  <si>
    <t>faisalabad-2</t>
  </si>
  <si>
    <t>snow ball</t>
  </si>
  <si>
    <t>snow drift</t>
  </si>
  <si>
    <t>chickpea kabuli</t>
  </si>
  <si>
    <t>cm-2008</t>
  </si>
  <si>
    <t>punjab noor-2009</t>
  </si>
  <si>
    <t>thal-2006</t>
  </si>
  <si>
    <t>dilpazeer</t>
  </si>
  <si>
    <t>qandhari</t>
  </si>
  <si>
    <t>qandharis</t>
  </si>
  <si>
    <t>cotton</t>
  </si>
  <si>
    <t>ayub-13</t>
  </si>
  <si>
    <t>bh-184</t>
  </si>
  <si>
    <t>bs-15</t>
  </si>
  <si>
    <t>bs-20</t>
  </si>
  <si>
    <t>eagle-11</t>
  </si>
  <si>
    <t>fh-142</t>
  </si>
  <si>
    <t>fh-152</t>
  </si>
  <si>
    <t>fh-490</t>
  </si>
  <si>
    <t>fh-lalazar</t>
  </si>
  <si>
    <t>hatf-3</t>
  </si>
  <si>
    <t>iub-13</t>
  </si>
  <si>
    <t>iub-222</t>
  </si>
  <si>
    <t>j5</t>
  </si>
  <si>
    <t>kohenoor</t>
  </si>
  <si>
    <t>mnh-1016</t>
  </si>
  <si>
    <t>mnh-1026</t>
  </si>
  <si>
    <t>mnh-988</t>
  </si>
  <si>
    <t>mrc-270</t>
  </si>
  <si>
    <t>niab-878</t>
  </si>
  <si>
    <t>rh-662</t>
  </si>
  <si>
    <t>slh-8</t>
  </si>
  <si>
    <t>ss-32</t>
  </si>
  <si>
    <t>vh-259</t>
  </si>
  <si>
    <t>vh-305</t>
  </si>
  <si>
    <t>vh-327</t>
  </si>
  <si>
    <t>z-33</t>
  </si>
  <si>
    <t>cucumber</t>
  </si>
  <si>
    <t>akad</t>
  </si>
  <si>
    <t>alpha prime</t>
  </si>
  <si>
    <t>debra</t>
  </si>
  <si>
    <t>early king</t>
  </si>
  <si>
    <t>hcu-171c</t>
  </si>
  <si>
    <t>kalaam-f1</t>
  </si>
  <si>
    <t>kheera local</t>
  </si>
  <si>
    <t>kl-086</t>
  </si>
  <si>
    <t>messi-f1</t>
  </si>
  <si>
    <t>nsc-cm1-f1</t>
  </si>
  <si>
    <t>nsc-cm2-f1</t>
  </si>
  <si>
    <t>nsc-cm3-f1</t>
  </si>
  <si>
    <t>nsc-cm4-f1</t>
  </si>
  <si>
    <t>safaa</t>
  </si>
  <si>
    <t>sv-6346-cd</t>
  </si>
  <si>
    <t>sv-6352-cd</t>
  </si>
  <si>
    <t>target kareena</t>
  </si>
  <si>
    <t>thamin-ii</t>
  </si>
  <si>
    <t>flax seed</t>
  </si>
  <si>
    <t>chandni</t>
  </si>
  <si>
    <t>roshni</t>
  </si>
  <si>
    <t>french beans</t>
  </si>
  <si>
    <t>komal green</t>
  </si>
  <si>
    <t>komal greens</t>
  </si>
  <si>
    <t>kunhar paulista</t>
  </si>
  <si>
    <t>kunhar paulistas</t>
  </si>
  <si>
    <t>peshawar local</t>
  </si>
  <si>
    <t>peshawar locals</t>
  </si>
  <si>
    <t>kidney beans</t>
  </si>
  <si>
    <t>cp-103</t>
  </si>
  <si>
    <t>cp-103s</t>
  </si>
  <si>
    <t>cp-113</t>
  </si>
  <si>
    <t>cp-113s</t>
  </si>
  <si>
    <t>cp-145</t>
  </si>
  <si>
    <t>cp-145s</t>
  </si>
  <si>
    <t>white star</t>
  </si>
  <si>
    <t>white stars</t>
  </si>
  <si>
    <t>lentil</t>
  </si>
  <si>
    <t>chakwal masoor</t>
  </si>
  <si>
    <t>masoor-85</t>
  </si>
  <si>
    <t>masoor-93</t>
  </si>
  <si>
    <t>punjab masoor-2009</t>
  </si>
  <si>
    <t>punjab masoor-2019</t>
  </si>
  <si>
    <t>punjab masoor-2020</t>
  </si>
  <si>
    <t>maize</t>
  </si>
  <si>
    <t>agaiti 2002</t>
  </si>
  <si>
    <t>azam</t>
  </si>
  <si>
    <t>cimmyt-pak</t>
  </si>
  <si>
    <t>fh 1036</t>
  </si>
  <si>
    <t>fh 1046</t>
  </si>
  <si>
    <t>fh 949</t>
  </si>
  <si>
    <t>gohar 19</t>
  </si>
  <si>
    <t>kisan</t>
  </si>
  <si>
    <t>malka</t>
  </si>
  <si>
    <t>pearl</t>
  </si>
  <si>
    <t>pop-1</t>
  </si>
  <si>
    <t>sahiwal 2002</t>
  </si>
  <si>
    <t>sahiwal gold</t>
  </si>
  <si>
    <t>yh 1898</t>
  </si>
  <si>
    <t>mash</t>
  </si>
  <si>
    <t>arooj-11</t>
  </si>
  <si>
    <t>mash-88</t>
  </si>
  <si>
    <t>mash-97</t>
  </si>
  <si>
    <t>mash chakwal</t>
  </si>
  <si>
    <t>millet</t>
  </si>
  <si>
    <t>18-by</t>
  </si>
  <si>
    <t>18-bys</t>
  </si>
  <si>
    <t>bajra super</t>
  </si>
  <si>
    <t>c-47</t>
  </si>
  <si>
    <t>cholistan bajra</t>
  </si>
  <si>
    <t>parc-ms-1</t>
  </si>
  <si>
    <t>parc-ms-2</t>
  </si>
  <si>
    <t>ybs-98</t>
  </si>
  <si>
    <t>mustard</t>
  </si>
  <si>
    <t>chakwal raya</t>
  </si>
  <si>
    <t>chakwal sarson</t>
  </si>
  <si>
    <t>khanpur raya</t>
  </si>
  <si>
    <t>rohi sarsoon</t>
  </si>
  <si>
    <t>super raya</t>
  </si>
  <si>
    <t>oat</t>
  </si>
  <si>
    <t>avon</t>
  </si>
  <si>
    <t>avons</t>
  </si>
  <si>
    <t>pd2lv65</t>
  </si>
  <si>
    <t>pd2lv65s</t>
  </si>
  <si>
    <t>s-2000</t>
  </si>
  <si>
    <t>s-2000s</t>
  </si>
  <si>
    <t>sgd-81</t>
  </si>
  <si>
    <t>sgd-81s</t>
  </si>
  <si>
    <t>sgd. oats-2011</t>
  </si>
  <si>
    <t>sgd. oats-2011s</t>
  </si>
  <si>
    <t>okra</t>
  </si>
  <si>
    <t>burgundy okra</t>
  </si>
  <si>
    <t>clemsom</t>
  </si>
  <si>
    <t>ging orange</t>
  </si>
  <si>
    <t>hill country red</t>
  </si>
  <si>
    <t>star of devil</t>
  </si>
  <si>
    <t>onion</t>
  </si>
  <si>
    <t>chiltan</t>
  </si>
  <si>
    <t>desired</t>
  </si>
  <si>
    <t>narc-2005-onion</t>
  </si>
  <si>
    <t>narc onion 1</t>
  </si>
  <si>
    <t>narc onion 2</t>
  </si>
  <si>
    <t>pulkara</t>
  </si>
  <si>
    <t>saraib red</t>
  </si>
  <si>
    <t>swat</t>
  </si>
  <si>
    <t>pea</t>
  </si>
  <si>
    <t>azad p1</t>
  </si>
  <si>
    <t>climax</t>
  </si>
  <si>
    <t>f-16</t>
  </si>
  <si>
    <t>fs-8187 samrina zard</t>
  </si>
  <si>
    <t>hilltop</t>
  </si>
  <si>
    <t>mateor</t>
  </si>
  <si>
    <t>no-267</t>
  </si>
  <si>
    <t>p-09</t>
  </si>
  <si>
    <t>sarsabz</t>
  </si>
  <si>
    <t>swat local</t>
  </si>
  <si>
    <t>swat selection</t>
  </si>
  <si>
    <t>peanut</t>
  </si>
  <si>
    <t>attock-2019</t>
  </si>
  <si>
    <t>bard-479</t>
  </si>
  <si>
    <t>bard-699</t>
  </si>
  <si>
    <t>bard-92</t>
  </si>
  <si>
    <t>bari-2000</t>
  </si>
  <si>
    <t>bari-2011</t>
  </si>
  <si>
    <t>bari-2016</t>
  </si>
  <si>
    <t>bari-89</t>
  </si>
  <si>
    <t>chakori</t>
  </si>
  <si>
    <t>fakhar e chakwal</t>
  </si>
  <si>
    <t>golden</t>
  </si>
  <si>
    <t>narc-2019</t>
  </si>
  <si>
    <t>narc-2019s</t>
  </si>
  <si>
    <t>pothohar</t>
  </si>
  <si>
    <t>swatphali</t>
  </si>
  <si>
    <t>potato</t>
  </si>
  <si>
    <t>cosmo</t>
  </si>
  <si>
    <t>faislabad red</t>
  </si>
  <si>
    <t>faislabad white</t>
  </si>
  <si>
    <t>kuroda</t>
  </si>
  <si>
    <t>lady rosetta</t>
  </si>
  <si>
    <t>pri-red</t>
  </si>
  <si>
    <t>ruby</t>
  </si>
  <si>
    <t>sadaf</t>
  </si>
  <si>
    <t>sahiwal red</t>
  </si>
  <si>
    <t>sahiwal white</t>
  </si>
  <si>
    <t>sante</t>
  </si>
  <si>
    <t>sh-5</t>
  </si>
  <si>
    <t>sialkot red</t>
  </si>
  <si>
    <t>radish</t>
  </si>
  <si>
    <t>manwari long diet</t>
  </si>
  <si>
    <t>miun japani</t>
  </si>
  <si>
    <t>tukhm-e-mooli</t>
  </si>
  <si>
    <t>rice</t>
  </si>
  <si>
    <t>basmati 2000</t>
  </si>
  <si>
    <t>basmati 370</t>
  </si>
  <si>
    <t>basmati 385</t>
  </si>
  <si>
    <t>basmati 515</t>
  </si>
  <si>
    <t>super basmati</t>
  </si>
  <si>
    <t>sesame</t>
  </si>
  <si>
    <t>punjab til-89</t>
  </si>
  <si>
    <t>til-18</t>
  </si>
  <si>
    <t>ts-3</t>
  </si>
  <si>
    <t>ts-5</t>
  </si>
  <si>
    <t>ts-6</t>
  </si>
  <si>
    <t>sorghum</t>
  </si>
  <si>
    <t>hegari</t>
  </si>
  <si>
    <t>js-2002</t>
  </si>
  <si>
    <t>js-263</t>
  </si>
  <si>
    <t>sorghum-2011</t>
  </si>
  <si>
    <t>faisal soybean</t>
  </si>
  <si>
    <t>narc-1</t>
  </si>
  <si>
    <t>narc-2</t>
  </si>
  <si>
    <t>williams-82</t>
  </si>
  <si>
    <t>sponge gourd</t>
  </si>
  <si>
    <t>assp-65-90-f1</t>
  </si>
  <si>
    <t>kareena-f1</t>
  </si>
  <si>
    <t>kiran-f1</t>
  </si>
  <si>
    <t>local</t>
  </si>
  <si>
    <t>monika-f1</t>
  </si>
  <si>
    <t>no. 3942-f1</t>
  </si>
  <si>
    <t>nscsg-1-f1</t>
  </si>
  <si>
    <t>reshmi</t>
  </si>
  <si>
    <t>sareena-f1</t>
  </si>
  <si>
    <t>sbs-14-f1</t>
  </si>
  <si>
    <t>ustav-f1</t>
  </si>
  <si>
    <t>white seeded-f1</t>
  </si>
  <si>
    <t>sugar beet</t>
  </si>
  <si>
    <t>california</t>
  </si>
  <si>
    <t>kawe mera</t>
  </si>
  <si>
    <t>kawe pura</t>
  </si>
  <si>
    <t>kawe terma</t>
  </si>
  <si>
    <t>kws pak-595</t>
  </si>
  <si>
    <t>kws pak-691</t>
  </si>
  <si>
    <t>magnolia</t>
  </si>
  <si>
    <t>sdpak 01/07</t>
  </si>
  <si>
    <t>sdpak 03/04</t>
  </si>
  <si>
    <t>sdpak 03/06</t>
  </si>
  <si>
    <t>sdpak 07/07</t>
  </si>
  <si>
    <t>sdpak 09/07</t>
  </si>
  <si>
    <t>sunflower</t>
  </si>
  <si>
    <t>fh 331</t>
  </si>
  <si>
    <t>hks 278</t>
  </si>
  <si>
    <t>hysun 33</t>
  </si>
  <si>
    <t>nk 265</t>
  </si>
  <si>
    <t>pi 6480</t>
  </si>
  <si>
    <t>sf 187</t>
  </si>
  <si>
    <t>tinda gourd</t>
  </si>
  <si>
    <t>chaman</t>
  </si>
  <si>
    <t>dilpasand-4040</t>
  </si>
  <si>
    <t>locals</t>
  </si>
  <si>
    <t>tomato</t>
  </si>
  <si>
    <t>turnip</t>
  </si>
  <si>
    <t>local red</t>
  </si>
  <si>
    <t>local white</t>
  </si>
  <si>
    <t>purple top</t>
  </si>
  <si>
    <t>green eye-f1</t>
  </si>
  <si>
    <t>green round-f1</t>
  </si>
  <si>
    <t>squash green star-f1</t>
  </si>
  <si>
    <t>squash long-f1</t>
  </si>
  <si>
    <t>squash malika-f1</t>
  </si>
  <si>
    <t>squash oval star</t>
  </si>
  <si>
    <t>watermelon</t>
  </si>
  <si>
    <t>wheat</t>
  </si>
  <si>
    <t>lasani-2008</t>
  </si>
  <si>
    <t>punjab-2011</t>
  </si>
  <si>
    <t>Sunshine</t>
  </si>
  <si>
    <t>Region</t>
  </si>
  <si>
    <t>Crop_Min_Temp</t>
  </si>
  <si>
    <t>Base_Temp</t>
  </si>
  <si>
    <t>Opt._Temp</t>
  </si>
  <si>
    <t>Upper_Temp</t>
  </si>
  <si>
    <t>Min_Days</t>
  </si>
  <si>
    <t>Max_Days</t>
  </si>
  <si>
    <t>Soil_Temp_Min</t>
  </si>
  <si>
    <t>VPA_Max</t>
  </si>
  <si>
    <t>Humidity_Max</t>
  </si>
  <si>
    <t>Dew_Point_Min</t>
  </si>
  <si>
    <t>WS_2m_Max</t>
  </si>
  <si>
    <t>GDD_Adjust</t>
  </si>
  <si>
    <t>pH_Min</t>
  </si>
  <si>
    <t>pH_Max</t>
  </si>
  <si>
    <t>CWR_Min</t>
  </si>
  <si>
    <t>CWR_Max</t>
  </si>
  <si>
    <t>Sowing_Depth_cm</t>
  </si>
  <si>
    <t>Root_Depth_cm</t>
  </si>
  <si>
    <t>Stress_Tolerance_Index</t>
  </si>
  <si>
    <t>Row_Spacing_cm</t>
  </si>
  <si>
    <t>Plant_to_Plant_cm</t>
  </si>
  <si>
    <t>Seed_Rate_m2</t>
  </si>
  <si>
    <t>Germination_%</t>
  </si>
  <si>
    <t>Effective_Plants_m2</t>
  </si>
  <si>
    <t>Shoots_Per_m2</t>
  </si>
  <si>
    <t>Leaf_Area_Per_Shoot_m2</t>
  </si>
  <si>
    <t>LAI_Start_GDD</t>
  </si>
  <si>
    <t>LAI_End_GDD</t>
  </si>
  <si>
    <t>Ripening_S_GDD</t>
  </si>
  <si>
    <t>Ripening_E_GDD</t>
  </si>
  <si>
    <t>Seed_Weight_mg</t>
  </si>
  <si>
    <t>Season</t>
  </si>
  <si>
    <t>Rabi</t>
  </si>
  <si>
    <t>Sowing_Start_Season</t>
  </si>
  <si>
    <t>Kharif</t>
  </si>
  <si>
    <t>Sowing_End_Season</t>
  </si>
  <si>
    <t>Spring</t>
  </si>
  <si>
    <t>Seed_Weight_kg/ha</t>
  </si>
  <si>
    <t>Seed_Per_Spot</t>
  </si>
  <si>
    <t>Survival_Ratio</t>
  </si>
  <si>
    <t>Tillers_Per_Plant</t>
  </si>
  <si>
    <t>LAI_Start_BBCH</t>
  </si>
  <si>
    <t>LAI_End_BBCH</t>
  </si>
  <si>
    <t>N_Deficiency_kg/ha</t>
  </si>
  <si>
    <t>P_Deficiency_kg/ha</t>
  </si>
  <si>
    <t>K_deficiency_kg/ha</t>
  </si>
  <si>
    <t>Autumn</t>
  </si>
  <si>
    <t>00: Dry seed</t>
  </si>
  <si>
    <t>01: Beginning of seed imbibition</t>
  </si>
  <si>
    <t>03: Seed imbibition complete</t>
  </si>
  <si>
    <t>05: Radicle Emerged from seed</t>
  </si>
  <si>
    <t>07: Hypocotyl with cotyledons breaking through seed coat</t>
  </si>
  <si>
    <t>08: Hypocotyl reaches the soil surface; arch visible</t>
  </si>
  <si>
    <t>09: Emergence: hypocotyl with cotyledons above soil surface (Cracking Stage)</t>
  </si>
  <si>
    <t>10: Cotyledons completely unfolded</t>
  </si>
  <si>
    <t>11: First true leaf (pinnate) unfolded</t>
  </si>
  <si>
    <t>12: 2nd true leaf (pinnate) unfolded</t>
  </si>
  <si>
    <t>13: 3rd true leaf (pinnate) unfolded</t>
  </si>
  <si>
    <t>19: 9 or more true leaves unfolded; no side shoots visible</t>
  </si>
  <si>
    <t>20: No tillers</t>
  </si>
  <si>
    <t>21: Beginning of tillering: first tiller detectable</t>
  </si>
  <si>
    <t>22: 2 tillers detectable</t>
  </si>
  <si>
    <t>23: 3 tillers detectable</t>
  </si>
  <si>
    <t>29: End of tillering. Maximum number of tillers detectable</t>
  </si>
  <si>
    <t>31: First node at least 1 cm above tillering node</t>
  </si>
  <si>
    <t>32: Node 2 at least 2 cm above node 1</t>
  </si>
  <si>
    <t>33: Node 3 at least 2 cm above node 2</t>
  </si>
  <si>
    <t>37: Flag leaf just visible, still rolled</t>
  </si>
  <si>
    <t>39: Flag leaf stage: flag leaf fully unrolled, ligule just visible</t>
  </si>
  <si>
    <t>41: Early boot stage: flag leaf sheath extending</t>
  </si>
  <si>
    <t>43: Mid boot stage: flag leaf sheath just visibly swollen</t>
  </si>
  <si>
    <t>45: Late boot stage: flag leaf sheath swollen</t>
  </si>
  <si>
    <t>51: Beginning of heading: tip of Inflorescence Emerged from sheath, first spikelet just visible</t>
  </si>
  <si>
    <t>55: Middle of heading: half of Inflorescence Emerged</t>
  </si>
  <si>
    <t>59: End of heading: Inflorescence fully Emerged</t>
  </si>
  <si>
    <t>61: Beginning of Flowering: first anthers visible</t>
  </si>
  <si>
    <t>65: Full Flowering: 50% of anthers mature</t>
  </si>
  <si>
    <t>69: End of Flowering: all anthers dry</t>
  </si>
  <si>
    <t>71: Watery ripe</t>
  </si>
  <si>
    <t>73: Early Milk</t>
  </si>
  <si>
    <t>75: Medium Milk</t>
  </si>
  <si>
    <t>77: Late Milk</t>
  </si>
  <si>
    <t>79: Ripening: Grain Hard</t>
  </si>
  <si>
    <t>81: Early Dough</t>
  </si>
  <si>
    <t>83: Soft Dough</t>
  </si>
  <si>
    <t>85: Hard dough: grain content solid. Fingernail impression held</t>
  </si>
  <si>
    <t>87: Fully ripe: grain hard, difficult to divide with thumbnail</t>
  </si>
  <si>
    <t>Avg. Daily GDD</t>
  </si>
  <si>
    <t>05: Radicle emerged from seed</t>
  </si>
  <si>
    <t>07: Shoot breaking through seed coat</t>
  </si>
  <si>
    <t>08: Shoot growing towards soil surface; hypocotyl arch visible</t>
  </si>
  <si>
    <t>09: Emergence: shoot breaks through soil surface (“cracking stage”)</t>
  </si>
  <si>
    <t>12: 2 full leaves (first leaf pair unfolded)</t>
  </si>
  <si>
    <t>13: 3rd true leaf (first trifoliate leaf) unfolded</t>
  </si>
  <si>
    <t>19:Stages continuous till 9 or more leaves (2 full leaves, 7 or more trifoliate) unfolded</t>
  </si>
  <si>
    <t>Stage 2: Formation of side shoots</t>
  </si>
  <si>
    <t xml:space="preserve">21: First side shoot visible </t>
  </si>
  <si>
    <t>22: 2nd side shoot visible</t>
  </si>
  <si>
    <t>23: 3rd side shoot visible</t>
  </si>
  <si>
    <t>51: First flower buds visible</t>
  </si>
  <si>
    <t>55: First flower buds enlarged</t>
  </si>
  <si>
    <t>59: First petals visible, flowers still closed</t>
  </si>
  <si>
    <t>Stage 6: Flowering</t>
  </si>
  <si>
    <t xml:space="preserve">60: First flowers open (sporadically within the population) </t>
  </si>
  <si>
    <t>61: Beginning of flowering: 10% of flowers open</t>
  </si>
  <si>
    <t>62: 20% of flowers open</t>
  </si>
  <si>
    <t>63: 30% of flowers open</t>
  </si>
  <si>
    <t>64: 40% of flowers open</t>
  </si>
  <si>
    <t>65: Full flowering: 50% of flowers open</t>
  </si>
  <si>
    <t>67: Flowering finishing: majority of petals fallen or dry</t>
  </si>
  <si>
    <t>69: End of flowering: first pods visible</t>
  </si>
  <si>
    <t>71: 10% of pods have reached typical length</t>
  </si>
  <si>
    <t>72: 20% of pods have reached typical length</t>
  </si>
  <si>
    <t>73: 30% of pods have reached typical length</t>
  </si>
  <si>
    <t>74: 40% of pods have reached typical length</t>
  </si>
  <si>
    <t>75: 50% of pods have reached typical length</t>
  </si>
  <si>
    <t>76: 60% of pods have reached typical length</t>
  </si>
  <si>
    <t>77: 70% of pods have reached typical length, pods still break cleanly</t>
  </si>
  <si>
    <t>78: 80% of pods have reached typical length</t>
  </si>
  <si>
    <t>79: Pods: individual beans easily visible</t>
  </si>
  <si>
    <t>81: 10% of pods ripe (beans hard)</t>
  </si>
  <si>
    <t>82: 20% of pods ripe (beans hard)</t>
  </si>
  <si>
    <t>83: 30% of pods ripe (beans hard)</t>
  </si>
  <si>
    <t>84: 40% of pods ripe (beans hard)</t>
  </si>
  <si>
    <t>85: 50% of pods ripe (beans hard)</t>
  </si>
  <si>
    <t>86: 60% of pods ripe (beans hard)</t>
  </si>
  <si>
    <t>87: 70% of pods ripe (beans hard)</t>
  </si>
  <si>
    <t>88: 80% of pods ripe (beans hard)</t>
  </si>
  <si>
    <t>89: Fully ripe: pods ripe (beans hard)</t>
  </si>
  <si>
    <t xml:space="preserve">97: Plants dead </t>
  </si>
  <si>
    <t>99: Harvested product</t>
  </si>
  <si>
    <t>09: Emergence: cotyledons break through soil surface</t>
  </si>
  <si>
    <t>11: First true leaf on main shoot fully unfolded</t>
  </si>
  <si>
    <t>12: 2nd leaf on main shoot unfolded</t>
  </si>
  <si>
    <t>13: 3rd leaf on main shoot unfolded</t>
  </si>
  <si>
    <t>21: First primary apical side shoot visible</t>
  </si>
  <si>
    <t>22: 2nd primary apical side shoot visible</t>
  </si>
  <si>
    <t>23: Stages continuous till 9 or more apical primary side shoots visible</t>
  </si>
  <si>
    <t>29: 9 or more apical primary side shoots visible</t>
  </si>
  <si>
    <t>51: First inflorescence visible (first bud erect)</t>
  </si>
  <si>
    <t>52: 2nd inflorescence visible (first bud erect)</t>
  </si>
  <si>
    <t>53: 3th inflorescence visible (first bud erect)</t>
  </si>
  <si>
    <t>61: First inflorescence: first flower open</t>
  </si>
  <si>
    <t>62: 602 2nd inflorescence: first flower open</t>
  </si>
  <si>
    <t>63: 603 3rd inflorescence: first flower open</t>
  </si>
  <si>
    <t>71: First fruit cluster: first fruit has reached typical size</t>
  </si>
  <si>
    <t>72: 702 2nd fruit cluster: first fruit has reached typical size</t>
  </si>
  <si>
    <t>73: 703 3rd fruit cluster: first fruit has reached typical size</t>
  </si>
  <si>
    <t>81: 10% of fruits show typical fully ripe colour</t>
  </si>
  <si>
    <t>82: 20% of fruits show typical fully ripe colour</t>
  </si>
  <si>
    <t>83: 30% of fruits show typical fully ripe colour</t>
  </si>
  <si>
    <t>84: 40% of fruits show typical fully ripe colour</t>
  </si>
  <si>
    <t>85: 50% of fruits show typical fully ripe colour</t>
  </si>
  <si>
    <t>86: 60% of fruits show typical fully ripe colour</t>
  </si>
  <si>
    <t>87: 70% of fruits show typical fully ripe colour</t>
  </si>
  <si>
    <t>88: 80% of fruits show typical fully ripe colour</t>
  </si>
  <si>
    <t>89: Fully ripe: fruits have typical fully ripe colour</t>
  </si>
  <si>
    <t>97: Plants dead</t>
  </si>
  <si>
    <t>11: First true leaf on main stem fully unfolded</t>
  </si>
  <si>
    <t>12: 2nd true leaf on main stem unfolded</t>
  </si>
  <si>
    <t>13: 3rd true leaf on main stem unfolded</t>
  </si>
  <si>
    <t>19: Stages continuous till 9 or more leaves on main stem unfolded</t>
  </si>
  <si>
    <t>21: First primary side shoot visible</t>
  </si>
  <si>
    <t>22: 2nd primary side shoot visible</t>
  </si>
  <si>
    <t>29: 9 or more primary side shoots visible</t>
  </si>
  <si>
    <t>51: First flower initial with elongated ovary visible on main stem</t>
  </si>
  <si>
    <t>52: 2nd flower initial with elongated ovary visible on main stem</t>
  </si>
  <si>
    <t>53: 3rd flower initial with elongated ovary visible on main stem</t>
  </si>
  <si>
    <t>59: Stages continuous till 9 or more flower initials with elongated ovary already visible</t>
  </si>
  <si>
    <t>61: First flower open on main stem</t>
  </si>
  <si>
    <t>62: 2nd flower open on main stem</t>
  </si>
  <si>
    <t>63: 3rd flower open on main stem</t>
  </si>
  <si>
    <t xml:space="preserve">69:Stages continuous till 9th flower open on main stem </t>
  </si>
  <si>
    <t>71: First fruit on main stem has reached typical size and form</t>
  </si>
  <si>
    <t>72: 2nd fruit on main stem has reached typical size and form</t>
  </si>
  <si>
    <t>73: 3rd fruit on main stem has reached typical size and form</t>
  </si>
  <si>
    <t>79: Stages continuous till 9 or more fruits on main stem have reached typical size and form</t>
  </si>
  <si>
    <t xml:space="preserve">89: Fully ripe: fruits have typical fully ripe colour </t>
  </si>
  <si>
    <t>99: Harvested product (seeds)</t>
  </si>
  <si>
    <t>53: 3rd inflorescence visible (first bud erect)</t>
  </si>
  <si>
    <t>59: Stages continuous till 9 or more inflorescences visible</t>
  </si>
  <si>
    <t>10: Pair of scale leaves visible</t>
  </si>
  <si>
    <t>11: First true leaf (with stipules) unfolded or first tendril developed</t>
  </si>
  <si>
    <t>12: 2 leaves (with stipules) unfolded or 2 tendrils developed</t>
  </si>
  <si>
    <t>13: 3 leaves (with stipules) unfolded or 3 tendrils developed</t>
  </si>
  <si>
    <t>19: Stages continuous till 9 or more leaves (with stipules) unfolded or 9 or more tendrils developed</t>
  </si>
  <si>
    <t>30: Beginning of stem elongation</t>
  </si>
  <si>
    <t>31: 1 visibly extended internode1</t>
  </si>
  <si>
    <t>32: 2 visibly extended internodes1</t>
  </si>
  <si>
    <t>33: 3 visibly extended internodes1</t>
  </si>
  <si>
    <t>39: Stages continuous till 9 or more visibly extended internodes</t>
  </si>
  <si>
    <t>51: First flower buds visible outside leaves</t>
  </si>
  <si>
    <t>55: First separated flower buds visible outside leaves but still closed</t>
  </si>
  <si>
    <t>60: First flowers open (sporadically within the population)</t>
  </si>
  <si>
    <t>67: Flowering declining</t>
  </si>
  <si>
    <t>69: End of flowering</t>
  </si>
  <si>
    <t>77: 70% of pods have reached typical length</t>
  </si>
  <si>
    <t>79: Pods have reached typical size (green ripe); peas fully formed</t>
  </si>
  <si>
    <t>81: 10% of pods ripe, seeds final colour, dry and hard</t>
  </si>
  <si>
    <t>82: 20% of pods ripe, seeds final colour, dry and hard</t>
  </si>
  <si>
    <t>83: 30% of pods ripe, seeds final colour, dry and hard</t>
  </si>
  <si>
    <t>84: 40% of pods ripe, seeds final colour, dry and hard</t>
  </si>
  <si>
    <t>85: 50% of pods ripe, seeds final colour, dry and hard</t>
  </si>
  <si>
    <t>86: 60% of pods ripe, seeds final colour, dry and hard</t>
  </si>
  <si>
    <t>87: 70% of pods ripe, seeds final colour, dry and hard</t>
  </si>
  <si>
    <t>88: 80% of pods ripe, seeds final colour, dry and hard</t>
  </si>
  <si>
    <t>89: Fully ripe: all pods dry and brown. Seeds dry and hard (dry ripe)</t>
  </si>
  <si>
    <t>97: Plants dead and dry</t>
  </si>
  <si>
    <t>10: First leaf through coleoptile</t>
  </si>
  <si>
    <t>11: First leaf unfolded</t>
  </si>
  <si>
    <t>12: 2 leaves unfolded</t>
  </si>
  <si>
    <t>13: 3 leaves unfolded</t>
  </si>
  <si>
    <t>19: Stages continuous till 9 or more leaves unfolded</t>
  </si>
  <si>
    <t xml:space="preserve">20: No tillers </t>
  </si>
  <si>
    <t xml:space="preserve">21: Beginning of tillering: first tiller detectable </t>
  </si>
  <si>
    <t>22: Two tillers detectable</t>
  </si>
  <si>
    <t xml:space="preserve">23: Three tillers detectable </t>
  </si>
  <si>
    <t xml:space="preserve">29: Stages continuous till end of tillering. </t>
  </si>
  <si>
    <t>37: Stages continuous till flag leaf just visible, still rolled</t>
  </si>
  <si>
    <t xml:space="preserve">41: Early boot stage: flag leaf sheath extending </t>
  </si>
  <si>
    <t xml:space="preserve">43: Mid boot stage: flag leaf sheath just visibly swollen </t>
  </si>
  <si>
    <t xml:space="preserve">45: Late boot stage: flag leaf sheath swollen </t>
  </si>
  <si>
    <t>47: Flag leaf sheath opening</t>
  </si>
  <si>
    <t>49: First awns visible (in awned forms only)</t>
  </si>
  <si>
    <t>51: Beginning of heading: tip of inflorescence emerged from sheath,</t>
  </si>
  <si>
    <t>52: 20% of inflorescence emerged</t>
  </si>
  <si>
    <t>53: 30% of inflorescence emerged</t>
  </si>
  <si>
    <t>54: 40% of inflorescence emerged</t>
  </si>
  <si>
    <t>55: Middle of heading: half of inflorescence emerged</t>
  </si>
  <si>
    <t>56: 60% of inflorescence emerged</t>
  </si>
  <si>
    <t>57: 70% of inflorescence emerged</t>
  </si>
  <si>
    <t>58: 80% of inflorescence emerged</t>
  </si>
  <si>
    <t>59: End of heading: inflorescence fully emerged</t>
  </si>
  <si>
    <t>61: Beginning of flowering: first anthers visible</t>
  </si>
  <si>
    <t>65: Full flowering: 50% of anthers mature</t>
  </si>
  <si>
    <t>69: End of flowering: all spikelets have completed flowering</t>
  </si>
  <si>
    <t xml:space="preserve">71: Watery ripe: first grains have reached half their final size </t>
  </si>
  <si>
    <t>73: Early milk</t>
  </si>
  <si>
    <t xml:space="preserve">75: Medium milk: grain content milky, grains reached final size, still green </t>
  </si>
  <si>
    <t>77: Late milk</t>
  </si>
  <si>
    <t>79: Grain reached typical size (Green Ripe)</t>
  </si>
  <si>
    <t xml:space="preserve">83: Early dough 85 Soft dough: grain content soft but dry. Fingernail impression not held </t>
  </si>
  <si>
    <t>85: Soft dough: fingernail impression not held</t>
  </si>
  <si>
    <t>87: Hard dough: grain content solid. Fingernail impression held</t>
  </si>
  <si>
    <t xml:space="preserve">89: Fully ripe: grain hard, difficult to divide with thumbnail </t>
  </si>
  <si>
    <t xml:space="preserve">92: Over-ripe: grain very hard, cannot be dented by thumbnail </t>
  </si>
  <si>
    <t xml:space="preserve">93: Grains loosening in day-time </t>
  </si>
  <si>
    <t xml:space="preserve">97: Plant dead and collapsing </t>
  </si>
  <si>
    <t>99: Harvested product.</t>
  </si>
  <si>
    <t>22: Multiple tillers developing</t>
  </si>
  <si>
    <t xml:space="preserve">23: 3 tillers detectable </t>
  </si>
  <si>
    <t>32: Node 2 detectable</t>
  </si>
  <si>
    <t>33: Node 3 detectable</t>
  </si>
  <si>
    <t>47: Flag leaf sheath opening 49 First awns visible (in awned forms only)</t>
  </si>
  <si>
    <t>49: Awns visable (awned forms)</t>
  </si>
  <si>
    <t>79: Grains reached typical size (Green Ripe)</t>
  </si>
  <si>
    <t>85: Soft dough (fingernail impression not held)</t>
  </si>
  <si>
    <t>Days_to_Ripening</t>
  </si>
  <si>
    <t>Daily_N_Kg/ha</t>
  </si>
  <si>
    <t>Daily_P_Kg/ha</t>
  </si>
  <si>
    <t>Daily_K_Kg/ha</t>
  </si>
  <si>
    <t>Crop_Coefficient</t>
  </si>
  <si>
    <t>K_Ext (PAR)</t>
  </si>
  <si>
    <t>19: Stages continuous till 9 or more leaves on main shoot unfolded</t>
  </si>
  <si>
    <t>69: Stages continuous till 9 or more inflorescences with open flowers</t>
  </si>
  <si>
    <t>79: Stages continuous till 9 or more fruit clusters with fruits of typical size</t>
  </si>
  <si>
    <t>49 First awns visible (in awned forms only)</t>
  </si>
  <si>
    <t xml:space="preserve">83: Early dough </t>
  </si>
  <si>
    <t xml:space="preserve">85: Soft dough: grain content soft but dry. Fingernail impression not held </t>
  </si>
  <si>
    <t>07: Hypocotyl with cotyledons emerged from seed</t>
  </si>
  <si>
    <t>08: Hypocotyl with cotyledons growing towards soil surface</t>
  </si>
  <si>
    <t>20: No side shoots</t>
  </si>
  <si>
    <t>21: Beginning of side shoot development: first side shoot detectable</t>
  </si>
  <si>
    <t>22: 2 side shoots detectable</t>
  </si>
  <si>
    <t>23: 3 side shoots detectable</t>
  </si>
  <si>
    <t>31: 1 visibly extended internode</t>
  </si>
  <si>
    <t>32: 2 visibly extended internodes</t>
  </si>
  <si>
    <t>33: 3 visibly extended internodes</t>
  </si>
  <si>
    <t>50: Flower buds present, still enclosed by leaves</t>
  </si>
  <si>
    <t>51: Flower buds visible from above (“green bud”)</t>
  </si>
  <si>
    <t>52: Flower buds free, level with the youngest leaves</t>
  </si>
  <si>
    <t>53: Flower buds raised above the youngest leaves</t>
  </si>
  <si>
    <t>55: Individual flower buds (main inflorescence) visible but still closed</t>
  </si>
  <si>
    <t>57: Individual flower buds (secondary inflorescences) visible</t>
  </si>
  <si>
    <t>59: First petals visible, flower buds still closed</t>
  </si>
  <si>
    <t>60: First flowers open</t>
  </si>
  <si>
    <t>61: 10% of flowers on main raceme open, main raceme elongating</t>
  </si>
  <si>
    <t>62: 20% of flowers on main raceme open</t>
  </si>
  <si>
    <t>63: 30% of flowers on main raceme open</t>
  </si>
  <si>
    <t>64: 40% of flowers on main raceme open</t>
  </si>
  <si>
    <t xml:space="preserve">65: Full flowering: 50% flowers on main raceme open, </t>
  </si>
  <si>
    <t>71: 10% of pods have reached final size</t>
  </si>
  <si>
    <t>72: 20% of pods have reached final size</t>
  </si>
  <si>
    <t>73: 30% of pods have reached final size</t>
  </si>
  <si>
    <t>74: 40% of pods have reached final size</t>
  </si>
  <si>
    <t>75: 50% of pods have reached final size</t>
  </si>
  <si>
    <t>76: 60% of pods have reached final size</t>
  </si>
  <si>
    <t>77: 70% of pods have reached final size</t>
  </si>
  <si>
    <t>78: 80% of pods have reached final size</t>
  </si>
  <si>
    <t>79: Nearly all pods have reached final size</t>
  </si>
  <si>
    <t>80: Beginning of ripening: seed green, filling pod cavity</t>
  </si>
  <si>
    <t>81: 10% of pods ripe, seeds dark and hard</t>
  </si>
  <si>
    <t>82: 20% of pods ripe, seeds dark and hard</t>
  </si>
  <si>
    <t>83: 30% of pods ripe, seeds dark and hard</t>
  </si>
  <si>
    <t>84: 40% of pods ripe, seeds dark and hard</t>
  </si>
  <si>
    <t>85: 50% of pods ripe, seeds dark and hard</t>
  </si>
  <si>
    <t>86: 60% of pods ripe, seeds dark and hard</t>
  </si>
  <si>
    <t>87:70% of pods ripe, seeds dark and hard</t>
  </si>
  <si>
    <t>88: 80% of pods ripe, seeds dark and hard</t>
  </si>
  <si>
    <t>89: Fully ripe: nearly all pods ripe, seeds dark and hard</t>
  </si>
  <si>
    <t>97: Plant dead and dry</t>
  </si>
  <si>
    <t>29:Stages continuous till 9 or more side shoots detectable</t>
  </si>
  <si>
    <t>29: Stages continuous till 9 or more primary side shoots visible</t>
  </si>
  <si>
    <t xml:space="preserve">69: Stages continuous till 9th flower open on main stem </t>
  </si>
  <si>
    <t>79: Stages continuous till 9 or more fruits on main stem has reached typical size and form</t>
  </si>
  <si>
    <t>81:10% of fruits show typical fully ripe colour</t>
  </si>
  <si>
    <t>82:20% of fruits show typical fully ripe colour</t>
  </si>
  <si>
    <t>83:30% of fruits show typical fully ripe colour</t>
  </si>
  <si>
    <t>07:Cotyledon breaking through seed coat</t>
  </si>
  <si>
    <t>09: Emergence: cotyledon breaks through soil surface.</t>
  </si>
  <si>
    <t>11: First true leaf unfolded</t>
  </si>
  <si>
    <t>12: 2nd true leaf unfolded</t>
  </si>
  <si>
    <t>13: 3rd true leaf unfolded</t>
  </si>
  <si>
    <t>19: Stages continuous till 9 or more true leaves unfolded</t>
  </si>
  <si>
    <t>21: 1st side shoot visible</t>
  </si>
  <si>
    <t>29: Stages continuous till 9 or more side shoots visible</t>
  </si>
  <si>
    <t>31: Main shoot has reached 10% of the expected height typical for the variety</t>
  </si>
  <si>
    <t>32: Main shoot has reached 20% of the expected height typical for the variety</t>
  </si>
  <si>
    <t>33: Main shoot has reached 30% of the expected height typical for the variety</t>
  </si>
  <si>
    <t>34: Main shoot has reached 40% of the expected height typical for the variety</t>
  </si>
  <si>
    <t>35: Main shoot has reached 50% of the expected height typical for the variety</t>
  </si>
  <si>
    <t>36: Main shoot has reached 60% of the expected height typical for the variety</t>
  </si>
  <si>
    <t>37: Main shoot has reached 70% of the expected height typical for the variety</t>
  </si>
  <si>
    <t>38: Main shoot has reached 80% of the expected height typical for the variety</t>
  </si>
  <si>
    <t>39: Main shoot has reached the height typical for the variety</t>
  </si>
  <si>
    <t>41: Lateral buds begin to develop</t>
  </si>
  <si>
    <t>43: First sprouts tightly closed</t>
  </si>
  <si>
    <t>45: 50% of the sprouts tightly closed</t>
  </si>
  <si>
    <t>46: 60% of the sprouts tightly closed</t>
  </si>
  <si>
    <t>47: 70% of the sprouts tightly closed</t>
  </si>
  <si>
    <t>48: 80% of the sprouts tightly closed</t>
  </si>
  <si>
    <t>49: Sprouts below terminal bud tightly closed</t>
  </si>
  <si>
    <t>51: Main inflorescence visible between uppermost leaves</t>
  </si>
  <si>
    <t>55: First individual flowers visible (still closed)</t>
  </si>
  <si>
    <t>59: First flower petals visible; flowers still closed</t>
  </si>
  <si>
    <t>60: First flowers open (sporadically)</t>
  </si>
  <si>
    <t>71: First fruits formed</t>
  </si>
  <si>
    <t>72: 20% of fruits have reached typical size</t>
  </si>
  <si>
    <t>73: 30% of fruits have reached typical size</t>
  </si>
  <si>
    <t>74: 40% of fruits have reached typical size</t>
  </si>
  <si>
    <t>75: 50% of fruits have reached typical size</t>
  </si>
  <si>
    <t>76: 60% of fruits have reached typical size</t>
  </si>
  <si>
    <t>77: 70% of fruits have reached typical size</t>
  </si>
  <si>
    <t>78: 80% of fruits have reached typical size</t>
  </si>
  <si>
    <t>79: Fruits have reached typical size</t>
  </si>
  <si>
    <t>81: Beginning of ripening: 10% of fruits ripe</t>
  </si>
  <si>
    <t>82: 20% of fruits ripe</t>
  </si>
  <si>
    <t>83: 30% of fruits ripe</t>
  </si>
  <si>
    <t>84: 40% of fruits ripe</t>
  </si>
  <si>
    <t>85: 50% of fruits ripe</t>
  </si>
  <si>
    <t>86: 60% of fruits ripe</t>
  </si>
  <si>
    <t>87: 70% of fruits ripe</t>
  </si>
  <si>
    <t>88: 80% of fruits ripe</t>
  </si>
  <si>
    <t>89: Fully ripe: seeds on the whole plant of typical color and hard</t>
  </si>
  <si>
    <t>92: Leaves and shoots beginning to discolour</t>
  </si>
  <si>
    <t xml:space="preserve">95: 50% of leaves yellow or dead </t>
  </si>
  <si>
    <t>PAR</t>
  </si>
  <si>
    <t>Sorghum</t>
  </si>
  <si>
    <t>Barley</t>
  </si>
  <si>
    <t>Oat</t>
  </si>
  <si>
    <t>Wheat</t>
  </si>
  <si>
    <t>vegetable marrow</t>
  </si>
  <si>
    <t>Tomato</t>
  </si>
  <si>
    <t>Millet</t>
  </si>
  <si>
    <t>Pea</t>
  </si>
  <si>
    <t>Brinjal</t>
  </si>
  <si>
    <t>Sesame</t>
  </si>
  <si>
    <t>Broccoli</t>
  </si>
  <si>
    <t>Cabbage</t>
  </si>
  <si>
    <t>41: Heads begin to form: the two youngest leaves do not unfold</t>
  </si>
  <si>
    <t>42: 20% of the expected head size reached</t>
  </si>
  <si>
    <t>43: 30% of the expected head size reached</t>
  </si>
  <si>
    <t>44: 40% of the expected head size reached</t>
  </si>
  <si>
    <t>45: 50% of the expected head size reached</t>
  </si>
  <si>
    <t>46: 60% of the expected head size reached</t>
  </si>
  <si>
    <t>47: 70% of the expected head size reached</t>
  </si>
  <si>
    <t>48: 80% of the expected head size reached</t>
  </si>
  <si>
    <t>49: Typical size, form and firmness of heads reached</t>
  </si>
  <si>
    <t>51: Main shoot inside head begins to elongate</t>
  </si>
  <si>
    <t>53: 30% of the expected height of the main shoot reached</t>
  </si>
  <si>
    <t>55: First individual flowers of main inflorescence visible (still closed)</t>
  </si>
  <si>
    <t>57: First individual flowers of secondary inflorescences visible</t>
  </si>
  <si>
    <t>67: Flowering finishing</t>
  </si>
  <si>
    <t>82: 20% of fruits ripe, or 20% of seeds of typical colour,dry and hard</t>
  </si>
  <si>
    <t>83: 30% of fruits ripe, or 30% of seeds of typical colour,dry and hard</t>
  </si>
  <si>
    <t>84: 40% of fruits ripe, or 40% of seeds of typical colour,dry and hard</t>
  </si>
  <si>
    <t>85: 50% of the fruits ripe, or 50% of seeds of typical colour,dry and hard</t>
  </si>
  <si>
    <t>86: 60% of fruits ripe, or 60% of seeds of typical colour,dry and hard</t>
  </si>
  <si>
    <t>87: 70% of fruits ripe, or 70% of seeds of typical colour,dry and hard</t>
  </si>
  <si>
    <t>88: 80% of fruits ripe, or 80% of seeds of typical colour,dry and hard</t>
  </si>
  <si>
    <t>89: Fully ripe: seeds on the whole plant of typical colour and hard</t>
  </si>
  <si>
    <t>95: 50% of leaves yellow or dead</t>
  </si>
  <si>
    <t>Canola</t>
  </si>
  <si>
    <t>29: Stages continuous till 9 or more side shoots detectable</t>
  </si>
  <si>
    <t>Carrot</t>
  </si>
  <si>
    <t>41: Roots beginning to expand (diameter &gt; 0,5 cm)</t>
  </si>
  <si>
    <t>42: 20% of the expected root diameter reached</t>
  </si>
  <si>
    <t>43: 30% of the expected root diameter reached</t>
  </si>
  <si>
    <t>44: 40% of the expected root diameter reached</t>
  </si>
  <si>
    <t>45: 50% of the expected root diameter reached</t>
  </si>
  <si>
    <t>46: 60% of the expected root diameter reached</t>
  </si>
  <si>
    <t>47: 70% of the expected root diameter reached</t>
  </si>
  <si>
    <t>48: 80% of the expected root diameter reached</t>
  </si>
  <si>
    <t>49: Expansion complete; typical form and size of roots reached</t>
  </si>
  <si>
    <t>51: Main shoot begins to elongate</t>
  </si>
  <si>
    <t>85:50% of the fruits ripe</t>
  </si>
  <si>
    <t>89: Fully ripe:</t>
  </si>
  <si>
    <t>97: Plants or above ground parts dead</t>
  </si>
  <si>
    <t>50: Flowering buds visible from above ground ("green buds")</t>
  </si>
  <si>
    <t>52: Flower buds free, level with youngest leaves</t>
  </si>
  <si>
    <t>56: Secondary inflorescence buds visible but still closed</t>
  </si>
  <si>
    <t>54: First individual flower buds visible but still vlosed</t>
  </si>
  <si>
    <t>58: Secondary bud stage continuation</t>
  </si>
  <si>
    <t>66: 60% of flower open</t>
  </si>
  <si>
    <t>68: 80% of flower open</t>
  </si>
  <si>
    <t>82: 20% of fruit ripe</t>
  </si>
  <si>
    <t>83: 30% of the fruit ripe</t>
  </si>
  <si>
    <t>84: 40% of the fruit ripe</t>
  </si>
  <si>
    <t>86: 60% of the fruit ripe</t>
  </si>
  <si>
    <t>87: 70% of the fruit ripe</t>
  </si>
  <si>
    <t>88: 80% of the fruit ripe</t>
  </si>
  <si>
    <t>Cauliflower</t>
  </si>
  <si>
    <t>42: 20% of expected curd diamter reached</t>
  </si>
  <si>
    <t>44: 40% of the expected curd diameter reached</t>
  </si>
  <si>
    <t>66: 60% of the flower open</t>
  </si>
  <si>
    <t>68: 80% of the flower open</t>
  </si>
  <si>
    <t xml:space="preserve">19: Stages continuous till 9 or more leaves </t>
  </si>
  <si>
    <t>66: 60% of the flowers open</t>
  </si>
  <si>
    <t>53: Flower buds protruding above bracts (~15% height)</t>
  </si>
  <si>
    <t>57: Secondary flower buds visible (still closed)</t>
  </si>
  <si>
    <t>55: First flower buds enlarged (still closed)</t>
  </si>
  <si>
    <t>68: 80% of flowers open</t>
  </si>
  <si>
    <t>92: Leaves and stems beginning to discolor</t>
  </si>
  <si>
    <t>Chickpea Kabuli</t>
  </si>
  <si>
    <t>33: Leaf rosette has reached 30% of the expected diameter</t>
  </si>
  <si>
    <t>35: Leaf rosette has reached 50% of the expected diameter</t>
  </si>
  <si>
    <t>37: Leaf rosette has reached 70% of the expected diameter</t>
  </si>
  <si>
    <t>39: Rosette development completed</t>
  </si>
  <si>
    <t>41: 10% of the leaf mass typical for the variety reached</t>
  </si>
  <si>
    <t>42: 20% of the leaf mass typical for the variety reached</t>
  </si>
  <si>
    <t>43: 30% of the leaf mass typical for the variety reached</t>
  </si>
  <si>
    <t>44: 40% of the leaf mass typical for the variety reached</t>
  </si>
  <si>
    <t>45: 50% of the leaf mass typical for the variety reached</t>
  </si>
  <si>
    <t>46: 60% of the leaf mass typical for the variety reached</t>
  </si>
  <si>
    <t>47: 70% of the leaf mass typical for the variety reached</t>
  </si>
  <si>
    <t>48: 80% of the leaf mass typical for the variety reached</t>
  </si>
  <si>
    <t>49: Typical leaf mass reached</t>
  </si>
  <si>
    <t>81:  Beginning of ripening: 10% of fruits ripe</t>
  </si>
  <si>
    <t>82: 20% of fruits ripe, or 20% of seeds of typical colour</t>
  </si>
  <si>
    <t>83: 30% of fruits ripe, or 20% of seeds of typical colour</t>
  </si>
  <si>
    <t>84: 40% of fruits ripe, or 20% of seeds of typical colour</t>
  </si>
  <si>
    <t>85: 50% of fruits ripe, or 50% of seeds of typical colour,</t>
  </si>
  <si>
    <t>86: 60% of fruits ripe, or 20% of seeds of typical colour,</t>
  </si>
  <si>
    <t>87: 70% of fruits ripe, or 20% of seeds of typical colour,</t>
  </si>
  <si>
    <t>88: 80% of fruits ripe, or 20% of seeds of typical colour,</t>
  </si>
  <si>
    <t>92: Leaves and shoots beginning to discolor</t>
  </si>
  <si>
    <t>11: First true lead unfolded</t>
  </si>
  <si>
    <t>Cotton</t>
  </si>
  <si>
    <t>06: Elongation of radicle</t>
  </si>
  <si>
    <t>09: Emergence: hypocotyl with cotyledons breaking through soil surface (“crook stage”)</t>
  </si>
  <si>
    <t>19: Stages continuous till 9 or more true leaves unfolded;1 no side shoots visible</t>
  </si>
  <si>
    <t>21: First vegetative side shoot (2nd order) visible</t>
  </si>
  <si>
    <t>22: 2 vegetative side shoots (2nd order) visible</t>
  </si>
  <si>
    <t>23: 3 vegetative side shoots (2nd order) visible</t>
  </si>
  <si>
    <t>29: Stages continuous till 9 or more vegetative side shoots (2nd order) visible</t>
  </si>
  <si>
    <t>31: Beginning of crop cover: 10% of plants meet between rows</t>
  </si>
  <si>
    <t>32: 20% of plants meet between rows</t>
  </si>
  <si>
    <t>33: 30% of plants meet between rows</t>
  </si>
  <si>
    <t>34: 40% of plants meet between rows</t>
  </si>
  <si>
    <t>35: 50% of plants meet between rows</t>
  </si>
  <si>
    <t>36: 60% of plants meet between rows</t>
  </si>
  <si>
    <t>37:70% of plants meet between rows</t>
  </si>
  <si>
    <t>38: 80% of plants meet between rows</t>
  </si>
  <si>
    <t>39: Canopy closure: 90% of the plants meet between rows</t>
  </si>
  <si>
    <t>51: First floral buds detectable (“pin-head square”)</t>
  </si>
  <si>
    <t>52: First floral buds visible (“match-head square”)</t>
  </si>
  <si>
    <t>55: Floral buds distinctly enlarged</t>
  </si>
  <si>
    <t>59: Petals visible: floral buds still closed</t>
  </si>
  <si>
    <t>60: First flowers opened (sporadically within the population)</t>
  </si>
  <si>
    <t>61: Beginning of flowering (“Early bloom”):</t>
  </si>
  <si>
    <t>65: Full flowering: (“Mid bloom”): 11 and more blooms / 25 ft</t>
  </si>
  <si>
    <t>67: Flowering finishing: majority of flowers faded (“Late bloom”)</t>
  </si>
  <si>
    <t>71: About 10% of bolls have attained their final size</t>
  </si>
  <si>
    <t>72: About 20% of bolls have attained their final size</t>
  </si>
  <si>
    <t>73: About 30% of bolls have attained their final size</t>
  </si>
  <si>
    <t>75: About 50% of bolls have attained their final size</t>
  </si>
  <si>
    <t>76: About 60% of bolls have attained their final size</t>
  </si>
  <si>
    <t>77: About 70% of bolls have attained their final size</t>
  </si>
  <si>
    <t>78: About 80% of bolls have attained their final size</t>
  </si>
  <si>
    <t>79: About 90% of bolls have attained their final size</t>
  </si>
  <si>
    <t>80: First open bolls on the first fruiting branches</t>
  </si>
  <si>
    <t>81: Beginning of boll opening: about 10% of bolls open.</t>
  </si>
  <si>
    <t>82: About 20% of bolls open</t>
  </si>
  <si>
    <t>83: About 30% of bolls open. Nodes Above Cracked Boll (NACB)</t>
  </si>
  <si>
    <t>84: About 40% of bolls open</t>
  </si>
  <si>
    <t>85: About 50% of bolls open</t>
  </si>
  <si>
    <t>86: About 60% of bolls open</t>
  </si>
  <si>
    <t>87:About 70% of bolls open</t>
  </si>
  <si>
    <t>88: About 80% of bolls open</t>
  </si>
  <si>
    <t>89: About 90% of bolls open</t>
  </si>
  <si>
    <t>91: About 10% of leaves discoloured or fallen</t>
  </si>
  <si>
    <t>92: About 20% of leaves discoloured or fallen</t>
  </si>
  <si>
    <t>93: About 30% of leaves discoloured or fallen</t>
  </si>
  <si>
    <t>94: About 40% of leaves discoloured or fallen</t>
  </si>
  <si>
    <t>95: About 50% of leaves discoloured or fallen</t>
  </si>
  <si>
    <t>96: About 60% of leaves discoloured or fallen</t>
  </si>
  <si>
    <t>97: Above ground parts of plant dead; plant dormant</t>
  </si>
  <si>
    <t>99: Harvested product (bolls and seeds)</t>
  </si>
  <si>
    <t>74: About 40% of bolls have attained their final size</t>
  </si>
  <si>
    <t>Cucumber</t>
  </si>
  <si>
    <t>61:First flower open on main stem</t>
  </si>
  <si>
    <t>Lentil</t>
  </si>
  <si>
    <t>19: Stages continuous till 9 or more leaves (2 full leaves, 7 or more trifoliate) unfolded</t>
  </si>
  <si>
    <t>Maize</t>
  </si>
  <si>
    <t>00: Dry seed (caryopsis)</t>
  </si>
  <si>
    <t>01:  Beginning of seed imbibition</t>
  </si>
  <si>
    <t>03:  Seed imbibition complete</t>
  </si>
  <si>
    <t>05:  Radicle emerged from caryopsis</t>
  </si>
  <si>
    <t>06:  Radicle elongated, root hairs and/or side roots visible</t>
  </si>
  <si>
    <t>07:  Coleptile emerged from caryopsis</t>
  </si>
  <si>
    <t>09:  Emergence: coleoptile penetrates soil surface (cracking stage)</t>
  </si>
  <si>
    <t>10:  First leaf through coleoptile</t>
  </si>
  <si>
    <t>11:  First leaf unfolded</t>
  </si>
  <si>
    <t>39: 9 or more nodes detectable</t>
  </si>
  <si>
    <t>53: Tip of tassel visible</t>
  </si>
  <si>
    <t>75: Kernels in middle of cob yellowish-white</t>
  </si>
  <si>
    <t>89: Fully ripe: kernels hard and shiny</t>
  </si>
  <si>
    <t>55: Middle of tassel emergence</t>
  </si>
  <si>
    <t>59: End of tassel emergence</t>
  </si>
  <si>
    <t>08: Coleptile tip above soil surface</t>
  </si>
  <si>
    <t>14: 4 leaves unfolded</t>
  </si>
  <si>
    <t>15: 5 leaves unfolded</t>
  </si>
  <si>
    <t>16: 6 leaves unfolded</t>
  </si>
  <si>
    <t>17: 7 leaves unfolded</t>
  </si>
  <si>
    <t>18: 8 leaves unfolded</t>
  </si>
  <si>
    <t>35: 5 internodes visible</t>
  </si>
  <si>
    <t>31: First internode visible</t>
  </si>
  <si>
    <t>32: 2 internode visible</t>
  </si>
  <si>
    <t>33: 3 internode visible</t>
  </si>
  <si>
    <t>34: 4 internode visible</t>
  </si>
  <si>
    <t>36: 6 internodes visible</t>
  </si>
  <si>
    <t>37: 7 internodes visible</t>
  </si>
  <si>
    <t>38: 8 internodes visible</t>
  </si>
  <si>
    <t>50: Tassel initiation (bud visible within whorl)</t>
  </si>
  <si>
    <t>51: Beginning of tassel emergence: &lt;25% exserted</t>
  </si>
  <si>
    <t>52: 25-50% of tassel exserted</t>
  </si>
  <si>
    <t>54: &gt;75% of tassel emerged</t>
  </si>
  <si>
    <t>56: Anthesis beginning in lower florets</t>
  </si>
  <si>
    <t>57: Anthesis raising through middle of tassel</t>
  </si>
  <si>
    <t>58: Anthesis in upper florets</t>
  </si>
  <si>
    <t>61: Mid-tassel stamens visible; silks just emerging on ear</t>
  </si>
  <si>
    <t>63: Beginning of pollen shed, silks elongating</t>
  </si>
  <si>
    <t>65: Peak pollen shed; silks fully receptive</t>
  </si>
  <si>
    <t>67: Pollen shed complete; silks beginning to wither</t>
  </si>
  <si>
    <t>69: End of flowering: silks dry and brown</t>
  </si>
  <si>
    <t>71: Blister stage: Kernels white &amp; fluid filled</t>
  </si>
  <si>
    <t>72: Milk stage: Kerbels yellowish-white, fluid milky</t>
  </si>
  <si>
    <t>73: Early dough: Kernel content soft, doughy</t>
  </si>
  <si>
    <t>77: Nearly all kernels have reached final size</t>
  </si>
  <si>
    <t>83: Early dent: 10% kernel surface dented</t>
  </si>
  <si>
    <t>85: Dent stage: 50% kernel dented</t>
  </si>
  <si>
    <t>87: Physiological maturity: black layer at kernel base</t>
  </si>
  <si>
    <t>97: Plant senesced, leaves dead and drying</t>
  </si>
  <si>
    <t>99: Harvestable dry grain</t>
  </si>
  <si>
    <t>Mash</t>
  </si>
  <si>
    <t>Mustard</t>
  </si>
  <si>
    <t>65: Full flowering: 50% flowers on main raceme open</t>
  </si>
  <si>
    <t>Okra</t>
  </si>
  <si>
    <t>52:2nd inflorescence visible (first bud erect)</t>
  </si>
  <si>
    <t>53:3th inflorescence visible (first bud erect)</t>
  </si>
  <si>
    <t>62: 2nd inflorescence: first flower open</t>
  </si>
  <si>
    <t>63: 3rd inflorescence: first flower open</t>
  </si>
  <si>
    <t>72: 2nd fruit cluster: first fruit has reached typical size</t>
  </si>
  <si>
    <t>73: 3rd fruit cluster: first fruit has reached typical size</t>
  </si>
  <si>
    <t>29: Nine or more side shoots visible</t>
  </si>
  <si>
    <t>Onion</t>
  </si>
  <si>
    <t>11: 101 First leaf (&gt; 3 cm) clearly visible</t>
  </si>
  <si>
    <t>12: 102 2nd leaf (&gt; 3 cm) clearly visible</t>
  </si>
  <si>
    <t>13: 103 3rd leaf (&gt; 3 cm)</t>
  </si>
  <si>
    <t>19: Stages continuous till 9 or more leaves clearly visible</t>
  </si>
  <si>
    <t>41: Leaf bases begin to thicken or extend</t>
  </si>
  <si>
    <t>43: 30% of the expected bulb or shaft diameter reached</t>
  </si>
  <si>
    <t>45: 50% of the expected bulb or shaft diameter reached</t>
  </si>
  <si>
    <t>47: Bolting begins; in 10% of the plants leaves bent over3</t>
  </si>
  <si>
    <t>48: Leaves bent over in 50% of plants3</t>
  </si>
  <si>
    <t>49: Leaves dead, bulb top dry; dormancy Growth complete</t>
  </si>
  <si>
    <t>51: Onion bulb begins to elongate</t>
  </si>
  <si>
    <t>53: 30% of the expected length of flower stem reached</t>
  </si>
  <si>
    <t>55: Flower stem at full length; sheath closed</t>
  </si>
  <si>
    <t>57: Sheath burst open</t>
  </si>
  <si>
    <t xml:space="preserve">59: First flower petals visible; flowers still closed </t>
  </si>
  <si>
    <t>67: Flowering finishing: 70% of petals fallen or dry</t>
  </si>
  <si>
    <t>71: First capsules formed</t>
  </si>
  <si>
    <t>72: 20% of capsules formed</t>
  </si>
  <si>
    <t>73: 30% of capsules formed</t>
  </si>
  <si>
    <t>74: 40% of capsules formed</t>
  </si>
  <si>
    <t>75: 50% of capsules formed</t>
  </si>
  <si>
    <t>76: 60% of capsules formed</t>
  </si>
  <si>
    <t>77: 70% of capsules formed</t>
  </si>
  <si>
    <t>78: 80% of capsules formed</t>
  </si>
  <si>
    <t>79: Capsule development complete; seeds pale</t>
  </si>
  <si>
    <t>81: Beginning of ripening: 10% of capsules ripe</t>
  </si>
  <si>
    <t>85: First capsules bursting</t>
  </si>
  <si>
    <t>89: Fully ripe: seeds black and hard</t>
  </si>
  <si>
    <t xml:space="preserve">00: Dry seed, 1 dormant bulb </t>
  </si>
  <si>
    <t>07: Cotyledon breaking through seed coat</t>
  </si>
  <si>
    <t>50: Floral bud initiation (scape visible inside leaves)</t>
  </si>
  <si>
    <t>10: Advanced whip stage: whip begins to die off</t>
  </si>
  <si>
    <t>Peanut</t>
  </si>
  <si>
    <t>31: Beginning of crop cover: 10% of plants meets between rows</t>
  </si>
  <si>
    <t>32: 20% of plants meets between rows</t>
  </si>
  <si>
    <t>33: 30% of plants meets between rows</t>
  </si>
  <si>
    <t>34: 40% of plants meets between rows</t>
  </si>
  <si>
    <t>35: 50% of plants meets between rows</t>
  </si>
  <si>
    <t>36: 60% of plants meets between rows</t>
  </si>
  <si>
    <t>37: 70% of plants meets between rows</t>
  </si>
  <si>
    <t>38: 80% of plants meets between rows</t>
  </si>
  <si>
    <t>39: Crop cover complete: 90% of plants meets between rows</t>
  </si>
  <si>
    <t>51: First inflorescence buds visible</t>
  </si>
  <si>
    <t>55: First individual flower buds visible</t>
  </si>
  <si>
    <t>59: First flower petals visible. Flower buds still closed</t>
  </si>
  <si>
    <t>61: Beginning of flowering</t>
  </si>
  <si>
    <t>62: First carpophore pegs visible</t>
  </si>
  <si>
    <t>63: Continuation of flowering</t>
  </si>
  <si>
    <t>64: First carpophore pegs visibly elongated</t>
  </si>
  <si>
    <t>65: Full flowering</t>
  </si>
  <si>
    <t>66: First carpophore pegs penetrating the soil</t>
  </si>
  <si>
    <t>67: Flowering declining4</t>
  </si>
  <si>
    <t>68: Tip of first carpophore pegs growing horizontally in the soil</t>
  </si>
  <si>
    <t>71: Beginning of pod development: tip of first carpophore pegs swollen (at least twice the original diameter)</t>
  </si>
  <si>
    <t>73: Continuation of pod development: beginning of pod filling:first pods have attained final size and are ripening</t>
  </si>
  <si>
    <t>75: Main phase of pod development: continuation of pod filling</t>
  </si>
  <si>
    <t>77: Advanced pod filling</t>
  </si>
  <si>
    <t>79: Fresh seeds fill the cavity of the pods which have attained their final size</t>
  </si>
  <si>
    <t>81: Beginning of ripening: about 10% of pods developed to final size are ripe</t>
  </si>
  <si>
    <t>82: About 20% of pods developed to final size are ripe</t>
  </si>
  <si>
    <t>83: Continuation of ripening: about 30% of pods developed to final size are ripe</t>
  </si>
  <si>
    <t>84: About 40% of pods developed to final size are ripe</t>
  </si>
  <si>
    <t>85: Main phase of ripening: about 50% of pods developed to final size are ripe</t>
  </si>
  <si>
    <t>86: About 60% of pods developed to final size are ripe</t>
  </si>
  <si>
    <t>87: Advanced ripening: about 70% of pods developed to final size are ripe</t>
  </si>
  <si>
    <t>88: About 80% of pods developed to final size are ripe</t>
  </si>
  <si>
    <t>89: Full maturity: nearly all pods developed to final size are ripe</t>
  </si>
  <si>
    <t>91: About 10% of above ground parts of plant dry</t>
  </si>
  <si>
    <t>92: About 40% of above ground parts of plant dry</t>
  </si>
  <si>
    <t>93: About 30% of above ground parts of plant dry</t>
  </si>
  <si>
    <t>94: About 40% of above ground parts of plant dry</t>
  </si>
  <si>
    <t>95: About 50% of above ground parts of plant dry</t>
  </si>
  <si>
    <t>96: About 60% of above ground parts of plant dry</t>
  </si>
  <si>
    <t>97: Above ground parts of plant dead</t>
  </si>
  <si>
    <t>Potato</t>
  </si>
  <si>
    <t xml:space="preserve">02: Sprouts upright </t>
  </si>
  <si>
    <t>03: End of dormancy, Seed imbibition
complete</t>
  </si>
  <si>
    <t>05: Beginning of root formation,  Radicle (root)
emerged from seed</t>
  </si>
  <si>
    <t>07: Beginning of stem formation, Hypocotyl with
cotyledons breaking</t>
  </si>
  <si>
    <t>08: Stems growing towards soil surface,Hypocotyl with
cotyledons growing towards soil surface</t>
  </si>
  <si>
    <t>09: Emergence</t>
  </si>
  <si>
    <t>10: From tuber: first leaves begin to extend</t>
  </si>
  <si>
    <t>11: 1st leaf of main stem unfolded</t>
  </si>
  <si>
    <t>12: 2nd leaf of main stem unfolded</t>
  </si>
  <si>
    <t>13: 3rd leaf Auf main stem unfolded</t>
  </si>
  <si>
    <t>19: Stages continuous 9 or more leaves of main stem unfolded</t>
  </si>
  <si>
    <t>21: First basal side shoot visible</t>
  </si>
  <si>
    <t>22: 2nd basal side shoot visible</t>
  </si>
  <si>
    <t>23: 3rd basal side shoot visible</t>
  </si>
  <si>
    <t>32: 20% off plants meet between rows</t>
  </si>
  <si>
    <t>33: 30% off plants meet between rows</t>
  </si>
  <si>
    <t>34: 40% off plants meet between rows</t>
  </si>
  <si>
    <t>35: 50% off plants meet between rows</t>
  </si>
  <si>
    <t>36: 60% off plants meet between rows</t>
  </si>
  <si>
    <t>37: 70% off plants meet between rows</t>
  </si>
  <si>
    <t>38: 80% off plants meet between rows</t>
  </si>
  <si>
    <t>40: Tuber initiation</t>
  </si>
  <si>
    <t>41: 10% of total final tuber mass reached</t>
  </si>
  <si>
    <t>42: 20% of total final tuber mass reached</t>
  </si>
  <si>
    <t>43: 30% of total final tuber mass reached</t>
  </si>
  <si>
    <t>44: 40% of total final tuber mass reached</t>
  </si>
  <si>
    <t>45: 50% of total final tuber mass reached</t>
  </si>
  <si>
    <t>46: 60% of total final tuber mass reached</t>
  </si>
  <si>
    <t>47: 70% of total final tuber mass reached</t>
  </si>
  <si>
    <t>48: Maximum of total tuber mass reached</t>
  </si>
  <si>
    <t>49: Skin set complete</t>
  </si>
  <si>
    <t>51: First individual buds</t>
  </si>
  <si>
    <t>55: Buds of first inflorescence extended to 5 mm</t>
  </si>
  <si>
    <t>59: First flower petals of first inflorescence visible</t>
  </si>
  <si>
    <t>61: Beginning of flowering;10% of flowers in the 2nd inflorescence open</t>
  </si>
  <si>
    <t>62: 20% of flowers in the first inflorescence open</t>
  </si>
  <si>
    <t>63: 30% of flowers in the first inflorescence open</t>
  </si>
  <si>
    <t>65: Full flowering: 50% of flowers in the first inflorescence open</t>
  </si>
  <si>
    <t>91: Beginning of leaf yellowing</t>
  </si>
  <si>
    <t>97: Leaves and stem dead, stems bleached and dry</t>
  </si>
  <si>
    <t>00: Innate or enforced dormancy,Dry seed</t>
  </si>
  <si>
    <t>01: Beginning of sprouting, Beginning ofseed imbibition</t>
  </si>
  <si>
    <t>71: First berries visible</t>
  </si>
  <si>
    <t>75: Main seed fill phase</t>
  </si>
  <si>
    <t>79: Seed cavities fully filled</t>
  </si>
  <si>
    <t>81: Beginning of ripening, 10% berries ripe</t>
  </si>
  <si>
    <t>85: Mid ripening: ~50% ripe</t>
  </si>
  <si>
    <t>89: Fully ripe berries / dry seed</t>
  </si>
  <si>
    <t>29: Stages continuous till 9 or more basal side shoots visible</t>
  </si>
  <si>
    <t>60: First open flowers in population</t>
  </si>
  <si>
    <t>67: Flowering finishing (70% petals fallen)</t>
  </si>
  <si>
    <t>73: 30% of berries full size</t>
  </si>
  <si>
    <t>77: Advanced berry filling</t>
  </si>
  <si>
    <t>93: Most leaves yellowish</t>
  </si>
  <si>
    <t>95: 50% of leaves brownish</t>
  </si>
  <si>
    <t>Radish</t>
  </si>
  <si>
    <t>85: 50% of the fruits ripe</t>
  </si>
  <si>
    <t>89: Fully ripe</t>
  </si>
  <si>
    <t>Rice</t>
  </si>
  <si>
    <t>03: Seed imbibition complete (pigeon breast)</t>
  </si>
  <si>
    <t>05: Radicle emerged from caryopsis</t>
  </si>
  <si>
    <t>06: Radicle elongated, root hairs and/or side roots visible</t>
  </si>
  <si>
    <t>07: Coleoptile emerged from caryopsis</t>
  </si>
  <si>
    <t>09: Imperfect leaf emerges</t>
  </si>
  <si>
    <t>10: Imperfect leaf unrolled, tip of first true leaf visible</t>
  </si>
  <si>
    <t xml:space="preserve">22: 2 tillers detectable </t>
  </si>
  <si>
    <t>29: Stages continuous till maximum number of tillers detectable</t>
  </si>
  <si>
    <t>30: panicle initation or green ring stage</t>
  </si>
  <si>
    <t>32: Panicle formation</t>
  </si>
  <si>
    <t>34: Internode elongation or jointing stgae</t>
  </si>
  <si>
    <t>37: Flag leaf just visible</t>
  </si>
  <si>
    <t>39: Flag leaf stage: Flag leaf unfolded</t>
  </si>
  <si>
    <t>41: Early boot stage: upper part of stem slightly thickened</t>
  </si>
  <si>
    <t>43: Mid boot stage: sheath of flag leaf 5–10 cm out of the penultimate leaf sheath</t>
  </si>
  <si>
    <t>49: Flag leaf sheath open</t>
  </si>
  <si>
    <t>51: Beginning of panicle emergence</t>
  </si>
  <si>
    <t>52: 20% of panicle emerged</t>
  </si>
  <si>
    <t>53: 30% of panicle emerged</t>
  </si>
  <si>
    <t>54: 40% of panicle emerged</t>
  </si>
  <si>
    <t>55: Middle of panicle emergence: neck node still in sheath</t>
  </si>
  <si>
    <t>56: 60% of panicle emerged</t>
  </si>
  <si>
    <t>57: 70% of panicle emerged</t>
  </si>
  <si>
    <t>58: 80% of panicle emerged</t>
  </si>
  <si>
    <t>59: End of panicle emergence</t>
  </si>
  <si>
    <t xml:space="preserve">61: Beginning of flowering: anthers visible at top of panicle </t>
  </si>
  <si>
    <t xml:space="preserve">65: Full flowering: anthers visible on most spikelets </t>
  </si>
  <si>
    <t>75: Medium milk: grain content milky</t>
  </si>
  <si>
    <t>83: Early dough</t>
  </si>
  <si>
    <t>97: Plant dead and collapsing</t>
  </si>
  <si>
    <t>92: Over-ripe leaves</t>
  </si>
  <si>
    <t>85: Soft dough</t>
  </si>
  <si>
    <t>87: Hard dough</t>
  </si>
  <si>
    <t>99: Harvested product (sponge)</t>
  </si>
  <si>
    <t>01: Beginning of imbibition: seeds begins to take up water</t>
  </si>
  <si>
    <t>03: Seed imbibition complete (pellet cracked)</t>
  </si>
  <si>
    <t>05: Radicle emerged from seed (pellet)</t>
  </si>
  <si>
    <t>07: Shoot emerged from seed (pellet)</t>
  </si>
  <si>
    <t>09: Emergence: shoot emerges through soil surface</t>
  </si>
  <si>
    <t>10: First leaf visible (pinhead-size): cotyledons horizontally unfolded</t>
  </si>
  <si>
    <t>11: First pair of leaves visible, not yet unfolded (pea-size)</t>
  </si>
  <si>
    <t>12: 2 leaves (first pair of leaves) unfolded</t>
  </si>
  <si>
    <t>14: 4 leaves (2nd pair of leaves) unfolded</t>
  </si>
  <si>
    <t>19:Stages continuous till 9 and more leaves unfolded</t>
  </si>
  <si>
    <t>31: Beginning of crop cover: leaves cover 10% of ground</t>
  </si>
  <si>
    <t>32: Leaves cover 20% of ground</t>
  </si>
  <si>
    <t>33: Leaves cover 30% of ground</t>
  </si>
  <si>
    <t>34: Leaves cover 40% of ground</t>
  </si>
  <si>
    <t>35: Leaves cover 50% of ground</t>
  </si>
  <si>
    <t>36: Leaves cover 60% of ground</t>
  </si>
  <si>
    <t>37: Leaves cover 70% of ground</t>
  </si>
  <si>
    <t>38: Leaves cover 80% of ground</t>
  </si>
  <si>
    <t>39: Crop cover complete: leaves cover 90% of ground</t>
  </si>
  <si>
    <t>49: Beet root has reached harvestable size</t>
  </si>
  <si>
    <t>51: Beginning of elongation of main stem</t>
  </si>
  <si>
    <t>52: Main stem 20 cm long</t>
  </si>
  <si>
    <t>53: Side shoot buds visible on main stem</t>
  </si>
  <si>
    <t>54: Side shoots clearly visible on main stem</t>
  </si>
  <si>
    <t>55: First individual flower buds on side shoots visible</t>
  </si>
  <si>
    <t>59: First bracts visible; flower buds still closed</t>
  </si>
  <si>
    <t>62:20% of flowers open</t>
  </si>
  <si>
    <t>67: Flowering declining: 70% of flowers open or dry</t>
  </si>
  <si>
    <t>69: End of flowering: all flowers dry, fruit set visible</t>
  </si>
  <si>
    <t>71: Beginning of seed development: seeds visible in infructescence</t>
  </si>
  <si>
    <t>75: Pericarp green</t>
  </si>
  <si>
    <t>81: Beginning of ripening: pericarp green-brown, seed coat light brown</t>
  </si>
  <si>
    <t>85: Pericarp light brown, seed coat reddish brown</t>
  </si>
  <si>
    <t>87: Pericarp hard, seed coat dark brown</t>
  </si>
  <si>
    <t>89: Fully ripe: seed coat final colou</t>
  </si>
  <si>
    <t>91: Beginning of leaf discolouration</t>
  </si>
  <si>
    <t>97: Leaves dead</t>
  </si>
  <si>
    <t>Sunflower</t>
  </si>
  <si>
    <t xml:space="preserve">00: Dry seed (achene) </t>
  </si>
  <si>
    <t xml:space="preserve">01: Beginning of seed imbibition </t>
  </si>
  <si>
    <t xml:space="preserve">03: Seed imbibition complete </t>
  </si>
  <si>
    <t xml:space="preserve">05: Radicle emerged from seed </t>
  </si>
  <si>
    <t xml:space="preserve">06: Radicle elongated, root hairs developing </t>
  </si>
  <si>
    <t xml:space="preserve">07: Hypocotyl with cotyledons emerged from seed </t>
  </si>
  <si>
    <t xml:space="preserve">08: Hypocotyl with cotyledons growing towards soil surface </t>
  </si>
  <si>
    <t>09: Emergence: cotyledons emerge through soil surface</t>
  </si>
  <si>
    <t>12: 2 leaves (first pair) unfolded</t>
  </si>
  <si>
    <t>14: 4 leaves (second pair) unfolded</t>
  </si>
  <si>
    <t>19: 9 or more leaves unfolded</t>
  </si>
  <si>
    <t>39: 9 or more visibly extended internodes</t>
  </si>
  <si>
    <t>51: Inflorescence just visible between youngest leaves</t>
  </si>
  <si>
    <t>53: Inflorescence separating from youngest leaves, bracts</t>
  </si>
  <si>
    <t>55: Inflorescence separated from youngest foliage leaf</t>
  </si>
  <si>
    <t>57: Inflorescence clearly separated from foliage leaves</t>
  </si>
  <si>
    <t>59: Ray florets visible between the bracts; inflorescence still closed</t>
  </si>
  <si>
    <t>61: Beginning of flowering:ray florets extended,</t>
  </si>
  <si>
    <t>63: Disc florets in outer third of inflorescence in bloom</t>
  </si>
  <si>
    <t>65: Full flowering: disc florets in middle third of inflorescence</t>
  </si>
  <si>
    <t>67: Flowering declining:</t>
  </si>
  <si>
    <t>71: Seeds on outer edge of the inflorescence</t>
  </si>
  <si>
    <t>73: Seeds on outer third of the inflorescence</t>
  </si>
  <si>
    <t>75: Seeds on middle third of the inflorescence</t>
  </si>
  <si>
    <t>79: Seeds on inner third of the inflorescence</t>
  </si>
  <si>
    <t>80: Beginning of ripening</t>
  </si>
  <si>
    <t>81: Seeds on outer third of anthocarp dark and hard</t>
  </si>
  <si>
    <t>83: Dark of anthocarp yellowish-green, bracts still green.</t>
  </si>
  <si>
    <t>85: Seeds on middle third of anthocarp</t>
  </si>
  <si>
    <t>87: Physiological ripeness</t>
  </si>
  <si>
    <t>92: Over ripe, seeds over 90% dry matter</t>
  </si>
  <si>
    <t>99: Harvested product (achenes)</t>
  </si>
  <si>
    <t>Turnip</t>
  </si>
  <si>
    <t>41: Roots beginning to expand (diameter &gt; 0.5 cm)</t>
  </si>
  <si>
    <t>Watermelon</t>
  </si>
  <si>
    <t>59: Nine or more flower initials visible</t>
  </si>
  <si>
    <t>HI</t>
  </si>
  <si>
    <t>Yield_t/ha</t>
  </si>
  <si>
    <t>Drought</t>
  </si>
  <si>
    <t>Sadiq-21</t>
  </si>
  <si>
    <t>Alfalfa</t>
  </si>
  <si>
    <t>05: Radicle emerged</t>
  </si>
  <si>
    <t>07: Shoot breaking seed coat</t>
  </si>
  <si>
    <t>08: Hypocotyl/cotyledons growing upward</t>
  </si>
  <si>
    <t>09: Emergence above soil</t>
  </si>
  <si>
    <t>10: Cotyledons unfolded</t>
  </si>
  <si>
    <t>11: First trifoliate leaf</t>
  </si>
  <si>
    <t>12: Second trifoliate leaf</t>
  </si>
  <si>
    <t>13: Third trifoliate leaf</t>
  </si>
  <si>
    <t>19: None or more trifoliates unfolded</t>
  </si>
  <si>
    <t>21: First side shoot detectable</t>
  </si>
  <si>
    <t>22: Two side shoots detectable</t>
  </si>
  <si>
    <t>23: Three side shoots detectable</t>
  </si>
  <si>
    <t>29: Many side shoots detectable</t>
  </si>
  <si>
    <t>31: One internode visibly extended</t>
  </si>
  <si>
    <t>32: Two internodes visibly extended</t>
  </si>
  <si>
    <t>39: Nine or more internodes visibly extended</t>
  </si>
  <si>
    <t>50: Flower buds enclosed (inflorescence emergence)</t>
  </si>
  <si>
    <t>51: Buds visible (green bud)</t>
  </si>
  <si>
    <t>55: Individual buds visible (closed)</t>
  </si>
  <si>
    <t>59: First petals visible (closed)</t>
  </si>
  <si>
    <t>61: 10% flowering</t>
  </si>
  <si>
    <t>65: Full flowering (~50%)</t>
  </si>
  <si>
    <t>71: First pods visible</t>
  </si>
  <si>
    <t>75: 50% pods developed</t>
  </si>
  <si>
    <t>79: Nearly all pods developed</t>
  </si>
  <si>
    <t>80: Beginning of ripening (seed filling)</t>
  </si>
  <si>
    <t>85:~50% pods ripe</t>
  </si>
  <si>
    <t>Banana</t>
  </si>
  <si>
    <t>01: Sucker emergence begins (shoot tip breaking soil surface)</t>
  </si>
  <si>
    <t>05: Sucker emergence complete (pseudostem visible)</t>
  </si>
  <si>
    <t>09: First True leaf emergence visible</t>
  </si>
  <si>
    <t>10: First unfurled leaf</t>
  </si>
  <si>
    <t>11: Second leaf unfurled</t>
  </si>
  <si>
    <t>15: Five leaves unfurled</t>
  </si>
  <si>
    <t>19: Nine or more leaves unfurled (vegetative canopy established)</t>
  </si>
  <si>
    <t>Stage 3: Pseudostem / Shoot Development</t>
  </si>
  <si>
    <t>30: Rapid pseudostem elongation begins</t>
  </si>
  <si>
    <t>33: Mid elongation</t>
  </si>
  <si>
    <t>39: Pseudostem nearly full height</t>
  </si>
  <si>
    <t>50: Flower bud initiation (hidden in pseudostem)</t>
  </si>
  <si>
    <t>55: Bell approaching throat</t>
  </si>
  <si>
    <t>59: Bell emergence (“shooting” stage)</t>
  </si>
  <si>
    <t>60: First female hands (clusters) visible</t>
  </si>
  <si>
    <t>61: All female flowers emerged</t>
  </si>
  <si>
    <t>65: First male flowers visible</t>
  </si>
  <si>
    <t>69: End of flowering (male bud visible at tip)</t>
  </si>
  <si>
    <t>71: Fruit set (first fruits visible)</t>
  </si>
  <si>
    <t>75: Fruit filling (rapid increase in size)</t>
  </si>
  <si>
    <t>79: Fruit has reached maximum size</t>
  </si>
  <si>
    <t>81: Fruit physiologically mature (green but full size)</t>
  </si>
  <si>
    <t>85: Fruit color starts changing (green → yellow)</t>
  </si>
  <si>
    <t>89: Fruit fully ripe (yellow)</t>
  </si>
  <si>
    <t>91: Post-harvest pseudostem still green</t>
  </si>
  <si>
    <t>97: Pseudostem drying and dying</t>
  </si>
  <si>
    <t>99: Pseudostem completely dead – ratoon sucker ready to take over</t>
  </si>
  <si>
    <t>Cassava</t>
  </si>
  <si>
    <t xml:space="preserve">00: Dormant stem cutting </t>
  </si>
  <si>
    <t xml:space="preserve">05: Sprout initiation (buds swelling) </t>
  </si>
  <si>
    <t>09: Emergence complete (first shoots visible)</t>
  </si>
  <si>
    <t>10: First true leaf unfolded</t>
  </si>
  <si>
    <t xml:space="preserve">12: Two leaves unfolded </t>
  </si>
  <si>
    <t>15: Five leaves unfolded</t>
  </si>
  <si>
    <t>19: Canopy established (9+ leaves)</t>
  </si>
  <si>
    <t>31: Stem elongation begins</t>
  </si>
  <si>
    <t>35: Mid elongation</t>
  </si>
  <si>
    <t>39: Maximum vegetative height</t>
  </si>
  <si>
    <t>41: Storage root initiation</t>
  </si>
  <si>
    <t>45: Root bulking begins</t>
  </si>
  <si>
    <t>49: Roots well developed</t>
  </si>
  <si>
    <t>51: Inflorescence buds visible</t>
  </si>
  <si>
    <t>59: Inflorescence fully emerged</t>
  </si>
  <si>
    <t>61: First flowers open</t>
  </si>
  <si>
    <t>71: Initial bulking</t>
  </si>
  <si>
    <t>75: Rapid root filling</t>
  </si>
  <si>
    <t>79: Maximum root size</t>
  </si>
  <si>
    <t>81: Roots physiologically mature</t>
  </si>
  <si>
    <t>85: Roots over-mature (fibrous)</t>
  </si>
  <si>
    <t>91: Leaves begin yellowing</t>
  </si>
  <si>
    <t>97: Shoot drying</t>
  </si>
  <si>
    <t>99: Plant completely senescent</t>
  </si>
  <si>
    <t>Citrus</t>
  </si>
  <si>
    <t>00: Dormancy: leaf and inflorescence buds undifferentiated,</t>
  </si>
  <si>
    <t>01: Beginning of bud swelling</t>
  </si>
  <si>
    <t>03: End of bud swelling: green scales slightly separated</t>
  </si>
  <si>
    <t>07: Beginning of bud burst</t>
  </si>
  <si>
    <t>09: Green leaf tips visible</t>
  </si>
  <si>
    <t>10: First leaves separating: green scales slightly open, leaves emerging</t>
  </si>
  <si>
    <t>11: First leaves visible</t>
  </si>
  <si>
    <t>15: More leaves visible, not yet at full size</t>
  </si>
  <si>
    <t>19: First leaves fully expanded</t>
  </si>
  <si>
    <t>31: Beginning of shoot growth: axes of developing shoots visible</t>
  </si>
  <si>
    <t>32: Shoots about 20% of final length</t>
  </si>
  <si>
    <t>39: Shoots about 90% of final length</t>
  </si>
  <si>
    <t>51: Inflorescence buds swelling: buds closed,light green scales visible</t>
  </si>
  <si>
    <t>53: Bud burst: scales separated, floral tips visible</t>
  </si>
  <si>
    <t>55: Flowers visible, still closed (green bud), borne on single</t>
  </si>
  <si>
    <t>56: Flower petals elongating; sepals covering half corolla</t>
  </si>
  <si>
    <t>57: Sepals open: petal tips visible</t>
  </si>
  <si>
    <t>59: Most flowers with petals forming a hollow ball</t>
  </si>
  <si>
    <t>61: Beginning of flowering: about 10% of flowers open</t>
  </si>
  <si>
    <t>65: Full flowering: 50% of flowers open; first petals falling</t>
  </si>
  <si>
    <t>67: Flowers fading: majority of petals fallen</t>
  </si>
  <si>
    <t>69: End of flowering: all petals fallen</t>
  </si>
  <si>
    <t>71: Fruit set; beginning of ovary growth</t>
  </si>
  <si>
    <t>72: Green fruit surrounded by sepal crown</t>
  </si>
  <si>
    <t>73: Some fruits slightly yellow: beginning of physiological fruit drop</t>
  </si>
  <si>
    <t>74: Fruits about 40% of final size</t>
  </si>
  <si>
    <t>79: Fruits about 90% of final size</t>
  </si>
  <si>
    <t>81: Beginning of fruit colouring (colour-break)</t>
  </si>
  <si>
    <t xml:space="preserve">83: Fruit ripe for picking; </t>
  </si>
  <si>
    <t>85: Advanced ripening; increase in intensity of variety-specific colour</t>
  </si>
  <si>
    <t xml:space="preserve">89: Fruit ripe for consumption; </t>
  </si>
  <si>
    <t>91: Shoot growth complete; foliage fully green</t>
  </si>
  <si>
    <t>93: Beginning of senescense and abscission of old leaves</t>
  </si>
  <si>
    <t>97: Winter dormancy period</t>
  </si>
  <si>
    <t>09: Emergence: Shoot breaks through soil surface (“cracking stage”)</t>
  </si>
  <si>
    <t>12: First leaf pair unfolded</t>
  </si>
  <si>
    <t>13: First trifoliate leaf unfolded</t>
  </si>
  <si>
    <t>19: More than 9 (2 full leaves, 7 or more trifoliate) unfolded</t>
  </si>
  <si>
    <t>22: Second side shoot visible</t>
  </si>
  <si>
    <t>23: Third side shoot visible</t>
  </si>
  <si>
    <t>29: 9 or more side shoots visible</t>
  </si>
  <si>
    <t>Napier Grass</t>
  </si>
  <si>
    <t>00: Planting material dormant (cutting/split placed)</t>
  </si>
  <si>
    <t>01: Buds swell on nodes; callus/root initials</t>
  </si>
  <si>
    <t>05: Adventitious roots visible from nodes</t>
  </si>
  <si>
    <t>07: First shoots break the soil surface</t>
  </si>
  <si>
    <t>09: Emergence complete (first leaf unfolding)</t>
  </si>
  <si>
    <t>11: First true leaf fully unfolded</t>
  </si>
  <si>
    <t>19: ≥9 leaves unfolded</t>
  </si>
  <si>
    <t>21: First tiller visible</t>
  </si>
  <si>
    <t>22: Second tiller visible</t>
  </si>
  <si>
    <t>23: Third tiller visible</t>
  </si>
  <si>
    <t>29: Many tillers visible; clump established</t>
  </si>
  <si>
    <t>31: First node detectable; elongation starts</t>
  </si>
  <si>
    <t>33: 3 nodes detectable / clear height increase</t>
  </si>
  <si>
    <t>35: ~50% of vegetative height</t>
  </si>
  <si>
    <t>37: ~70% of vegetative height; dense canopy</t>
  </si>
  <si>
    <t>39: Maximum vegetative height (pre‑boot)</t>
  </si>
  <si>
    <t>41: Flag leaf sheath extending</t>
  </si>
  <si>
    <t>45: Boot swollen (head enlarging in sheath)</t>
  </si>
  <si>
    <t>49: Tip of inflorescence just below sheath</t>
  </si>
  <si>
    <t>51: First inflorescences visible</t>
  </si>
  <si>
    <t>55: ~50% heads emerged</t>
  </si>
  <si>
    <t>59: Heads fully emerged across stand</t>
  </si>
  <si>
    <t>61: Beginning of flowering (anthers visible)</t>
  </si>
  <si>
    <t>65: Full flowering (~50% heads in anthesis)</t>
  </si>
  <si>
    <t>71: Early seed fill (milk)</t>
  </si>
  <si>
    <t>75: Mid seed fill (soft dough)</t>
  </si>
  <si>
    <t>79: Hard seed stage</t>
  </si>
  <si>
    <t>81: Seed physiological maturity begins</t>
  </si>
  <si>
    <t>85: Advanced ripening</t>
  </si>
  <si>
    <t>89: Fully ripe seed</t>
  </si>
  <si>
    <t>91: Lower leaves yellowing on older tillers</t>
  </si>
  <si>
    <t>97: Culms/leaves largely dry if left uncut</t>
  </si>
  <si>
    <t>99: Stand cut/harvested; ratoon regrowth starts</t>
  </si>
  <si>
    <t>Buckwheat</t>
  </si>
  <si>
    <t>03: Imbibition complete</t>
  </si>
  <si>
    <t>08: Hypocotyl arch visible; shoot growing toward soil surface</t>
  </si>
  <si>
    <t>09: Emergence: shoot breaks through soil surface</t>
  </si>
  <si>
    <t>19: 9 or more true leaves unfolded (rosette/canopy established)</t>
  </si>
  <si>
    <t>31:  Beginning of stem elongation (internodes extending)</t>
  </si>
  <si>
    <t>33: 30% of typical plant height</t>
  </si>
  <si>
    <t>35: 50% of typical plant height</t>
  </si>
  <si>
    <t>36: 60% of typical plant height</t>
  </si>
  <si>
    <t>39: 90% of typical plant height (pre-bud canopy)</t>
  </si>
  <si>
    <t>71: 10% achenes reached typical size (green)</t>
  </si>
  <si>
    <t>75: 50% achenes typical size</t>
  </si>
  <si>
    <t>79: Achenes well formed; seed cavity full</t>
  </si>
  <si>
    <t>81: 10% achenes turning brown/black (begin colour change)</t>
  </si>
  <si>
    <t>85: 50% achenes ripe</t>
  </si>
  <si>
    <t>89: Fully ripe: majority of achenes dark, hard (harvest maturity window)</t>
  </si>
  <si>
    <t>91: Beginning leaf yellowing</t>
  </si>
  <si>
    <t>95: 50% leaves brown/dry</t>
  </si>
  <si>
    <t>97: Plants dead/drydown advanced</t>
  </si>
  <si>
    <t>Jatropha</t>
  </si>
  <si>
    <t>00: Dry seed (or dormant cutting)</t>
  </si>
  <si>
    <t>01: Seed imbibition begins</t>
  </si>
  <si>
    <t>07: Hypocotyl/epicotyl breaking seed coat (or buds on cutting swelling)</t>
  </si>
  <si>
    <t>08: Hypocotyl arch visible; shoot moving to soil surface</t>
  </si>
  <si>
    <t>09: Emergence: cotyledons visible above soil (or first shoot from cutting)</t>
  </si>
  <si>
    <t>10: Cotyledons fully unfolded</t>
  </si>
  <si>
    <t>11: 1st true leaf pair unfolded</t>
  </si>
  <si>
    <t>12: 2nd true leaf pair unfolded</t>
  </si>
  <si>
    <t>13: 3rd true leaf pair unfolded</t>
  </si>
  <si>
    <t>19: 9+ true leaves unfolded (juvenile canopy formed)</t>
  </si>
  <si>
    <t>21: First lateral shoot visible</t>
  </si>
  <si>
    <t>22: Second lateral shoot visible</t>
  </si>
  <si>
    <t>23: Third lateral shoot visible</t>
  </si>
  <si>
    <t>29: Numerous laterals visible; framework branching established</t>
  </si>
  <si>
    <t>31: Internode elongation begins</t>
  </si>
  <si>
    <t>33: Vegetative growth vigorous; 3+ actively elongating nodes</t>
  </si>
  <si>
    <t>35: ~50% of typical seasonal shoot length</t>
  </si>
  <si>
    <t>39: Seasonal shoot length near maximum; pre‑flowering canopy</t>
  </si>
  <si>
    <t>51: First inflorescence buds visible at tips/axils</t>
  </si>
  <si>
    <t>53: Bud clusters enlarging; individual buds separable</t>
  </si>
  <si>
    <t>55: Flower buds well formed, still closed</t>
  </si>
  <si>
    <t>59: First corollas visible; flower opening imminent</t>
  </si>
  <si>
    <t>60: First open flowers (sporadic)</t>
  </si>
  <si>
    <t>61: ~10% flowers open</t>
  </si>
  <si>
    <t>62: 20–40% flowers open</t>
  </si>
  <si>
    <t>65: Full bloom (~50% flowers open)</t>
  </si>
  <si>
    <t>67: Flowering ending; petal fall</t>
  </si>
  <si>
    <t>69: End of flowering; first tiny green capsules visible</t>
  </si>
  <si>
    <t>71: 10% of capsules at typical size (green)</t>
  </si>
  <si>
    <t>75: 50% capsules at typical size</t>
  </si>
  <si>
    <t>79: Capsules well formed; seeds filling</t>
  </si>
  <si>
    <t>82: 20–80% capsules ripening; seed moisture declining</t>
  </si>
  <si>
    <t>89: Fully ripe: dry brown/black capsules; seeds hard (harvest)</t>
  </si>
  <si>
    <t>91: Leaves begin to yellow (dry‑season onset)</t>
  </si>
  <si>
    <t>93: Marked leaf drop; shoots harden</t>
  </si>
  <si>
    <t>97: Seasonal dormancy (deciduous in dry climates)</t>
  </si>
  <si>
    <t>99: Harvest completed / pruning; next flush restarts cycle</t>
  </si>
  <si>
    <t>29: Stage continuous till 9 or more side shoots detectable</t>
  </si>
  <si>
    <t>39: Stage continuous till 9 or more visibly extended internodes</t>
  </si>
  <si>
    <t>Pigeon Pea</t>
  </si>
  <si>
    <t>19: Stage continuous till 9 or more leaves unfolded</t>
  </si>
  <si>
    <t>Reed Canary Seed</t>
  </si>
  <si>
    <t>00: Rhizomes/tillers dormant</t>
  </si>
  <si>
    <t>01: Bud swelling on rhizomes begins</t>
  </si>
  <si>
    <t>05: First new roots appear</t>
  </si>
  <si>
    <t>07: Shoots elongate toward soil surface</t>
  </si>
  <si>
    <t>09: Emergence complete (first green leaf visible)</t>
  </si>
  <si>
    <t>19: 9 or more leaves unfolded (canopy established)</t>
  </si>
  <si>
    <t>29: Maximum tiller number reached</t>
  </si>
  <si>
    <t>31: First node detectable (stem elongation begins)</t>
  </si>
  <si>
    <t>32: Second node detectable</t>
  </si>
  <si>
    <t>33: Third node detectable</t>
  </si>
  <si>
    <t>37: Flag leaf sheath swelling</t>
  </si>
  <si>
    <t>39: Stem elongation complete (pre-boot)</t>
  </si>
  <si>
    <t>41: Boot stage begins</t>
  </si>
  <si>
    <t>45: Boot swollen</t>
  </si>
  <si>
    <t>49: Inflorescence just below sheath</t>
  </si>
  <si>
    <t>51: First panicles emerging</t>
  </si>
  <si>
    <t>55: 50% panicles emerged</t>
  </si>
  <si>
    <t>59: All panicles fully emerged</t>
  </si>
  <si>
    <t>61: First florets shedding pollen</t>
  </si>
  <si>
    <t>65: Full flowering (50% florets open)</t>
  </si>
  <si>
    <t>71: Early milk stage</t>
  </si>
  <si>
    <t>75: Dough stage</t>
  </si>
  <si>
    <t>81: Beginning of ripening</t>
  </si>
  <si>
    <t>85: Panicles yellow/brown</t>
  </si>
  <si>
    <t>89: Fully ripe (seeds dry)</t>
  </si>
  <si>
    <t>91: Start of leaf yellowing</t>
  </si>
  <si>
    <t>95: 50% foliage brown/dry</t>
  </si>
  <si>
    <t>97: Aboveground biomass fully senesced</t>
  </si>
  <si>
    <t>99: Complete dormancy</t>
  </si>
  <si>
    <t>Olive</t>
  </si>
  <si>
    <t>01: Foliar buds start to swell and open</t>
  </si>
  <si>
    <t>03: Foliar buds lengthen and separate from the base</t>
  </si>
  <si>
    <t>07: External small leaves open</t>
  </si>
  <si>
    <t>09: External small leaves opening further with their tips inter
crossing</t>
  </si>
  <si>
    <t>11: First leaves completely separated. Grey-greenish coloured</t>
  </si>
  <si>
    <t>15: The leaves are more separated without reaching their final size</t>
  </si>
  <si>
    <t>19: Leaves reach typical variety size / shape</t>
  </si>
  <si>
    <t>50: Inflorescence buds in leaf axiles are completely closed</t>
  </si>
  <si>
    <t>52: Inflorescence buds open. Flower cluster development starts</t>
  </si>
  <si>
    <t>54: Flower cluster growing</t>
  </si>
  <si>
    <t>55: Flower cluster totally expanded</t>
  </si>
  <si>
    <t>57: The corolla, green-coloured, is longer than calyx</t>
  </si>
  <si>
    <t>59: The corolla changes from green to white colour</t>
  </si>
  <si>
    <t xml:space="preserve">60: First flowers open </t>
  </si>
  <si>
    <t>68: Majority of petals fallen or faded</t>
  </si>
  <si>
    <t xml:space="preserve">81: Begining of fruit colouring </t>
  </si>
  <si>
    <t>89: Harvest maturity: fruits get the typical variety colour</t>
  </si>
  <si>
    <t>92: Overripe: fruits lose turgidity and start to fall</t>
  </si>
  <si>
    <t>31: Shoots reach 10% of final size.</t>
  </si>
  <si>
    <t xml:space="preserve">33: Shoots reach 30% of final size </t>
  </si>
  <si>
    <t>37: Shoots reach 70% of final size</t>
  </si>
  <si>
    <t xml:space="preserve">71: Fruit size about 10% of final size </t>
  </si>
  <si>
    <t>00: Foliar buds at the apex of shoots grown the previous crop-year are completely closed</t>
  </si>
  <si>
    <t>Tobacco</t>
  </si>
  <si>
    <t>01: Beginning of imbibition</t>
  </si>
  <si>
    <t>06: Radicle elongated, root hairs developing</t>
  </si>
  <si>
    <t>08: Hypocotyl growing towards soil surface</t>
  </si>
  <si>
    <t>09: Emergence: cotyledons breaking through soil surface</t>
  </si>
  <si>
    <t>11: 1st true leaf unfolded</t>
  </si>
  <si>
    <t>12: 2 true leaves unfolded</t>
  </si>
  <si>
    <t>13: 3 true leaves unfolded</t>
  </si>
  <si>
    <t>15: 5 true leaves unfolded</t>
  </si>
  <si>
    <t>18: 8 true leaves unfolded</t>
  </si>
  <si>
    <t>19: 9 or more true leaves unfolded (rosette established)</t>
  </si>
  <si>
    <t>20: No visible suckers</t>
  </si>
  <si>
    <t>21: First axillary bud/sucker visible</t>
  </si>
  <si>
    <t>22: Second sucker visible</t>
  </si>
  <si>
    <t>23: Third sucker visible</t>
  </si>
  <si>
    <t>29: Many suckers visible (prior to chemical/mechanical control)</t>
  </si>
  <si>
    <t>30: Stem elongation begins (first internodes extend)</t>
  </si>
  <si>
    <t>31: 1 internode clearly extended</t>
  </si>
  <si>
    <t>32: 2 internodes extended</t>
  </si>
  <si>
    <t>33: 3 internodes extended</t>
  </si>
  <si>
    <t>35: ~50% of final plant height</t>
  </si>
  <si>
    <t>39: Stem elongation nearly complete; upper leaves expanding</t>
  </si>
  <si>
    <t>41: Lower (lugs) leaves reach typical size</t>
  </si>
  <si>
    <t>43: Middle (cutters) leaves reach typical size</t>
  </si>
  <si>
    <t>45: Upper (leaf/tip) leaves reach typical size</t>
  </si>
  <si>
    <t>49: Canopy at harvestable maturity class</t>
  </si>
  <si>
    <t>50: Flower bud present (enclosed)</t>
  </si>
  <si>
    <t>51: “Green bud” visible above top leaves</t>
  </si>
  <si>
    <t>53: Bud raised above leaves; cluster visible</t>
  </si>
  <si>
    <t>55: Individual flower buds visible, still closed</t>
  </si>
  <si>
    <t>59: First petals visible (pre-anthesis)</t>
  </si>
  <si>
    <t>71: Young capsules set; ~10% final size</t>
  </si>
  <si>
    <t>75: Capsules ~50% size (seed filling begins)</t>
  </si>
  <si>
    <t>79: Capsules ~90% size</t>
  </si>
  <si>
    <t>81: Capsules turning yellow-brown; seeds browning</t>
  </si>
  <si>
    <t>85: Seed colour deepens; moisture declining</t>
  </si>
  <si>
    <t>89: Seed fully ripe</t>
  </si>
  <si>
    <t>91: Lower leaf yellowing begins</t>
  </si>
  <si>
    <t>95: ~50% leaves yellowing/brown (untopped plants)</t>
  </si>
  <si>
    <t>97: Plant dry/senesced</t>
  </si>
  <si>
    <t>Sugarcane</t>
  </si>
  <si>
    <t>00: Setts dormant (buds intact)</t>
  </si>
  <si>
    <t>01: Bud swelling / imbibition begins</t>
  </si>
  <si>
    <t>03: Bud sprouting visible on setts</t>
  </si>
  <si>
    <t>05: Root initials emerge from nodes</t>
  </si>
  <si>
    <t>07: Shoots elongate within soil</t>
  </si>
  <si>
    <t>09: Emergence (first green leaf visible)</t>
  </si>
  <si>
    <t>10: First leaf fully expanded (collar visible)</t>
  </si>
  <si>
    <t>11: Second leaf expanded</t>
  </si>
  <si>
    <t>12: 3–8 leaves expanded</t>
  </si>
  <si>
    <t>19: ≥9 leaves expanded (active canopy)</t>
  </si>
  <si>
    <t>21: First primary tiller visible</t>
  </si>
  <si>
    <t>22: Two tillers visible</t>
  </si>
  <si>
    <t>23: Three tillers visible</t>
  </si>
  <si>
    <t>25: Rapid tiller increase</t>
  </si>
  <si>
    <t>29: Maximum tillering (shoot population peak)</t>
  </si>
  <si>
    <t>30: Internode elongation begins</t>
  </si>
  <si>
    <t>31: ~10% of typical final height</t>
  </si>
  <si>
    <t>32: ~20% of final height</t>
  </si>
  <si>
    <t>33: ~30% of final height</t>
  </si>
  <si>
    <t>35: ~50% of final height (peak biomass gain)</t>
  </si>
  <si>
    <t>37: ~70% of final height</t>
  </si>
  <si>
    <t>39: ~90% of final height; canopy closed</t>
  </si>
  <si>
    <t>41: Internode formation obvious; rind hardening begins</t>
  </si>
  <si>
    <t>43: Diameter increase; fiber deposition rising</t>
  </si>
  <si>
    <t>45: Majority of stalks well‑formed internodes</t>
  </si>
  <si>
    <t>47: Diameter near typical size; tops vegetative</t>
  </si>
  <si>
    <t>49: Vegetative growth completed; structural maturity</t>
  </si>
  <si>
    <t>51: Arrow initiation (inside top sheath)</t>
  </si>
  <si>
    <t>55: Arrow emerging above upper leaves</t>
  </si>
  <si>
    <t>59: Arrow fully emerged</t>
  </si>
  <si>
    <t>60: First spikelets shedding pollen</t>
  </si>
  <si>
    <t>69: Flowering finished</t>
  </si>
  <si>
    <t>71: Early sugar build‑up; Brix rising</t>
  </si>
  <si>
    <t>73: Uniform sugar rise; purity improving</t>
  </si>
  <si>
    <t>75: High sucrose; moisture declining</t>
  </si>
  <si>
    <t>79: Peak sugar accumulation (pre‑harvest window)</t>
  </si>
  <si>
    <t>81: Tops still green; high Pol in lower/mid internodes</t>
  </si>
  <si>
    <t>85: Optimal milling maturity (target CCS/Pol)</t>
  </si>
  <si>
    <t>89: Harvest ripe</t>
  </si>
  <si>
    <t>91: Top leaves yellowing</t>
  </si>
  <si>
    <t>95: Lower leaves dry; stalk moisture low</t>
  </si>
  <si>
    <t>97: Field‑dry canes; tops dry</t>
  </si>
  <si>
    <t>99: Harvested product (stalks cut)</t>
  </si>
  <si>
    <t>Sweet Potato</t>
  </si>
  <si>
    <t>00: Dormant propagule (seed or unsprouted storage root)</t>
  </si>
  <si>
    <t>01: Imbibition begins / bud swelling on storage root</t>
  </si>
  <si>
    <t>03: Imbibition complete; root initials begin</t>
  </si>
  <si>
    <t>07: Hypocotyl / sprout pushing upward</t>
  </si>
  <si>
    <t>09: Emergence above soil surface</t>
  </si>
  <si>
    <t>10: First leaves (or cotyledons) fully unfolded</t>
  </si>
  <si>
    <t>19: ≥9 leaves unfolded (leafing phase complete)</t>
  </si>
  <si>
    <t>21: Beginning of vine elongation (~10% canopy)</t>
  </si>
  <si>
    <t>29: Full canopy (~90%)</t>
  </si>
  <si>
    <t>31: First lateral vine visible</t>
  </si>
  <si>
    <t>32: Second lateral visible</t>
  </si>
  <si>
    <t>39: Many side shoots (bushy vines)</t>
  </si>
  <si>
    <t>Stage 4: Tuber Formation</t>
  </si>
  <si>
    <t>40: Tuber initiation (root thickening starts)</t>
  </si>
  <si>
    <t>43: 30% of final tuber mass</t>
  </si>
  <si>
    <t>45: 50% of final tuber mass</t>
  </si>
  <si>
    <t>47: 70% of final tuber mass</t>
  </si>
  <si>
    <t>49: Full tuber size / physiological maturity</t>
  </si>
  <si>
    <t>55: Buds enlarged</t>
  </si>
  <si>
    <t>61: 10% flowers open</t>
  </si>
  <si>
    <t>65: Full flowering (~50% flowers open)</t>
  </si>
  <si>
    <t>71: Fruits/pods set</t>
  </si>
  <si>
    <t>75: 50% fruit size</t>
  </si>
  <si>
    <t>79: Fruits at full size (unripe)</t>
  </si>
  <si>
    <t>85: 50% fruits ripe</t>
  </si>
  <si>
    <t>89: Nearly all fruits ripe</t>
  </si>
  <si>
    <t>92: Onset of leaf yellowing</t>
  </si>
  <si>
    <t>95: 50% foliage yellow/brown</t>
  </si>
  <si>
    <t>97: Plants fully dry</t>
  </si>
  <si>
    <t>Yam</t>
  </si>
  <si>
    <t>00: Dormant tuber (no visible growth)</t>
  </si>
  <si>
    <t>01: Bud swelling on tuber</t>
  </si>
  <si>
    <t>03: Sprout emergence begins</t>
  </si>
  <si>
    <t>05: Root initials and shoot elongation</t>
  </si>
  <si>
    <t>09: Shoot emergence above soil surface</t>
  </si>
  <si>
    <t>10: First leaf unfolded</t>
  </si>
  <si>
    <t>11: 2nd leaf unfolded</t>
  </si>
  <si>
    <t>12: 3rd leaf unfolded</t>
  </si>
  <si>
    <t>19: 9+ leaves unfolded; vine begins climbing</t>
  </si>
  <si>
    <t>22: 2nd lateral shoot visible</t>
  </si>
  <si>
    <t>23: 3rd lateral shoot visible</t>
  </si>
  <si>
    <t>29: Many side shoots, canopy spreading</t>
  </si>
  <si>
    <t>31: Vine elongation begins (~10% trellis height)</t>
  </si>
  <si>
    <t>35: ~50% canopy cover</t>
  </si>
  <si>
    <t>39: Full vine development (climbing complete)</t>
  </si>
  <si>
    <t>40: Tuber initiation (roots start thickening)</t>
  </si>
  <si>
    <t>41: ~10% of final tuber mass</t>
  </si>
  <si>
    <t>45: ~50% of final tuber mass (active bulking)</t>
  </si>
  <si>
    <t>47: ~70% of final tuber mass</t>
  </si>
  <si>
    <t>49: Physiological maturity – full tuber size</t>
  </si>
  <si>
    <t>65: 50% flowers open (full bloom)</t>
  </si>
  <si>
    <t>70: First capsules set</t>
  </si>
  <si>
    <t>75: 50% of capsules reached typical size</t>
  </si>
  <si>
    <t>79: Full capsule size (unripe)</t>
  </si>
  <si>
    <t>80: Beginning of capsule ripening</t>
  </si>
  <si>
    <t>81: 10% of capsules turning brown</t>
  </si>
  <si>
    <t>85: 50% capsules ripe</t>
  </si>
  <si>
    <t>89: Capsules fully mature</t>
  </si>
  <si>
    <t>91: Onset of leaf yellowing</t>
  </si>
  <si>
    <t>95: ~50% foliage yellow</t>
  </si>
  <si>
    <t>97: Vine fully dry</t>
  </si>
  <si>
    <t>99: Tuber harvest</t>
  </si>
  <si>
    <t>Tea</t>
  </si>
  <si>
    <t>00: Dormant bud (resting phase after pruning or dormancy)</t>
  </si>
  <si>
    <t>01: Bud swelling</t>
  </si>
  <si>
    <t>03: Bud burst, bud scales separating</t>
  </si>
  <si>
    <t>07: Green shoot visible, small leaves emerging</t>
  </si>
  <si>
    <t>09: First leaf tips visible</t>
  </si>
  <si>
    <t>12: Second leaf unfolded</t>
  </si>
  <si>
    <t>13: Third leaf unfolded (two leaves and a bud stage)</t>
  </si>
  <si>
    <t>19: Nine or more leaves unfolded</t>
  </si>
  <si>
    <t>21: First lateral shoot visible (after pruning or tipping)</t>
  </si>
  <si>
    <t>22: Two lateral shoots visible</t>
  </si>
  <si>
    <t>23: Three lateral shoots visible</t>
  </si>
  <si>
    <t>29: Canopy with multiple shoots</t>
  </si>
  <si>
    <t>31: Primary shoot elongation begins</t>
  </si>
  <si>
    <t>35: Shoot about 50% of typical length</t>
  </si>
  <si>
    <t>39: Shoot elongation complete, pluckable shoots ready</t>
  </si>
  <si>
    <t>51: Flower buds visible</t>
  </si>
  <si>
    <t>59: First petals visible</t>
  </si>
  <si>
    <t>65: Full flowering (50% open)</t>
  </si>
  <si>
    <t>71: 10% of capsules formed</t>
  </si>
  <si>
    <t>75: 50% of capsules developed</t>
  </si>
  <si>
    <t>79: Capsules nearly mature</t>
  </si>
  <si>
    <t>81: Capsules turning brown</t>
  </si>
  <si>
    <t>85: Capsules 50% ripe</t>
  </si>
  <si>
    <t>89: Fully ripe capsules, seeds hard</t>
  </si>
  <si>
    <t>91: Leaves yellowing, older branches senesce</t>
  </si>
  <si>
    <t>95: 50% leaf drop or dieback</t>
  </si>
  <si>
    <t xml:space="preserve">97: Plant enters dormancy </t>
  </si>
  <si>
    <t>99: Plucking 1 - (13: Third leaf unfolded (two leaves and a bud stage))</t>
  </si>
  <si>
    <t>99: Plucking 2 - (13: Third leaf unfolded (two leaves and a bud stage))</t>
  </si>
  <si>
    <t>99: Plucking 3 - (13: Third leaf unfolded (two leaves and a bud stage))</t>
  </si>
  <si>
    <t>99: Plucking 4 - (13: Third leaf unfolded (two leaves and a bud stage))</t>
  </si>
  <si>
    <t>Switch Grass</t>
  </si>
  <si>
    <t>29: Maximum number of tillers reached for the species/cultivar</t>
  </si>
  <si>
    <t>31: First internode elongation</t>
  </si>
  <si>
    <t>32: 2nd internode elongation</t>
  </si>
  <si>
    <t>33: 3rd internode elongation</t>
  </si>
  <si>
    <t>35: ~50% of stem elongation</t>
  </si>
  <si>
    <t>39: Stem elongation complete</t>
  </si>
  <si>
    <t>41: Flag leaf sheath swelling / boot stage</t>
  </si>
  <si>
    <t>49: Pinacle just below sheath</t>
  </si>
  <si>
    <t>51: Panicle just visible</t>
  </si>
  <si>
    <t>55: Half of panicle emerged</t>
  </si>
  <si>
    <t>59: Panicle fully emerged</t>
  </si>
  <si>
    <t>60: First florets open</t>
  </si>
  <si>
    <t>61: ~10% florets open</t>
  </si>
  <si>
    <t>65: Full flowering (~50% open)</t>
  </si>
  <si>
    <t>73: Soft dough stage</t>
  </si>
  <si>
    <t>75: Hard dough stage</t>
  </si>
  <si>
    <t>79: Grain nearly mature</t>
  </si>
  <si>
    <t>81: Beginning of ripening (10% ripe)</t>
  </si>
  <si>
    <t>85: Mid ripening (50% ripe)</t>
  </si>
  <si>
    <t>89: Full maturity (harvest)</t>
  </si>
  <si>
    <t>91: Leaf yellowing, canopy decline</t>
  </si>
  <si>
    <t>97: Above Ground Biomass dry</t>
  </si>
  <si>
    <t>99: Harvest Product</t>
  </si>
  <si>
    <t>Miscanthus</t>
  </si>
  <si>
    <t>00: Rhizome dormant</t>
  </si>
  <si>
    <t>05: Shoot sprout emergence</t>
  </si>
  <si>
    <t>13: Third leaf unfolded</t>
  </si>
  <si>
    <t>19: 9+ leaves unfolded</t>
  </si>
  <si>
    <t>25: Five tillers visible</t>
  </si>
  <si>
    <t>29: Maximum tillering</t>
  </si>
  <si>
    <t>33: Three internodes elongated</t>
  </si>
  <si>
    <t>35: ~50% stem elongation</t>
  </si>
  <si>
    <t>50: Inflorescence enclosed in flag leaf sheath (boot stage begins)</t>
  </si>
  <si>
    <t>51: First panicle just visible (“green panicle”)</t>
  </si>
  <si>
    <t>53: Panicle raised above flag leaf sheath</t>
  </si>
  <si>
    <t>55: Half of the panicle emerged</t>
  </si>
  <si>
    <t>57: Panicle almost fully expanded, florets still closed</t>
  </si>
  <si>
    <t>59: Panicle fully emerged, first florets visible (pre-flowering)</t>
  </si>
  <si>
    <t>65: Full flowering (~50% florets open)</t>
  </si>
  <si>
    <t>67: Majority florets senescing</t>
  </si>
  <si>
    <t>71: Early grain development</t>
  </si>
  <si>
    <t>75: Grain filling (hard dough)</t>
  </si>
  <si>
    <t>77: Grain 70% mature</t>
  </si>
  <si>
    <t>83: ~30% ripe</t>
  </si>
  <si>
    <t>85: Mid-ripening (50% ripe)</t>
  </si>
  <si>
    <t>87: ~70% ripe</t>
  </si>
  <si>
    <t>89: Full ripening (harvest maturity)</t>
  </si>
  <si>
    <t>91: Leaf yellowing begins</t>
  </si>
  <si>
    <t>95: 50% leaves senesced</t>
  </si>
  <si>
    <t>97: Culms drying fully</t>
  </si>
  <si>
    <t>99: Full senescence (harvest biomass)</t>
  </si>
  <si>
    <t>Rye</t>
  </si>
  <si>
    <t>13 3 leaves unfolded</t>
  </si>
  <si>
    <t xml:space="preserve">29: Stages continuous till End of tillering. </t>
  </si>
  <si>
    <t xml:space="preserve">32: Node 2 at least 2 cm above node </t>
  </si>
  <si>
    <t xml:space="preserve">33: Node 3 at least 2 cm above node </t>
  </si>
  <si>
    <t>37: Stages continuous till Flag leaf just visible, still rolled</t>
  </si>
  <si>
    <t xml:space="preserve">47: Flag leaf sheath opening </t>
  </si>
  <si>
    <t>51: Beginning of heading: tip of inflorescence emerged from sheath</t>
  </si>
  <si>
    <t>Foxtail Millet</t>
  </si>
  <si>
    <t>07: Coleoptile emerged</t>
  </si>
  <si>
    <t>08: Coleoptile growing to surface</t>
  </si>
  <si>
    <t>09: Emergence (shoot through soil)</t>
  </si>
  <si>
    <t>15: Fifth leaf unfolded</t>
  </si>
  <si>
    <t>19: 9+ leaves unfolded (canopy set)</t>
  </si>
  <si>
    <t>21: First tiller detectable</t>
  </si>
  <si>
    <t>23: Three tillers detectable</t>
  </si>
  <si>
    <t>25: Five tillers detectable</t>
  </si>
  <si>
    <t>29: End of tillering / max tillers</t>
  </si>
  <si>
    <t>30: Stem elongation begins</t>
  </si>
  <si>
    <t>31: 1st node detectable</t>
  </si>
  <si>
    <t>32: 2nd node detectable</t>
  </si>
  <si>
    <t>33: 3rd node detectable</t>
  </si>
  <si>
    <t>37: Flag leaf just visible (rolled)</t>
  </si>
  <si>
    <t>39: Flag leaf fully unrolled</t>
  </si>
  <si>
    <t>41: Early boot (flag sheath extending)</t>
  </si>
  <si>
    <t>43: Mid boot (sheath swollen)</t>
  </si>
  <si>
    <t>45: Late boot (max swelling)</t>
  </si>
  <si>
    <t>47: Flag sheath opening</t>
  </si>
  <si>
    <t>49: Awns visible (awned types)</t>
  </si>
  <si>
    <t>51: Tip of panicle visible</t>
  </si>
  <si>
    <t>53: 30% emerged</t>
  </si>
  <si>
    <t>55: 50% emerged</t>
  </si>
  <si>
    <t>57: 70% emerged</t>
  </si>
  <si>
    <t>59: 100% emerged (full heading)</t>
  </si>
  <si>
    <t>61: Flowering begins (first anthers)</t>
  </si>
  <si>
    <t>65: Full flowering (~50% spikelets)</t>
  </si>
  <si>
    <t>71: Watery/early milk</t>
  </si>
  <si>
    <t>73: Early–medium milk</t>
  </si>
  <si>
    <t>75: Late milk / soft dough begins</t>
  </si>
  <si>
    <t>77: Soft–hard dough</t>
  </si>
  <si>
    <t>83: Early dough / colour change starts</t>
  </si>
  <si>
    <t>85: Soft–firm dough</t>
  </si>
  <si>
    <t>87: Hard dough (physiological maturity)</t>
  </si>
  <si>
    <t>89: Fully ripe (harvest maturity)</t>
  </si>
  <si>
    <t>95: 50% leaves dry</t>
  </si>
  <si>
    <t>99: Full senescence / harvest done</t>
  </si>
  <si>
    <t>Pearl Millet</t>
  </si>
  <si>
    <t>08: Coleoptile to soil surface</t>
  </si>
  <si>
    <t>72: Early–medium milk</t>
  </si>
  <si>
    <t>Silage Maize</t>
  </si>
  <si>
    <t>07: Coleptile emerged from caryopsis</t>
  </si>
  <si>
    <t>09: Emergence: coleoptile penetrates soil surface (cracking stage)</t>
  </si>
  <si>
    <t>31: First node detectable</t>
  </si>
  <si>
    <t>32: 2 nodes detectable</t>
  </si>
  <si>
    <t>33: 3 nodes detectable</t>
  </si>
  <si>
    <t xml:space="preserve">51: Beginning of tassel emergence: </t>
  </si>
  <si>
    <t>55: Middle of tassel emergence:</t>
  </si>
  <si>
    <t>59: End of tassel emergence:</t>
  </si>
  <si>
    <t>61: Male: stamens in middle of tassel visible
Female: tip of ear emerging from leaf sheath</t>
  </si>
  <si>
    <t>63: Male: beginning of pollen shedding / Female: tips of stigmata visible</t>
  </si>
  <si>
    <t>65: Male: upper and lower parts of tassel in flower
Female: stigmata fully emerged</t>
  </si>
  <si>
    <t>67: Male: flowering completed / Female: stigmata drying</t>
  </si>
  <si>
    <t>69: End of flowering: stigmata completely dry</t>
  </si>
  <si>
    <t>71: Beginning of grain development: kernels at blister stage</t>
  </si>
  <si>
    <t>79: Nearly all kernels have reached final size</t>
  </si>
  <si>
    <t>83: Early dough: kernel content soft</t>
  </si>
  <si>
    <t xml:space="preserve">85: Dough stage: kernels yellowish to yellow </t>
  </si>
  <si>
    <t>87: Physiological maturity</t>
  </si>
  <si>
    <t>91: Leaf yellowing begings</t>
  </si>
  <si>
    <t>64: Male flower peak (anthesis intensity high)</t>
  </si>
  <si>
    <t>65: Female flower peak (stigmas receptive)</t>
  </si>
  <si>
    <t>66: Optimal pollination window (bee activity + climate)</t>
  </si>
  <si>
    <t>74: 40% of cohort fruit at typical size</t>
  </si>
  <si>
    <t>76: 60% of cohort fruit at typical size</t>
  </si>
  <si>
    <t>78: 80% of cohort fruit at typical size</t>
  </si>
  <si>
    <t>87: 80% of fruits show typical fully ripe colour</t>
  </si>
  <si>
    <t>89: 100% of fruits physiologically ripe</t>
  </si>
  <si>
    <t>88: 90% of fruits at target sweetness (Brix Threshold)</t>
  </si>
  <si>
    <t>98: Post-harvest vine decline (&gt;80% cleared)</t>
  </si>
  <si>
    <t>S.No</t>
  </si>
  <si>
    <t>Fresh Fruit</t>
  </si>
  <si>
    <t>DM:FM</t>
  </si>
  <si>
    <t>Coriander (Seeds)</t>
  </si>
  <si>
    <t>29a: Rosette Initiation (leaf rosette expanding)</t>
  </si>
  <si>
    <t>Oil Seed</t>
  </si>
  <si>
    <t>09: Emergence (cracking stage)</t>
  </si>
  <si>
    <t>Category</t>
  </si>
  <si>
    <t>Cereal</t>
  </si>
  <si>
    <t>Country</t>
  </si>
  <si>
    <t>Pakistan</t>
  </si>
  <si>
    <t>LAI_Max_BBCH</t>
  </si>
  <si>
    <t>LAI_Max_GDD</t>
  </si>
  <si>
    <t>Crop_Name</t>
  </si>
  <si>
    <t>Variety_Name</t>
  </si>
  <si>
    <t>Yield_Type</t>
  </si>
  <si>
    <t>91: Fully ripe</t>
  </si>
  <si>
    <t>99: Harvesting</t>
  </si>
  <si>
    <t>Main_Stage</t>
  </si>
  <si>
    <t>Germination</t>
  </si>
  <si>
    <t>Vegetative</t>
  </si>
  <si>
    <t>Reproductive</t>
  </si>
  <si>
    <t>Ripening</t>
  </si>
  <si>
    <t>Fruit</t>
  </si>
  <si>
    <t>Crop</t>
  </si>
  <si>
    <t>Legume vegetables</t>
  </si>
  <si>
    <t>Bottle gourd</t>
  </si>
  <si>
    <t>Leaf vegetables</t>
  </si>
  <si>
    <t>Canary seed</t>
  </si>
  <si>
    <t>Oil seed</t>
  </si>
  <si>
    <t>Root vegetables</t>
  </si>
  <si>
    <t>Chickpea kabuli</t>
  </si>
  <si>
    <t>Coriander (seed)</t>
  </si>
  <si>
    <t>Fiber crop</t>
  </si>
  <si>
    <t>Cowpea</t>
  </si>
  <si>
    <t>Flax seed</t>
  </si>
  <si>
    <t>French beans</t>
  </si>
  <si>
    <t>Legume oil seed crop</t>
  </si>
  <si>
    <t>Kidney beans</t>
  </si>
  <si>
    <t>Stem vegetables</t>
  </si>
  <si>
    <t>Bulb vegetables</t>
  </si>
  <si>
    <t>Sponge gourd</t>
  </si>
  <si>
    <t>Sugar beet</t>
  </si>
  <si>
    <t>Tinda gourd</t>
  </si>
  <si>
    <t>Vegetable marrow</t>
  </si>
  <si>
    <t>Yield Type</t>
  </si>
  <si>
    <t>Root</t>
  </si>
  <si>
    <t>Tuber</t>
  </si>
  <si>
    <t>Seed</t>
  </si>
  <si>
    <t>Lint</t>
  </si>
  <si>
    <t>Biomass</t>
  </si>
  <si>
    <t>Bulb</t>
  </si>
  <si>
    <t>Root (sugar)</t>
  </si>
  <si>
    <t>Leaf</t>
  </si>
  <si>
    <t>Cane Juice</t>
  </si>
  <si>
    <t>Dry Grains</t>
  </si>
  <si>
    <t>Flower Head</t>
  </si>
  <si>
    <t>Forage Biomass</t>
  </si>
  <si>
    <t>Fresh Pods</t>
  </si>
  <si>
    <t>Leaf Head</t>
  </si>
  <si>
    <t>Oil Fruit</t>
  </si>
  <si>
    <t>65: Full Flowering</t>
  </si>
  <si>
    <t>Start_GDD</t>
  </si>
  <si>
    <t>End_GDD</t>
  </si>
  <si>
    <t>Variety_Type</t>
  </si>
  <si>
    <t>Height_Class</t>
  </si>
  <si>
    <t>Height_cm</t>
  </si>
  <si>
    <t>Nutrient_Content</t>
  </si>
  <si>
    <t>Common_Disease_Tolerance</t>
  </si>
  <si>
    <t>Common_Pest_Tolerance</t>
  </si>
  <si>
    <t>Environmental_Resilience</t>
  </si>
  <si>
    <t>Start_LAI</t>
  </si>
  <si>
    <t>Max_LAI</t>
  </si>
  <si>
    <t>End_LAI</t>
  </si>
  <si>
    <t>Fruiting_Start_BBCH</t>
  </si>
  <si>
    <t>Sand</t>
  </si>
  <si>
    <t>Loamy Sand</t>
  </si>
  <si>
    <t>Sandy Loam</t>
  </si>
  <si>
    <t>Loam</t>
  </si>
  <si>
    <t>Silt Loam</t>
  </si>
  <si>
    <t>Clay Loam</t>
  </si>
  <si>
    <t>Silt</t>
  </si>
  <si>
    <t>Sandy Clay</t>
  </si>
  <si>
    <t>Silty Clay Loam</t>
  </si>
  <si>
    <t>Silty Clay</t>
  </si>
  <si>
    <t>Clay</t>
  </si>
  <si>
    <t>Sandy Clay Loam</t>
  </si>
  <si>
    <t>Shoot_Bearing_m2</t>
  </si>
  <si>
    <t>RUE_Max</t>
  </si>
  <si>
    <t>RUE_Asymptote_Frac</t>
  </si>
  <si>
    <t>RUE_LAI_Half_Sat</t>
  </si>
  <si>
    <t>RUE_Daily_Delta_Max</t>
  </si>
  <si>
    <t>OPV</t>
  </si>
  <si>
    <t>OPV (Zn-Biofortified)</t>
  </si>
  <si>
    <t>OPV (Rainfed)</t>
  </si>
  <si>
    <t>Medium</t>
  </si>
  <si>
    <t>Protein 12-13%</t>
  </si>
  <si>
    <t>Aphid (Moderate)</t>
  </si>
  <si>
    <t>Leaf rust, stripe rust</t>
  </si>
  <si>
    <t>Termite</t>
  </si>
  <si>
    <t>Rust resistant</t>
  </si>
  <si>
    <t>Aphid</t>
  </si>
  <si>
    <t>Rust resistant (all 3 rusts)</t>
  </si>
  <si>
    <t>Stem Rust (UG99), Yellow Rust, Leaf Rust, Karnal Bunt</t>
  </si>
  <si>
    <t>Protein 14-15%</t>
  </si>
  <si>
    <t>Aphid (High)</t>
  </si>
  <si>
    <t>Principal_Stage</t>
  </si>
  <si>
    <t>Sub_Stage</t>
  </si>
  <si>
    <t>Leaf Development (Main Shoot)</t>
  </si>
  <si>
    <t>Tillering</t>
  </si>
  <si>
    <t>Stem Elongation</t>
  </si>
  <si>
    <t>Booting</t>
  </si>
  <si>
    <t>Inflorescence Emergence (Heading)</t>
  </si>
  <si>
    <t>Flowering (Anthesis)</t>
  </si>
  <si>
    <t>Development of Fruit</t>
  </si>
  <si>
    <t>Senescence</t>
  </si>
  <si>
    <t>30: Beginning of stem elongation: pseudo stem and tillers erect</t>
  </si>
  <si>
    <t>Formation of side shoots</t>
  </si>
  <si>
    <t>Inflorescence emergence</t>
  </si>
  <si>
    <t>Flowering</t>
  </si>
  <si>
    <t>Ripening of fruit and seed</t>
  </si>
  <si>
    <t>Leaf Development</t>
  </si>
  <si>
    <t>sugar baby</t>
  </si>
  <si>
    <t>sweet beauty</t>
  </si>
  <si>
    <t>golden midget</t>
  </si>
  <si>
    <t>crimson sweet</t>
  </si>
  <si>
    <t>anarkali</t>
  </si>
  <si>
    <t>hybrid 313</t>
  </si>
  <si>
    <t>tiffany</t>
  </si>
  <si>
    <t>golden crown</t>
  </si>
  <si>
    <t>Hybrid</t>
  </si>
  <si>
    <t>king of hearts</t>
  </si>
  <si>
    <t>queen of hearts</t>
  </si>
  <si>
    <t>fiesta</t>
  </si>
  <si>
    <t>royal sweet</t>
  </si>
  <si>
    <t>starbright</t>
  </si>
  <si>
    <t>Compact</t>
  </si>
  <si>
    <t>Brix 11%, Yellow / Amber Flesh Type</t>
  </si>
  <si>
    <t>Brix 12%, High Quality Flesh</t>
  </si>
  <si>
    <t>Brix - 10%; High Sugar</t>
  </si>
  <si>
    <t>Brix 11%, Marketed for local high quality</t>
  </si>
  <si>
    <t>Brix 11%, Hybrid Vigor</t>
  </si>
  <si>
    <t>Fruit fly, Aphids, Whitefly</t>
  </si>
  <si>
    <t>Fruit fly, Aphids, Whitefly, thrips</t>
  </si>
  <si>
    <t>Fruit fly, Aphids, Whitefly, Cucumber Beetle</t>
  </si>
  <si>
    <t>Leaf development</t>
  </si>
  <si>
    <t>Development of fruit</t>
  </si>
  <si>
    <t>Leaf development (Main shoot)</t>
  </si>
  <si>
    <t>Development of harvestable vegetative plant parts</t>
  </si>
  <si>
    <t xml:space="preserve"> Ripening of fruit and seed</t>
  </si>
  <si>
    <t>Stem elongation</t>
  </si>
  <si>
    <t>Rosette growth</t>
  </si>
  <si>
    <t xml:space="preserve">Inflorescence emergence </t>
  </si>
  <si>
    <t>Inflorescence emergence, heading</t>
  </si>
  <si>
    <t>Flowering, anthesis</t>
  </si>
  <si>
    <t>Stem elongation (Main shoot)</t>
  </si>
  <si>
    <t>Flowring</t>
  </si>
  <si>
    <t>Formation of Basal Side Shoot</t>
  </si>
  <si>
    <t>Main stem elongation (crop cover)</t>
  </si>
  <si>
    <t>Tuber formation</t>
  </si>
  <si>
    <t>Inflorescence (cyme) emergence</t>
  </si>
  <si>
    <t>Main stem elongation (Crop cover)</t>
  </si>
  <si>
    <t>Ripening of fruits and seeds</t>
  </si>
  <si>
    <t xml:space="preserve">Senescence </t>
  </si>
  <si>
    <t xml:space="preserve">Ripening of fruit and seed </t>
  </si>
  <si>
    <t>Inflorescence emergence (Main shoot)</t>
  </si>
  <si>
    <t>Stem elongation of rosette growth</t>
  </si>
  <si>
    <t xml:space="preserve">Stem elongation of rosette growth </t>
  </si>
  <si>
    <t>Flowering, Anthesis</t>
  </si>
  <si>
    <t>Crop Name</t>
  </si>
  <si>
    <t>Crop Type</t>
  </si>
  <si>
    <t>Product Type</t>
  </si>
  <si>
    <t>Soil Type</t>
  </si>
  <si>
    <t>Suitability Code</t>
  </si>
  <si>
    <t>Suitability Category</t>
  </si>
  <si>
    <t>Disease Risk</t>
  </si>
  <si>
    <t>Disease Type</t>
  </si>
  <si>
    <t>Most Suitable</t>
  </si>
  <si>
    <t>No</t>
  </si>
  <si>
    <t>Acceptable</t>
  </si>
  <si>
    <t>Yes</t>
  </si>
  <si>
    <t>Fungal crusting</t>
  </si>
  <si>
    <t>Unsuitable</t>
  </si>
  <si>
    <t>Root rot</t>
  </si>
  <si>
    <t>Nematodes &amp; drought stress</t>
  </si>
  <si>
    <t>Fusarium wilt (Panama disease)</t>
  </si>
  <si>
    <t>Nematodes</t>
  </si>
  <si>
    <t>Drought stress &amp; poor anchorage</t>
  </si>
  <si>
    <t>Heavy Clay</t>
  </si>
  <si>
    <t>Root suffocation &amp; Sigatoka risk</t>
  </si>
  <si>
    <t>Leaf spot under compaction</t>
  </si>
  <si>
    <t>Waterlogging → root rot</t>
  </si>
  <si>
    <t>Nutrient deficiency &amp; drought stress</t>
  </si>
  <si>
    <t>Crusting → wilt</t>
  </si>
  <si>
    <t>Fungal wilt</t>
  </si>
  <si>
    <t>Waterlogging → bacterial wilt</t>
  </si>
  <si>
    <t>Nutrient deficiency &amp; nematodes</t>
  </si>
  <si>
    <t>Clubroot risk under compaction</t>
  </si>
  <si>
    <t>Root rot &amp; damping-off</t>
  </si>
  <si>
    <t>Poor fertility &amp; nematodes</t>
  </si>
  <si>
    <t>Clubroot risk</t>
  </si>
  <si>
    <t>Waterlogging → black rot</t>
  </si>
  <si>
    <t>Poor fertility &amp; drought stress</t>
  </si>
  <si>
    <t>Waterlogging → blackleg</t>
  </si>
  <si>
    <t>Crusting → forked roots</t>
  </si>
  <si>
    <t>Root rot &amp; cavity spot</t>
  </si>
  <si>
    <t>Nematodes &amp; poor root formation</t>
  </si>
  <si>
    <t>Crusting → poor tuber shape</t>
  </si>
  <si>
    <t>Root rot &amp; black rot</t>
  </si>
  <si>
    <t>Fungal wilt risk</t>
  </si>
  <si>
    <t>Phytophthora root rot</t>
  </si>
  <si>
    <t>Compaction → poor root aeration</t>
  </si>
  <si>
    <t>Damping-off risk</t>
  </si>
  <si>
    <t>Compaction → wilt</t>
  </si>
  <si>
    <t>Nematodes &amp; poor fertility</t>
  </si>
  <si>
    <t>Fusarium wilt risk</t>
  </si>
  <si>
    <t>Compaction → stalk rot</t>
  </si>
  <si>
    <t>Mash (Black gram)</t>
  </si>
  <si>
    <t>Compaction → poor stand</t>
  </si>
  <si>
    <t>Root suffocation</t>
  </si>
  <si>
    <t>Compaction → poor rooting</t>
  </si>
  <si>
    <t>Basal rot risk under compaction</t>
  </si>
  <si>
    <t>Waterlogging → downy mildew</t>
  </si>
  <si>
    <t>Root suffocation &amp; rot</t>
  </si>
  <si>
    <t>Fusarium wilt risk under compaction</t>
  </si>
  <si>
    <t>Nematodes risk</t>
  </si>
  <si>
    <t>Compaction → scab disease</t>
  </si>
  <si>
    <t>Waterlogging → late blight</t>
  </si>
  <si>
    <t>Root rot &amp; tuber decay</t>
  </si>
  <si>
    <t>Nutrient deficiency &amp; poor tuber formation</t>
  </si>
  <si>
    <t>Rapeseed</t>
  </si>
  <si>
    <t>Bacterial blight under standing water</t>
  </si>
  <si>
    <t>Sheath blight</t>
  </si>
  <si>
    <t>Blast disease under compaction</t>
  </si>
  <si>
    <t>Drought stress &amp; poor tillering</t>
  </si>
  <si>
    <t>Scab disease under compaction</t>
  </si>
  <si>
    <t>Root rot &amp; poor sugar accumulation</t>
  </si>
  <si>
    <t>Nutrient deficiency &amp; poor root formation</t>
  </si>
  <si>
    <t>Waterlogging → red rot</t>
  </si>
  <si>
    <t>Downy mildew risk under compaction</t>
  </si>
  <si>
    <t>Compaction → poor tuber shape</t>
  </si>
  <si>
    <t>Poor fertility &amp; poor tuber formation</t>
  </si>
  <si>
    <t>Black shank disease risk</t>
  </si>
  <si>
    <t>29:Stages continuous till 9 or more side shoots visible</t>
  </si>
  <si>
    <t>Medium - Tall</t>
  </si>
  <si>
    <t>Short - Medium</t>
  </si>
  <si>
    <t>Protein 14%</t>
  </si>
  <si>
    <t>Rust (Moderate)</t>
  </si>
  <si>
    <t>Leaf Rust, Yellow Rust</t>
  </si>
  <si>
    <t>Aphids (Moderate)</t>
  </si>
  <si>
    <t>Rust (Low)</t>
  </si>
  <si>
    <t>F1 - Hybrid</t>
  </si>
  <si>
    <t>Vigorous Vine</t>
  </si>
  <si>
    <t>Medium Vine</t>
  </si>
  <si>
    <t>Side Shoot Formation</t>
  </si>
  <si>
    <t>Sprouting / Sucker emergence</t>
  </si>
  <si>
    <t>Pseudostem / Shoot Development</t>
  </si>
  <si>
    <t>Inflorescence Emergence</t>
  </si>
  <si>
    <t xml:space="preserve">Senescence      </t>
  </si>
  <si>
    <t>Sprouting / Emergence</t>
  </si>
  <si>
    <t>Root / Storage Organ Development</t>
  </si>
  <si>
    <t>Root Bulking</t>
  </si>
  <si>
    <t>citrus</t>
  </si>
  <si>
    <t>Sprouting/Bud development</t>
  </si>
  <si>
    <t>Maturity of fruit</t>
  </si>
  <si>
    <t>Senescence, beginning of dormancy</t>
  </si>
  <si>
    <t>Shoot Development</t>
  </si>
  <si>
    <t>cow pea</t>
  </si>
  <si>
    <t>napier grass</t>
  </si>
  <si>
    <t>Sprouting / Establishment</t>
  </si>
  <si>
    <t>Stem elongation (canopy cover)</t>
  </si>
  <si>
    <t>Inflorescence emergence (heading)</t>
  </si>
  <si>
    <t>Flowering (anthesis)</t>
  </si>
  <si>
    <t>buckwheat</t>
  </si>
  <si>
    <t>Main stem elongation (canopy expansion)</t>
  </si>
  <si>
    <t>jatropha</t>
  </si>
  <si>
    <t>Germination / Sprouting</t>
  </si>
  <si>
    <t>Main shoot</t>
  </si>
  <si>
    <t xml:space="preserve">Inflorescence  (cyme) emergence </t>
  </si>
  <si>
    <t>81: Begin colour change (green → yellowish / brown)</t>
  </si>
  <si>
    <t>rapseed</t>
  </si>
  <si>
    <t>pigeon pea</t>
  </si>
  <si>
    <t>reed canary seed</t>
  </si>
  <si>
    <t>Sprouting / Bud Break</t>
  </si>
  <si>
    <t>olive</t>
  </si>
  <si>
    <t>Bud development</t>
  </si>
  <si>
    <t>Shoot development</t>
  </si>
  <si>
    <t>80: Fruit deep green colour becomes light green, yellowish</t>
  </si>
  <si>
    <t>85: Increasing of specific fruit colouring</t>
  </si>
  <si>
    <t>51: Inflorescence buds start to swell on its stem</t>
  </si>
  <si>
    <t xml:space="preserve">65: Full flowering: at least 50% of flowers open </t>
  </si>
  <si>
    <t>61: Begining of flowering: 10% of flowers open</t>
  </si>
  <si>
    <t>67: First petals falling</t>
  </si>
  <si>
    <t>69: End of flowering, fruit set, non-fertilized ovaries fallen</t>
  </si>
  <si>
    <t>75: Fruit size about 50% of final size</t>
  </si>
  <si>
    <t>79: Fruit size about 90% of final size</t>
  </si>
  <si>
    <t>tobacco</t>
  </si>
  <si>
    <t xml:space="preserve">Germination / Sprouting </t>
  </si>
  <si>
    <t xml:space="preserve">Formation of Side Shoots / Sucker Growth </t>
  </si>
  <si>
    <t>Stem Elongation / Canopy Cover</t>
  </si>
  <si>
    <t>Inflorescence (flower) emergence</t>
  </si>
  <si>
    <t>Ripening of fruit/seed (seed crop)</t>
  </si>
  <si>
    <t>Development of harvestable parts</t>
  </si>
  <si>
    <t>sugar cane</t>
  </si>
  <si>
    <t>Cane thickening</t>
  </si>
  <si>
    <t>sweet potato</t>
  </si>
  <si>
    <t>22: ~20% canopy / height</t>
  </si>
  <si>
    <t>24: ~40% canopy / height</t>
  </si>
  <si>
    <t>26: ~60% canopy / height</t>
  </si>
  <si>
    <t>28: ~80% canopy / height</t>
  </si>
  <si>
    <t>05: Radicle / adventitious roots emerged</t>
  </si>
  <si>
    <t>yam</t>
  </si>
  <si>
    <t>Sprouting</t>
  </si>
  <si>
    <t>Tuber Formation</t>
  </si>
  <si>
    <t>tea</t>
  </si>
  <si>
    <t>Sprouting and bud development</t>
  </si>
  <si>
    <t>Leaf development (main shoot)</t>
  </si>
  <si>
    <t>switch grass</t>
  </si>
  <si>
    <t>Stem elongation (jointing)</t>
  </si>
  <si>
    <t>10: First leaf through the coleoptile</t>
  </si>
  <si>
    <t>19: Nine or more leaves unfolded on the main shoot</t>
  </si>
  <si>
    <t>21: Beginning of tillering, with one tiller detectable</t>
  </si>
  <si>
    <t>05: Radicle emerged from the seed</t>
  </si>
  <si>
    <t>09: Emergence, with the coleoptile penetrating the soil surface</t>
  </si>
  <si>
    <t>miscanthus</t>
  </si>
  <si>
    <t>Sprouting / Germination</t>
  </si>
  <si>
    <t>rye</t>
  </si>
  <si>
    <t>foxtail millet</t>
  </si>
  <si>
    <t>71: Watery / early milk</t>
  </si>
  <si>
    <t>pearl millet</t>
  </si>
  <si>
    <t>silage maize</t>
  </si>
  <si>
    <t>Main shoot development</t>
  </si>
  <si>
    <t>sanghar</t>
  </si>
  <si>
    <t>shumaya</t>
  </si>
  <si>
    <t>alfalfa</t>
  </si>
  <si>
    <t>american</t>
  </si>
  <si>
    <t>Tall</t>
  </si>
  <si>
    <t>Protein 18 - 22%</t>
  </si>
  <si>
    <t>Irrigated</t>
  </si>
  <si>
    <t>shattering</t>
  </si>
  <si>
    <t>Drought, Salinity</t>
  </si>
  <si>
    <t>Talbina-21</t>
  </si>
  <si>
    <t xml:space="preserve">Medium tall </t>
  </si>
  <si>
    <t xml:space="preserve">Yellow Rust, Leaf Rust </t>
  </si>
  <si>
    <t xml:space="preserve">waterlogging , Shattering, Drought </t>
  </si>
  <si>
    <t>Pearl-21</t>
  </si>
  <si>
    <t>Haider-93</t>
  </si>
  <si>
    <t>Aphids</t>
  </si>
  <si>
    <t>Colonal Caltivar</t>
  </si>
  <si>
    <t>Small</t>
  </si>
  <si>
    <t>Dry Matter Content (Medium)</t>
  </si>
  <si>
    <t>Large tubers, Good storability, Dry matter content 23%</t>
  </si>
  <si>
    <t>Highest dry matter (25.85 %), Highest starch content (~77.39)</t>
  </si>
  <si>
    <t>Protein: 2–3 %, carbohydrate: ~70–80 % (dry basis)</t>
  </si>
  <si>
    <t>High dry matter content  22.9%, Flesh colour: light yellow, Starch 14%</t>
  </si>
  <si>
    <t xml:space="preserve">Late blight — moderate  (foliage and tuber), Common scab, Moderate , Blackleg, Moderate </t>
  </si>
  <si>
    <t>Potato leafroll virus (PLRV) – moderate; Late blight – moderate; Common scab – moderate; Potato leafroll virus (PLRV) – resistant.</t>
  </si>
  <si>
    <t>powdery scab, late blight</t>
  </si>
  <si>
    <t>White nematode – resistant; Golden nematode – resistant; Wart disease – resistant.</t>
  </si>
  <si>
    <t>potato blight</t>
  </si>
  <si>
    <t>late blight, early blight, bacterial wilt, viruses</t>
  </si>
  <si>
    <t>Dry rot – resistant; Powdery scab – resistant; Potato leafroll virus – resistant; Wart disease – highly ; Golden nematode – resistant; White nematode – resistant.</t>
  </si>
  <si>
    <t>Dry rot – resistant; Powdery scab – resistant; Potato leafroll virus – resistant; Wart disease – highly resistant; Golden nematode – resistant; White nematode – resistant.</t>
  </si>
  <si>
    <t>blight</t>
  </si>
  <si>
    <t>Powdery scab, Late blight</t>
  </si>
  <si>
    <t>late blight on foliage, late blight, powdery scab, blackleg, and potato cyst nematode Globodera pallida</t>
  </si>
  <si>
    <t>late blight, bacterial wilt, common scab, tuber rots</t>
  </si>
  <si>
    <t>Drought, Dormancy Medium</t>
  </si>
  <si>
    <t>Frost (Moderate)</t>
  </si>
  <si>
    <t>Dormancy (Moderate)</t>
  </si>
  <si>
    <t>Frost</t>
  </si>
  <si>
    <t>Heat, Drought</t>
  </si>
  <si>
    <t>Heat, Drought, Waterlogging, High Soil Salinity</t>
  </si>
  <si>
    <t>hybrid</t>
  </si>
  <si>
    <t>Oil Content: 43%</t>
  </si>
  <si>
    <t>Oil Content: 44.5%</t>
  </si>
  <si>
    <t xml:space="preserve">Oil Content: 40% </t>
  </si>
  <si>
    <t xml:space="preserve"> Oil Content: 37.45% </t>
  </si>
  <si>
    <t>Charcoal Rot, Head Rot, Leaf Blight, Downy Mildew, Powdery Mildew</t>
  </si>
  <si>
    <t>Downy Mildew, Rust, Head Rot</t>
  </si>
  <si>
    <t>Powdery Mildew, Downy Mildew, Head Rot</t>
  </si>
  <si>
    <t>Aphid (Low), Jassid, Head Moth</t>
  </si>
  <si>
    <t>Aas-2011</t>
  </si>
  <si>
    <t>Protein 13.02%,  Gluten 29%</t>
  </si>
  <si>
    <t>Karnal bunt, Stem Rust, Spot blotch</t>
  </si>
  <si>
    <t>Abaseen 2021</t>
  </si>
  <si>
    <t xml:space="preserve">OPV </t>
  </si>
  <si>
    <t>Medium-Tall</t>
  </si>
  <si>
    <t>Stem Rust, Leaf Rust, Stripe Rust, Loose Smut, Karnal bunt</t>
  </si>
  <si>
    <t>Akbar-2019</t>
  </si>
  <si>
    <t>Protein 14.9%, Starch 53%, Gluten 30%</t>
  </si>
  <si>
    <t>Stem Rust, Leaf Rust, Stripe Rust</t>
  </si>
  <si>
    <t>Shattering</t>
  </si>
  <si>
    <t>Amin-10</t>
  </si>
  <si>
    <t>Protein 13-14%, Gluten 28%, Starch 54%</t>
  </si>
  <si>
    <t>Anaj-2017</t>
  </si>
  <si>
    <t>Protein 14.5%</t>
  </si>
  <si>
    <t>Arooj 2022</t>
  </si>
  <si>
    <t>Protein 13%, Starch 53.3%, Gluten 23%</t>
  </si>
  <si>
    <t>Yellow Rust, Brown Rust, Karnal Bunt</t>
  </si>
  <si>
    <t>Barani-17</t>
  </si>
  <si>
    <t>Rainfed</t>
  </si>
  <si>
    <t>Bars-2009</t>
  </si>
  <si>
    <t>Benazir-13</t>
  </si>
  <si>
    <t>Short</t>
  </si>
  <si>
    <t>Protein 12-13%, Wet Gluten 31%, Dry Gluten 10%</t>
  </si>
  <si>
    <t>Bhakkar Star-19</t>
  </si>
  <si>
    <t>Protein 12-13%, Gluten 27%, Starch 55%</t>
  </si>
  <si>
    <t>Bharabi-2011</t>
  </si>
  <si>
    <t>Borlaug-16</t>
  </si>
  <si>
    <t>Gluten 28-30%, Protein 12.8-13.4%, Good N &amp; Zn uptake</t>
  </si>
  <si>
    <t>Stem Rust</t>
  </si>
  <si>
    <t>Karnal Bunt, Smut, Powdery Mildew, Aphid</t>
  </si>
  <si>
    <t>Heat, Drought, Moisture</t>
  </si>
  <si>
    <t>Champion 23</t>
  </si>
  <si>
    <t>Protein 12.5-14%, Gluten 28%, Starch 54%</t>
  </si>
  <si>
    <t>Stem Rust, Leaf Rust, Stripe Rust, Powdery Mildew, Loose Smut, Karnal bunt</t>
  </si>
  <si>
    <t>Dharabi-11</t>
  </si>
  <si>
    <t>Protein 12.17%</t>
  </si>
  <si>
    <t>Dilkash 2020</t>
  </si>
  <si>
    <t>Protein 14-15%, Starch 52.7%, Gluten 28.7%</t>
  </si>
  <si>
    <t>Durum-2021</t>
  </si>
  <si>
    <t>Protein 12-13 %</t>
  </si>
  <si>
    <t>Ehsan-16</t>
  </si>
  <si>
    <t>Faisalabad-2008</t>
  </si>
  <si>
    <t>Low  Protein 12.6 %, Starch 57% , Gluten 18.67%</t>
  </si>
  <si>
    <t>Fakhar-e-bhakkar-2017</t>
  </si>
  <si>
    <t>Medium-tall</t>
  </si>
  <si>
    <t>Protein 15%</t>
  </si>
  <si>
    <t>Yellow Rust, Brown Rust, Stem Rust</t>
  </si>
  <si>
    <t>Heat</t>
  </si>
  <si>
    <t>Farid-2006</t>
  </si>
  <si>
    <t>Protein 11-13%, Wet Gluten 26.5%, Dry Gluten 9.5%</t>
  </si>
  <si>
    <t xml:space="preserve">Aphid, Cotton bollworm (Helicoverpa armigera) </t>
  </si>
  <si>
    <t>Fateh-jang-16</t>
  </si>
  <si>
    <t>Protein 15.6%, Gluten 32%, Starch 52%</t>
  </si>
  <si>
    <t>Falak -24</t>
  </si>
  <si>
    <t>Protein 13-15%</t>
  </si>
  <si>
    <t>Rust resistant, Leaf blight</t>
  </si>
  <si>
    <t>Ghanimat-e-IBGE-15</t>
  </si>
  <si>
    <t>Ghazi -19</t>
  </si>
  <si>
    <t>Protein 14.1–15.2%</t>
  </si>
  <si>
    <t>Gold-16</t>
  </si>
  <si>
    <t>Gomal-8</t>
  </si>
  <si>
    <t>Protein 13.65%, gluten 31.34%</t>
  </si>
  <si>
    <t>GULZAR 2019</t>
  </si>
  <si>
    <t>Protein 11–12%</t>
  </si>
  <si>
    <t>Leaf Rust, Stem Rust</t>
  </si>
  <si>
    <t>Hammal</t>
  </si>
  <si>
    <t>Gluten 49%,protein 11.02%</t>
  </si>
  <si>
    <t>HASHIM 2008</t>
  </si>
  <si>
    <t>Protein 15%, Wet Gluten 23.58%, Dry Gluten 7%</t>
  </si>
  <si>
    <t>Israr-17</t>
  </si>
  <si>
    <t>Yellow Rust, Leaf Rust, Stem Rust, Powdery Mildow</t>
  </si>
  <si>
    <t>Johar-16</t>
  </si>
  <si>
    <t>Protein 15.7%, Starch 56% , Gluten 32.0%</t>
  </si>
  <si>
    <t>Yellow Rust, Leaf Rust, Stem Rust</t>
  </si>
  <si>
    <t>Khaista-17</t>
  </si>
  <si>
    <t>Khirman</t>
  </si>
  <si>
    <t>Protein 10-12.9%, Dry Gluten 9%, Gluten Index 73.8%, Starch 75%</t>
  </si>
  <si>
    <t>Khyber 2023</t>
  </si>
  <si>
    <t>Yellow Rust, Leaf Rust, Powdery Mildew, Smuts, Bunts, Fusarium stalk, Head Rots</t>
  </si>
  <si>
    <t>Kiran-95</t>
  </si>
  <si>
    <t>Protein 13-15.5%, Wet Gluten 39.7 %, Dry Gluten 12 %, Gluten Index 49.6%</t>
  </si>
  <si>
    <t>Kohat-17</t>
  </si>
  <si>
    <t>Yellow Rust, Leaf Rust, Powdery Mildow</t>
  </si>
  <si>
    <t>Kohat-2000</t>
  </si>
  <si>
    <t>Protein 14.4%</t>
  </si>
  <si>
    <t>Leaf Rust, Yellow Rust, Stem Rust</t>
  </si>
  <si>
    <t>MA-2021</t>
  </si>
  <si>
    <t>Gluten 25.0%, Protein 13.7%</t>
  </si>
  <si>
    <t>Markaz-19</t>
  </si>
  <si>
    <t>Protein 15.1%</t>
  </si>
  <si>
    <t>Stripe Rust, Leaf Rust</t>
  </si>
  <si>
    <t>Marvi 2000</t>
  </si>
  <si>
    <t>Protein 13.46 %</t>
  </si>
  <si>
    <t xml:space="preserve">    </t>
  </si>
  <si>
    <t>Mh 2021</t>
  </si>
  <si>
    <t>Protein 13-14%, Starch 54.0%, Gluten 35.0%</t>
  </si>
  <si>
    <t xml:space="preserve">Leaf Rust, Yellow Rust </t>
  </si>
  <si>
    <t>Millat-2011</t>
  </si>
  <si>
    <t>Protein 13%, Wet Gluten 29%, Dry Gluten 9%</t>
  </si>
  <si>
    <t>Moomal-2002</t>
  </si>
  <si>
    <t>Protein 11-14.8%, Gluten Index 88%, Moisture Content 10.4%</t>
  </si>
  <si>
    <t>NARC Super</t>
  </si>
  <si>
    <t>NARC 2009</t>
  </si>
  <si>
    <t>Protein 15%, Wet Gluten 38%, Dry Gluten 12%</t>
  </si>
  <si>
    <t>Yellow Rust, Leaf Rust</t>
  </si>
  <si>
    <t>Narc 2011</t>
  </si>
  <si>
    <t>Naurang 2023</t>
  </si>
  <si>
    <t xml:space="preserve">Medium-Tall </t>
  </si>
  <si>
    <t>Nawab-21</t>
  </si>
  <si>
    <t>Yellow Rust, Brown Rust, Black Rust</t>
  </si>
  <si>
    <t>NIA Amber-2010</t>
  </si>
  <si>
    <t>Protein 16.02%, Wet Gluten 37.1%, High Dry Gluten 12.0%</t>
  </si>
  <si>
    <t>Heat, Cold</t>
  </si>
  <si>
    <t>NIA Sundar-2011</t>
  </si>
  <si>
    <t>Protein 14.08%, Highly Zinc efficient</t>
  </si>
  <si>
    <t>all type of rust</t>
  </si>
  <si>
    <t>Water</t>
  </si>
  <si>
    <t>NIA Sunehri-2010</t>
  </si>
  <si>
    <t>Protein 15%, Wet Gluten 32.86%, Dry Gluten 11.02%</t>
  </si>
  <si>
    <t>NIA-Shaheen</t>
  </si>
  <si>
    <t>Protein 13.8%, Starch 55.7%, Wet Gluten 27%</t>
  </si>
  <si>
    <t>NIA-Zarkhez</t>
  </si>
  <si>
    <t>NIFA-Aman-17</t>
  </si>
  <si>
    <t>Protein 14.6%</t>
  </si>
  <si>
    <t>NIFA-Insaf-15</t>
  </si>
  <si>
    <t>Protein 11-13%</t>
  </si>
  <si>
    <t>NIFA-Lalma-13</t>
  </si>
  <si>
    <t>Nishan-21</t>
  </si>
  <si>
    <t>Brown Rust</t>
  </si>
  <si>
    <t>Pakhtunkhwa-15</t>
  </si>
  <si>
    <t>Protein 12.1-13.8%</t>
  </si>
  <si>
    <t>Pakistan-2013</t>
  </si>
  <si>
    <t>Protein 11.8%, Wet Gluten 29%, Dry Gluten 9%</t>
  </si>
  <si>
    <t>Paseena-17</t>
  </si>
  <si>
    <t>Pirsabak 2021</t>
  </si>
  <si>
    <t>Pirsabak-08</t>
  </si>
  <si>
    <t>Protein 19.0%, Moisture 10.0%, Wet Gluten 22.8%, Dry Gluten 11.9%</t>
  </si>
  <si>
    <t>Pirsabak-13</t>
  </si>
  <si>
    <t xml:space="preserve">Protein 10-11% </t>
  </si>
  <si>
    <t>Yellow Rust</t>
  </si>
  <si>
    <t>Pirsabak-15</t>
  </si>
  <si>
    <t>Protein 12.3%</t>
  </si>
  <si>
    <t>Pirsabak-2019</t>
  </si>
  <si>
    <t>Pirsabak-23</t>
  </si>
  <si>
    <t>Protein 13.72%, Gluten 9%</t>
  </si>
  <si>
    <t>Rehbar-21</t>
  </si>
  <si>
    <t>Protein 12.9%, Gluten Protein 21%, Starch 53.9%</t>
  </si>
  <si>
    <t>Shahid-17</t>
  </si>
  <si>
    <t>Protein 17.33%</t>
  </si>
  <si>
    <t>Shahkar-13</t>
  </si>
  <si>
    <t>Protein 10.96%</t>
  </si>
  <si>
    <t>Sheraz-23</t>
  </si>
  <si>
    <t>Subhani-21</t>
  </si>
  <si>
    <t>Protein 14-16%, Starch 53.3%, Gluten 23%</t>
  </si>
  <si>
    <t>Sawera-24</t>
  </si>
  <si>
    <t>Leaf Rust, Stripe Rust,Yellow Rust</t>
  </si>
  <si>
    <t>SWABI-1</t>
  </si>
  <si>
    <t>Starch 54.4%, Protein 13%, Gluten 25%</t>
  </si>
  <si>
    <t>Yellow Rust, Leaf Rust, Karnal Bunt</t>
  </si>
  <si>
    <t>Tanda 2023</t>
  </si>
  <si>
    <t>Yellow Rust, Leaf Rust, Stripe Rust</t>
  </si>
  <si>
    <t xml:space="preserve">Tarnab Gandum  </t>
  </si>
  <si>
    <t>Tarnab Rehbar</t>
  </si>
  <si>
    <t>short</t>
  </si>
  <si>
    <t>Protein 15.4%, Starch 54.4%, Wet Gluten 30%</t>
  </si>
  <si>
    <t>Taskeen 2022</t>
  </si>
  <si>
    <t>Taskeen-21</t>
  </si>
  <si>
    <t>TD-1</t>
  </si>
  <si>
    <t>Protein 14.06%, Wet Gluten 33%, Starch 70%</t>
  </si>
  <si>
    <t>TJ-83</t>
  </si>
  <si>
    <t>Protein 14.1%, Gluten 39%</t>
  </si>
  <si>
    <t>Ujala-2016</t>
  </si>
  <si>
    <t>Protein 14.7%</t>
  </si>
  <si>
    <t>Wadan-17</t>
  </si>
  <si>
    <t>Heat, Drought, Salinity</t>
  </si>
  <si>
    <t>Wafaq-23's</t>
  </si>
  <si>
    <t>Protein 12.5 %</t>
  </si>
  <si>
    <t>Zincol-2016</t>
  </si>
  <si>
    <t>Protein 12.4%, Wet Gluten 10%, Dry Gluten 6%</t>
  </si>
  <si>
    <t>Aphids, Armyworms, Termites, Leaf Minor Pests</t>
  </si>
  <si>
    <t>Moderate Charcoal Rot (Moderate), Alternaria Blight (High)</t>
  </si>
  <si>
    <t xml:space="preserve">Heat, Drought </t>
  </si>
  <si>
    <t>hysun 34</t>
  </si>
  <si>
    <t xml:space="preserve">Rainfed </t>
  </si>
  <si>
    <t>aguara 4</t>
  </si>
  <si>
    <t xml:space="preserve">Oil Content: 42.50% </t>
  </si>
  <si>
    <t>T-40318</t>
  </si>
  <si>
    <t>nk armani</t>
  </si>
  <si>
    <t>Oil Content: 42%</t>
  </si>
  <si>
    <t xml:space="preserve">Heat </t>
  </si>
  <si>
    <t>S-278</t>
  </si>
  <si>
    <t>US444</t>
  </si>
  <si>
    <t>Parson3</t>
  </si>
  <si>
    <t>oxsen 5270</t>
  </si>
  <si>
    <t>oxsen 5264</t>
  </si>
  <si>
    <t>Hsf 350</t>
  </si>
  <si>
    <t xml:space="preserve">Oil content 38% </t>
  </si>
  <si>
    <t>orisun516</t>
  </si>
  <si>
    <t>orisun648</t>
  </si>
  <si>
    <t>Charcoal Rot</t>
  </si>
  <si>
    <t>orisun701</t>
  </si>
  <si>
    <t>Root Stem Rots, Rust, Head Rot</t>
  </si>
  <si>
    <t>US666</t>
  </si>
  <si>
    <t>Protein: 12-14.4%, Hull Less</t>
  </si>
  <si>
    <t>Protein: 12.2-13.7%</t>
  </si>
  <si>
    <t>Protein: 11-12%</t>
  </si>
  <si>
    <t>Protein: 14%</t>
  </si>
  <si>
    <t>Protein: 12.8–13.5%</t>
  </si>
  <si>
    <t>Protein: 11.65 %, Ash: 2.22 %</t>
  </si>
  <si>
    <t>Yellow Rust (High)</t>
  </si>
  <si>
    <t>Stem Rust, Leaf Rust</t>
  </si>
  <si>
    <t>Rust (High)</t>
  </si>
  <si>
    <t>Water Logging</t>
  </si>
  <si>
    <t xml:space="preserve">Heat stress ,Drought,Water-Logging, </t>
  </si>
  <si>
    <t xml:space="preserve">Heat stress ,Drought ,Water-Logging,  </t>
  </si>
  <si>
    <t xml:space="preserve">Water-Logging, </t>
  </si>
  <si>
    <t xml:space="preserve">Heat, Drought, Water-Logging, </t>
  </si>
  <si>
    <t xml:space="preserve">Heat, Water-Logging, </t>
  </si>
  <si>
    <t>Water-Logging</t>
  </si>
  <si>
    <t>Heat, Drought, Water-Logging</t>
  </si>
  <si>
    <t>Drought, Water-Logging</t>
  </si>
  <si>
    <t>Heat, Water-Logging</t>
  </si>
  <si>
    <t>Heat, Water-Logging, Shattering</t>
  </si>
  <si>
    <t>ECt</t>
  </si>
  <si>
    <t>Slope</t>
  </si>
  <si>
    <t>SalineSensitivity</t>
  </si>
  <si>
    <t>Loss / Degree</t>
  </si>
  <si>
    <t xml:space="preserve">green </t>
  </si>
  <si>
    <t>Red Champion</t>
  </si>
  <si>
    <t>roma</t>
  </si>
  <si>
    <t>opv</t>
  </si>
  <si>
    <t xml:space="preserve">plum </t>
  </si>
  <si>
    <t>Sundar F1</t>
  </si>
  <si>
    <t>Ahmar F1</t>
  </si>
  <si>
    <t xml:space="preserve"> hybrid</t>
  </si>
  <si>
    <t>Nadir</t>
  </si>
  <si>
    <t>Surkhail F1</t>
  </si>
  <si>
    <t>Sahara F1</t>
  </si>
  <si>
    <t xml:space="preserve">money maker </t>
  </si>
  <si>
    <t>Rio grande</t>
  </si>
  <si>
    <t>MARJAN F-1</t>
  </si>
  <si>
    <t>SURKHAIL F1 (Hyb)</t>
  </si>
  <si>
    <t>NIAB JAUHAR (Hyb)</t>
  </si>
  <si>
    <t>NIAB GOHAR</t>
  </si>
  <si>
    <t>Sundar Hybrid</t>
  </si>
  <si>
    <t>Ahmar Hybrid</t>
  </si>
  <si>
    <t xml:space="preserve"> Late Blight , Verticillium , Early Blight</t>
  </si>
  <si>
    <t>Early Blight Disease</t>
  </si>
  <si>
    <t>Root knot</t>
  </si>
  <si>
    <t>Tomato Yellow Leaf Curl Cirus (TYLCV) (whitefly-borne)</t>
  </si>
  <si>
    <t xml:space="preserve"> Pseudomonas spp., Root-Knot Nematode, Fusarium</t>
  </si>
  <si>
    <t>ToLCVD, Fusarium wilt, TyLCV,  early blight</t>
  </si>
  <si>
    <t>leaf Roll virus, Bacterial Wilt, Fusarium Wilt, Verticillium Wilt, nematode and TMV (Tomato Mosaic Virus).</t>
  </si>
  <si>
    <t>late blight, gray mold, Fusarium wilt</t>
  </si>
  <si>
    <t>Early blight, Late blight</t>
  </si>
  <si>
    <t>Fusarium Wilt Resistance, Root-knot Nematode Resistance, Alternaria (Early Blight)</t>
  </si>
  <si>
    <t xml:space="preserve">Fruit bore, Aphids </t>
  </si>
  <si>
    <t>fruit bore</t>
  </si>
  <si>
    <t>Heat Tolerant</t>
  </si>
  <si>
    <t>Cold Tolerant</t>
  </si>
  <si>
    <t>Saline_Sensitivity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</si>
</sst>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Tahoma"/>
      <family val="2"/>
    </font>
    <font>
      <b/>
      <sz val="8"/>
      <name val="Tahoma"/>
      <family val="2"/>
    </font>
    <font>
      <b/>
      <sz val="8"/>
      <color rgb="FFFF0000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b/>
      <sz val="8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7">
    <xf numFmtId="0" fontId="0" fillId="0" borderId="0" xfId="0"/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" fontId="18" fillId="0" borderId="11" xfId="0" applyNumberFormat="1" applyFont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2" fontId="23" fillId="0" borderId="16" xfId="0" applyNumberFormat="1" applyFont="1" applyBorder="1" applyAlignment="1">
      <alignment horizontal="center"/>
    </xf>
    <xf numFmtId="2" fontId="18" fillId="0" borderId="16" xfId="0" applyNumberFormat="1" applyFont="1" applyBorder="1" applyAlignment="1">
      <alignment horizontal="center"/>
    </xf>
    <xf numFmtId="2" fontId="23" fillId="0" borderId="21" xfId="0" applyNumberFormat="1" applyFont="1" applyBorder="1" applyAlignment="1">
      <alignment horizontal="center"/>
    </xf>
    <xf numFmtId="2" fontId="23" fillId="0" borderId="22" xfId="0" applyNumberFormat="1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2" fontId="18" fillId="0" borderId="21" xfId="0" applyNumberFormat="1" applyFont="1" applyBorder="1" applyAlignment="1">
      <alignment horizontal="center"/>
    </xf>
    <xf numFmtId="0" fontId="23" fillId="0" borderId="16" xfId="0" applyFont="1" applyBorder="1" applyAlignment="1">
      <alignment vertical="center"/>
    </xf>
    <xf numFmtId="2" fontId="22" fillId="0" borderId="0" xfId="0" applyNumberFormat="1" applyFont="1" applyAlignment="1">
      <alignment horizontal="center"/>
    </xf>
    <xf numFmtId="0" fontId="18" fillId="0" borderId="17" xfId="0" applyFont="1" applyBorder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/>
    </xf>
    <xf numFmtId="0" fontId="23" fillId="0" borderId="0" xfId="0" applyFont="1" applyAlignment="1">
      <alignment horizontal="left" vertical="top"/>
    </xf>
    <xf numFmtId="0" fontId="23" fillId="0" borderId="0" xfId="0" applyFont="1"/>
    <xf numFmtId="0" fontId="18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22" fillId="0" borderId="17" xfId="0" applyFont="1" applyBorder="1" applyAlignment="1">
      <alignment horizontal="center"/>
    </xf>
    <xf numFmtId="0" fontId="23" fillId="0" borderId="0" xfId="0" applyFont="1" applyAlignment="1">
      <alignment vertical="center"/>
    </xf>
    <xf numFmtId="0" fontId="22" fillId="0" borderId="0" xfId="0" applyFont="1"/>
    <xf numFmtId="1" fontId="22" fillId="0" borderId="10" xfId="0" applyNumberFormat="1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2" fontId="18" fillId="0" borderId="0" xfId="0" quotePrefix="1" applyNumberFormat="1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16" fontId="18" fillId="0" borderId="10" xfId="0" applyNumberFormat="1" applyFont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left" vertical="center"/>
    </xf>
    <xf numFmtId="2" fontId="19" fillId="33" borderId="13" xfId="0" applyNumberFormat="1" applyFont="1" applyFill="1" applyBorder="1" applyAlignment="1">
      <alignment horizontal="center" vertical="center"/>
    </xf>
    <xf numFmtId="1" fontId="20" fillId="33" borderId="12" xfId="0" applyNumberFormat="1" applyFont="1" applyFill="1" applyBorder="1" applyAlignment="1">
      <alignment horizontal="center" vertical="center"/>
    </xf>
    <xf numFmtId="1" fontId="20" fillId="33" borderId="13" xfId="0" applyNumberFormat="1" applyFont="1" applyFill="1" applyBorder="1" applyAlignment="1">
      <alignment horizontal="center" vertical="center"/>
    </xf>
    <xf numFmtId="2" fontId="20" fillId="33" borderId="13" xfId="0" applyNumberFormat="1" applyFont="1" applyFill="1" applyBorder="1" applyAlignment="1">
      <alignment horizontal="center" vertical="center"/>
    </xf>
    <xf numFmtId="1" fontId="20" fillId="33" borderId="14" xfId="0" applyNumberFormat="1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164" fontId="19" fillId="33" borderId="13" xfId="0" applyNumberFormat="1" applyFont="1" applyFill="1" applyBorder="1" applyAlignment="1">
      <alignment horizontal="center" vertical="center"/>
    </xf>
    <xf numFmtId="2" fontId="19" fillId="33" borderId="12" xfId="0" applyNumberFormat="1" applyFont="1" applyFill="1" applyBorder="1" applyAlignment="1">
      <alignment horizontal="center" vertical="center"/>
    </xf>
    <xf numFmtId="2" fontId="19" fillId="33" borderId="1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2" fontId="22" fillId="0" borderId="10" xfId="0" applyNumberFormat="1" applyFont="1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2" fontId="20" fillId="33" borderId="12" xfId="0" applyNumberFormat="1" applyFont="1" applyFill="1" applyBorder="1" applyAlignment="1">
      <alignment horizontal="center" vertical="center"/>
    </xf>
    <xf numFmtId="2" fontId="20" fillId="33" borderId="14" xfId="0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23" fillId="0" borderId="17" xfId="0" applyFont="1" applyBorder="1" applyAlignment="1">
      <alignment horizontal="left" vertical="center" indent="1"/>
    </xf>
    <xf numFmtId="0" fontId="18" fillId="0" borderId="17" xfId="0" applyFont="1" applyBorder="1" applyAlignment="1">
      <alignment horizontal="left" vertical="center" indent="1"/>
    </xf>
    <xf numFmtId="0" fontId="22" fillId="0" borderId="17" xfId="0" applyFont="1" applyBorder="1" applyAlignment="1">
      <alignment horizontal="left" vertical="center" indent="1"/>
    </xf>
    <xf numFmtId="0" fontId="23" fillId="0" borderId="17" xfId="0" applyFont="1" applyBorder="1"/>
    <xf numFmtId="0" fontId="19" fillId="34" borderId="20" xfId="0" applyFont="1" applyFill="1" applyBorder="1" applyAlignment="1">
      <alignment horizontal="left" vertical="center"/>
    </xf>
    <xf numFmtId="0" fontId="19" fillId="34" borderId="22" xfId="0" applyFont="1" applyFill="1" applyBorder="1" applyAlignment="1">
      <alignment vertical="center"/>
    </xf>
    <xf numFmtId="0" fontId="19" fillId="34" borderId="22" xfId="0" applyFont="1" applyFill="1" applyBorder="1" applyAlignment="1">
      <alignment horizontal="left" vertical="center"/>
    </xf>
    <xf numFmtId="0" fontId="19" fillId="34" borderId="22" xfId="0" applyFont="1" applyFill="1" applyBorder="1" applyAlignment="1">
      <alignment horizontal="center"/>
    </xf>
    <xf numFmtId="2" fontId="19" fillId="34" borderId="22" xfId="0" applyNumberFormat="1" applyFont="1" applyFill="1" applyBorder="1" applyAlignment="1">
      <alignment horizontal="center"/>
    </xf>
    <xf numFmtId="2" fontId="19" fillId="34" borderId="18" xfId="0" applyNumberFormat="1" applyFont="1" applyFill="1" applyBorder="1" applyAlignment="1">
      <alignment horizontal="center"/>
    </xf>
    <xf numFmtId="2" fontId="19" fillId="34" borderId="1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0" xfId="0" applyFont="1"/>
    <xf numFmtId="164" fontId="19" fillId="33" borderId="14" xfId="0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18" fillId="0" borderId="0" xfId="0" applyFont="1" applyAlignment="1">
      <alignment horizontal="left" vertical="center"/>
    </xf>
    <xf numFmtId="2" fontId="19" fillId="34" borderId="20" xfId="0" applyNumberFormat="1" applyFont="1" applyFill="1" applyBorder="1" applyAlignment="1">
      <alignment horizontal="center"/>
    </xf>
    <xf numFmtId="0" fontId="21" fillId="0" borderId="23" xfId="0" applyFont="1" applyBorder="1" applyAlignment="1">
      <alignment horizontal="left" vertical="center"/>
    </xf>
    <xf numFmtId="0" fontId="19" fillId="34" borderId="25" xfId="0" applyFont="1" applyFill="1" applyBorder="1" applyAlignment="1">
      <alignment horizontal="left" vertical="center"/>
    </xf>
    <xf numFmtId="0" fontId="19" fillId="34" borderId="25" xfId="0" applyFont="1" applyFill="1" applyBorder="1" applyAlignment="1">
      <alignment vertical="center"/>
    </xf>
    <xf numFmtId="0" fontId="19" fillId="34" borderId="25" xfId="0" applyFont="1" applyFill="1" applyBorder="1" applyAlignment="1">
      <alignment horizontal="center"/>
    </xf>
    <xf numFmtId="2" fontId="19" fillId="34" borderId="25" xfId="0" applyNumberFormat="1" applyFont="1" applyFill="1" applyBorder="1" applyAlignment="1">
      <alignment horizontal="center"/>
    </xf>
    <xf numFmtId="2" fontId="19" fillId="34" borderId="26" xfId="0" applyNumberFormat="1" applyFont="1" applyFill="1" applyBorder="1" applyAlignment="1">
      <alignment horizontal="center"/>
    </xf>
    <xf numFmtId="2" fontId="19" fillId="34" borderId="27" xfId="0" applyNumberFormat="1" applyFont="1" applyFill="1" applyBorder="1" applyAlignment="1">
      <alignment horizontal="center"/>
    </xf>
    <xf numFmtId="0" fontId="23" fillId="34" borderId="25" xfId="0" applyFont="1" applyFill="1" applyBorder="1" applyAlignment="1">
      <alignment horizontal="left" vertical="center"/>
    </xf>
    <xf numFmtId="0" fontId="23" fillId="34" borderId="25" xfId="0" applyFont="1" applyFill="1" applyBorder="1" applyAlignment="1">
      <alignment vertical="center"/>
    </xf>
    <xf numFmtId="0" fontId="23" fillId="34" borderId="25" xfId="0" applyFont="1" applyFill="1" applyBorder="1" applyAlignment="1">
      <alignment horizontal="center"/>
    </xf>
    <xf numFmtId="2" fontId="23" fillId="34" borderId="25" xfId="0" applyNumberFormat="1" applyFont="1" applyFill="1" applyBorder="1" applyAlignment="1">
      <alignment horizontal="center"/>
    </xf>
    <xf numFmtId="2" fontId="23" fillId="34" borderId="26" xfId="0" applyNumberFormat="1" applyFont="1" applyFill="1" applyBorder="1" applyAlignment="1">
      <alignment horizontal="center"/>
    </xf>
    <xf numFmtId="2" fontId="23" fillId="34" borderId="27" xfId="0" applyNumberFormat="1" applyFont="1" applyFill="1" applyBorder="1" applyAlignment="1">
      <alignment horizontal="center"/>
    </xf>
    <xf numFmtId="0" fontId="19" fillId="33" borderId="28" xfId="0" applyFont="1" applyFill="1" applyBorder="1" applyAlignment="1">
      <alignment horizontal="center" vertical="center"/>
    </xf>
    <xf numFmtId="1" fontId="20" fillId="33" borderId="29" xfId="0" applyNumberFormat="1" applyFont="1" applyFill="1" applyBorder="1" applyAlignment="1">
      <alignment horizontal="center" vertical="center"/>
    </xf>
    <xf numFmtId="1" fontId="20" fillId="33" borderId="30" xfId="0" applyNumberFormat="1" applyFont="1" applyFill="1" applyBorder="1" applyAlignment="1">
      <alignment horizontal="center" vertical="center"/>
    </xf>
    <xf numFmtId="2" fontId="20" fillId="33" borderId="30" xfId="0" applyNumberFormat="1" applyFont="1" applyFill="1" applyBorder="1" applyAlignment="1">
      <alignment horizontal="center" vertical="center"/>
    </xf>
    <xf numFmtId="1" fontId="20" fillId="33" borderId="28" xfId="0" applyNumberFormat="1" applyFont="1" applyFill="1" applyBorder="1" applyAlignment="1">
      <alignment horizontal="center" vertical="center"/>
    </xf>
    <xf numFmtId="0" fontId="19" fillId="33" borderId="29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1" fontId="22" fillId="0" borderId="13" xfId="0" applyNumberFormat="1" applyFon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2" fontId="20" fillId="33" borderId="29" xfId="0" applyNumberFormat="1" applyFont="1" applyFill="1" applyBorder="1" applyAlignment="1">
      <alignment horizontal="center" vertical="center"/>
    </xf>
    <xf numFmtId="0" fontId="20" fillId="33" borderId="30" xfId="0" applyFont="1" applyFill="1" applyBorder="1" applyAlignment="1">
      <alignment horizontal="center" vertical="center"/>
    </xf>
    <xf numFmtId="2" fontId="22" fillId="0" borderId="12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1" fontId="22" fillId="0" borderId="14" xfId="0" applyNumberFormat="1" applyFont="1" applyBorder="1" applyAlignment="1">
      <alignment horizontal="center" vertical="center"/>
    </xf>
    <xf numFmtId="2" fontId="19" fillId="33" borderId="29" xfId="0" applyNumberFormat="1" applyFont="1" applyFill="1" applyBorder="1" applyAlignment="1">
      <alignment horizontal="center" vertical="center"/>
    </xf>
    <xf numFmtId="2" fontId="19" fillId="33" borderId="28" xfId="0" applyNumberFormat="1" applyFont="1" applyFill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2" fontId="19" fillId="33" borderId="30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24" xfId="0" applyFont="1" applyFill="1" applyBorder="1" applyAlignment="1">
      <alignment horizontal="center" vertical="center"/>
    </xf>
    <xf numFmtId="16" fontId="18" fillId="0" borderId="15" xfId="0" applyNumberFormat="1" applyFont="1" applyBorder="1" applyAlignment="1">
      <alignment horizontal="center" vertical="center"/>
    </xf>
    <xf numFmtId="16" fontId="18" fillId="0" borderId="24" xfId="0" applyNumberFormat="1" applyFont="1" applyBorder="1" applyAlignment="1">
      <alignment horizontal="center" vertical="center"/>
    </xf>
    <xf numFmtId="16" fontId="18" fillId="0" borderId="12" xfId="0" applyNumberFormat="1" applyFont="1" applyBorder="1" applyAlignment="1">
      <alignment horizontal="center" vertical="center"/>
    </xf>
    <xf numFmtId="16" fontId="18" fillId="0" borderId="14" xfId="0" applyNumberFormat="1" applyFont="1" applyBorder="1" applyAlignment="1">
      <alignment horizontal="center" vertical="center"/>
    </xf>
    <xf numFmtId="0" fontId="19" fillId="34" borderId="13" xfId="0" applyFont="1" applyFill="1" applyBorder="1" applyAlignment="1">
      <alignment horizontal="left" vertical="center"/>
    </xf>
    <xf numFmtId="16" fontId="18" fillId="0" borderId="0" xfId="0" applyNumberFormat="1" applyFont="1" applyAlignment="1">
      <alignment horizontal="left" vertical="center"/>
    </xf>
    <xf numFmtId="2" fontId="21" fillId="0" borderId="10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center" vertical="center"/>
    </xf>
    <xf numFmtId="16" fontId="18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top" wrapText="1"/>
    </xf>
    <xf numFmtId="10" fontId="21" fillId="0" borderId="0" xfId="0" applyNumberFormat="1" applyFont="1" applyAlignment="1">
      <alignment horizontal="center" vertical="center"/>
    </xf>
    <xf numFmtId="0" fontId="20" fillId="33" borderId="14" xfId="0" applyFont="1" applyFill="1" applyBorder="1" applyAlignment="1">
      <alignment horizontal="center" vertical="center"/>
    </xf>
    <xf numFmtId="164" fontId="19" fillId="33" borderId="29" xfId="0" applyNumberFormat="1" applyFont="1" applyFill="1" applyBorder="1" applyAlignment="1">
      <alignment horizontal="center" vertical="center"/>
    </xf>
    <xf numFmtId="164" fontId="19" fillId="33" borderId="28" xfId="0" applyNumberFormat="1" applyFont="1" applyFill="1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 vertical="center"/>
    </xf>
    <xf numFmtId="164" fontId="21" fillId="0" borderId="12" xfId="0" applyNumberFormat="1" applyFont="1" applyBorder="1" applyAlignment="1">
      <alignment horizontal="center" vertical="center"/>
    </xf>
    <xf numFmtId="164" fontId="21" fillId="0" borderId="14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21" fillId="0" borderId="32" xfId="0" applyNumberFormat="1" applyFont="1" applyBorder="1" applyAlignment="1">
      <alignment horizontal="center" vertical="center"/>
    </xf>
    <xf numFmtId="164" fontId="21" fillId="0" borderId="33" xfId="0" applyNumberFormat="1" applyFont="1" applyBorder="1" applyAlignment="1">
      <alignment horizontal="center" vertical="center"/>
    </xf>
    <xf numFmtId="164" fontId="21" fillId="0" borderId="35" xfId="0" applyNumberFormat="1" applyFont="1" applyBorder="1" applyAlignment="1">
      <alignment horizontal="center" vertical="center"/>
    </xf>
    <xf numFmtId="164" fontId="21" fillId="0" borderId="34" xfId="0" applyNumberFormat="1" applyFont="1" applyBorder="1" applyAlignment="1">
      <alignment horizontal="center" vertical="center"/>
    </xf>
    <xf numFmtId="2" fontId="18" fillId="0" borderId="22" xfId="0" applyNumberFormat="1" applyFont="1" applyBorder="1" applyAlignment="1">
      <alignment horizontal="center"/>
    </xf>
    <xf numFmtId="0" fontId="19" fillId="34" borderId="18" xfId="0" applyFont="1" applyFill="1" applyBorder="1" applyAlignment="1">
      <alignment horizontal="left" vertical="center"/>
    </xf>
    <xf numFmtId="0" fontId="18" fillId="0" borderId="18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22" fillId="0" borderId="0" xfId="0" applyFont="1" applyAlignment="1">
      <alignment horizontal="left"/>
    </xf>
    <xf numFmtId="46" fontId="18" fillId="0" borderId="0" xfId="0" applyNumberFormat="1" applyFont="1" applyAlignment="1">
      <alignment horizontal="left"/>
    </xf>
    <xf numFmtId="0" fontId="19" fillId="34" borderId="20" xfId="0" applyFont="1" applyFill="1" applyBorder="1" applyAlignment="1">
      <alignment horizontal="center"/>
    </xf>
    <xf numFmtId="0" fontId="19" fillId="0" borderId="16" xfId="0" applyFont="1" applyBorder="1"/>
    <xf numFmtId="0" fontId="19" fillId="0" borderId="17" xfId="0" applyFont="1" applyBorder="1"/>
    <xf numFmtId="0" fontId="21" fillId="0" borderId="16" xfId="0" applyFont="1" applyBorder="1"/>
    <xf numFmtId="0" fontId="21" fillId="0" borderId="17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20" xfId="0" applyFont="1" applyBorder="1"/>
    <xf numFmtId="0" fontId="19" fillId="34" borderId="27" xfId="0" applyFont="1" applyFill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2" fontId="19" fillId="0" borderId="17" xfId="0" applyNumberFormat="1" applyFont="1" applyBorder="1" applyAlignment="1">
      <alignment horizontal="center"/>
    </xf>
    <xf numFmtId="2" fontId="21" fillId="0" borderId="17" xfId="0" applyNumberFormat="1" applyFont="1" applyBorder="1" applyAlignment="1">
      <alignment horizontal="center"/>
    </xf>
    <xf numFmtId="2" fontId="23" fillId="0" borderId="19" xfId="0" applyNumberFormat="1" applyFont="1" applyBorder="1" applyAlignment="1">
      <alignment horizontal="center"/>
    </xf>
    <xf numFmtId="2" fontId="23" fillId="0" borderId="20" xfId="0" applyNumberFormat="1" applyFont="1" applyBorder="1" applyAlignment="1">
      <alignment horizontal="center"/>
    </xf>
    <xf numFmtId="2" fontId="23" fillId="0" borderId="17" xfId="0" applyNumberFormat="1" applyFont="1" applyBorder="1" applyAlignment="1">
      <alignment horizontal="center"/>
    </xf>
    <xf numFmtId="0" fontId="23" fillId="0" borderId="16" xfId="0" applyFont="1" applyBorder="1"/>
    <xf numFmtId="0" fontId="18" fillId="0" borderId="16" xfId="0" applyFont="1" applyBorder="1"/>
    <xf numFmtId="0" fontId="20" fillId="0" borderId="17" xfId="0" applyFont="1" applyBorder="1"/>
    <xf numFmtId="0" fontId="22" fillId="0" borderId="17" xfId="0" applyFont="1" applyBorder="1"/>
    <xf numFmtId="2" fontId="22" fillId="0" borderId="17" xfId="0" applyNumberFormat="1" applyFont="1" applyBorder="1" applyAlignment="1">
      <alignment horizontal="center"/>
    </xf>
    <xf numFmtId="0" fontId="21" fillId="0" borderId="18" xfId="0" applyFont="1" applyBorder="1"/>
    <xf numFmtId="0" fontId="21" fillId="0" borderId="19" xfId="0" applyFont="1" applyBorder="1"/>
    <xf numFmtId="0" fontId="21" fillId="0" borderId="20" xfId="0" applyFont="1" applyBorder="1"/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2" fontId="19" fillId="0" borderId="16" xfId="0" applyNumberFormat="1" applyFont="1" applyBorder="1" applyAlignment="1">
      <alignment horizontal="center"/>
    </xf>
    <xf numFmtId="2" fontId="21" fillId="0" borderId="16" xfId="0" applyNumberFormat="1" applyFont="1" applyBorder="1" applyAlignment="1">
      <alignment horizontal="center"/>
    </xf>
    <xf numFmtId="2" fontId="19" fillId="0" borderId="18" xfId="0" applyNumberFormat="1" applyFont="1" applyBorder="1" applyAlignment="1">
      <alignment horizontal="center"/>
    </xf>
    <xf numFmtId="2" fontId="19" fillId="0" borderId="19" xfId="0" applyNumberFormat="1" applyFont="1" applyBorder="1" applyAlignment="1">
      <alignment horizontal="center"/>
    </xf>
    <xf numFmtId="2" fontId="19" fillId="0" borderId="20" xfId="0" applyNumberFormat="1" applyFont="1" applyBorder="1" applyAlignment="1">
      <alignment horizontal="center"/>
    </xf>
    <xf numFmtId="2" fontId="19" fillId="0" borderId="21" xfId="0" applyNumberFormat="1" applyFont="1" applyBorder="1" applyAlignment="1">
      <alignment horizontal="center"/>
    </xf>
    <xf numFmtId="2" fontId="19" fillId="0" borderId="22" xfId="0" applyNumberFormat="1" applyFont="1" applyBorder="1" applyAlignment="1">
      <alignment horizontal="center"/>
    </xf>
    <xf numFmtId="0" fontId="23" fillId="0" borderId="17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0" fontId="22" fillId="0" borderId="17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9" fillId="34" borderId="0" xfId="0" applyFont="1" applyFill="1" applyAlignment="1">
      <alignment horizontal="left" vertical="center"/>
    </xf>
    <xf numFmtId="0" fontId="19" fillId="34" borderId="0" xfId="0" applyFont="1" applyFill="1" applyAlignment="1">
      <alignment vertical="center"/>
    </xf>
    <xf numFmtId="0" fontId="19" fillId="34" borderId="17" xfId="0" applyFont="1" applyFill="1" applyBorder="1" applyAlignment="1">
      <alignment horizontal="left" vertical="center"/>
    </xf>
    <xf numFmtId="0" fontId="19" fillId="34" borderId="0" xfId="0" applyFont="1" applyFill="1" applyAlignment="1">
      <alignment horizontal="center"/>
    </xf>
    <xf numFmtId="0" fontId="19" fillId="34" borderId="17" xfId="0" applyFont="1" applyFill="1" applyBorder="1" applyAlignment="1">
      <alignment horizontal="center"/>
    </xf>
    <xf numFmtId="2" fontId="19" fillId="34" borderId="0" xfId="0" applyNumberFormat="1" applyFont="1" applyFill="1" applyAlignment="1">
      <alignment horizontal="center"/>
    </xf>
    <xf numFmtId="2" fontId="19" fillId="34" borderId="17" xfId="0" applyNumberFormat="1" applyFont="1" applyFill="1" applyBorder="1" applyAlignment="1">
      <alignment horizontal="center"/>
    </xf>
    <xf numFmtId="2" fontId="18" fillId="0" borderId="17" xfId="0" applyNumberFormat="1" applyFont="1" applyBorder="1" applyAlignment="1">
      <alignment horizontal="center"/>
    </xf>
    <xf numFmtId="0" fontId="23" fillId="0" borderId="17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18" fillId="0" borderId="17" xfId="0" applyFont="1" applyBorder="1" applyAlignment="1">
      <alignment wrapText="1"/>
    </xf>
    <xf numFmtId="0" fontId="21" fillId="0" borderId="17" xfId="0" applyFont="1" applyBorder="1" applyAlignment="1">
      <alignment wrapText="1"/>
    </xf>
    <xf numFmtId="3" fontId="21" fillId="0" borderId="17" xfId="0" applyNumberFormat="1" applyFont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19" fillId="34" borderId="26" xfId="0" applyFont="1" applyFill="1" applyBorder="1" applyAlignment="1">
      <alignment horizontal="left" vertical="center"/>
    </xf>
    <xf numFmtId="0" fontId="19" fillId="34" borderId="36" xfId="0" applyFont="1" applyFill="1" applyBorder="1" applyAlignment="1">
      <alignment vertical="center"/>
    </xf>
    <xf numFmtId="0" fontId="19" fillId="34" borderId="27" xfId="0" applyFont="1" applyFill="1" applyBorder="1" applyAlignment="1">
      <alignment horizontal="left" vertical="center"/>
    </xf>
    <xf numFmtId="0" fontId="19" fillId="34" borderId="36" xfId="0" applyFont="1" applyFill="1" applyBorder="1" applyAlignment="1">
      <alignment horizontal="center"/>
    </xf>
    <xf numFmtId="2" fontId="19" fillId="34" borderId="36" xfId="0" applyNumberFormat="1" applyFont="1" applyFill="1" applyBorder="1" applyAlignment="1">
      <alignment horizontal="center"/>
    </xf>
    <xf numFmtId="0" fontId="19" fillId="34" borderId="26" xfId="0" applyFont="1" applyFill="1" applyBorder="1" applyAlignment="1">
      <alignment horizontal="center"/>
    </xf>
    <xf numFmtId="0" fontId="19" fillId="34" borderId="19" xfId="0" applyFont="1" applyFill="1" applyBorder="1" applyAlignment="1">
      <alignment horizontal="left" vertical="center"/>
    </xf>
    <xf numFmtId="0" fontId="19" fillId="34" borderId="19" xfId="0" applyFont="1" applyFill="1" applyBorder="1" applyAlignment="1">
      <alignment vertical="center"/>
    </xf>
    <xf numFmtId="0" fontId="19" fillId="34" borderId="19" xfId="0" applyFont="1" applyFill="1" applyBorder="1" applyAlignment="1">
      <alignment horizontal="center"/>
    </xf>
    <xf numFmtId="0" fontId="19" fillId="0" borderId="17" xfId="0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2" fontId="18" fillId="0" borderId="18" xfId="0" applyNumberFormat="1" applyFont="1" applyBorder="1" applyAlignment="1">
      <alignment horizontal="center"/>
    </xf>
    <xf numFmtId="2" fontId="18" fillId="0" borderId="19" xfId="0" applyNumberFormat="1" applyFont="1" applyBorder="1" applyAlignment="1">
      <alignment horizontal="center"/>
    </xf>
    <xf numFmtId="2" fontId="18" fillId="0" borderId="20" xfId="0" applyNumberFormat="1" applyFont="1" applyBorder="1" applyAlignment="1">
      <alignment horizontal="center"/>
    </xf>
    <xf numFmtId="0" fontId="19" fillId="33" borderId="37" xfId="0" applyFont="1" applyFill="1" applyBorder="1" applyAlignment="1">
      <alignment horizontal="center" vertical="center"/>
    </xf>
    <xf numFmtId="1" fontId="21" fillId="0" borderId="38" xfId="0" applyNumberFormat="1" applyFont="1" applyBorder="1" applyAlignment="1">
      <alignment horizontal="center" vertical="center"/>
    </xf>
    <xf numFmtId="1" fontId="21" fillId="0" borderId="39" xfId="0" applyNumberFormat="1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 style="thin">
          <color indexed="64"/>
        </left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 style="thin">
          <color indexed="64"/>
        </left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  <top/>
        <bottom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1EEC0-1C86-487B-BB67-8946CBFC2792}" name="CropNorms_Wheat" displayName="CropNorms_Wheat" ref="B418:CL505" totalsRowShown="0" headerRowDxfId="4496" dataDxfId="4494" headerRowBorderDxfId="4495" tableBorderDxfId="4493">
  <tableColumns count="89">
    <tableColumn id="1" xr3:uid="{C3BF35C3-F169-41A2-A13E-239151319F29}" name="Crop_Name" dataDxfId="4492"/>
    <tableColumn id="2" xr3:uid="{8C94D982-2317-40E3-972C-6E2DD71F8D30}" name="Variety_Name" dataDxfId="4491"/>
    <tableColumn id="3" xr3:uid="{C224957A-F781-4A34-B714-376381417D6F}" name="Variety_Type" dataDxfId="4490"/>
    <tableColumn id="4" xr3:uid="{B18EDB46-DBDB-46F0-84E6-26A9B64E1DAC}" name="Height_Class" dataDxfId="4489"/>
    <tableColumn id="5" xr3:uid="{A17813DE-A389-474D-8398-8FBD9BCE685F}" name="Height_cm" dataDxfId="4488"/>
    <tableColumn id="6" xr3:uid="{DF274EDA-61BE-4A6E-90BD-60C00D5D22D6}" name="Nutrient_Content" dataDxfId="4487"/>
    <tableColumn id="7" xr3:uid="{049C95EB-8181-4BBF-B896-8ED0E461517A}" name="Common_Disease_Tolerance" dataDxfId="4486"/>
    <tableColumn id="8" xr3:uid="{740C76C2-FE92-43EA-A1AA-23A77FFE0A87}" name="Common_Pest_Tolerance" dataDxfId="4485"/>
    <tableColumn id="9" xr3:uid="{518DEAD6-539F-463F-81C0-7AACE1CDD332}" name="Environmental_Resilience" dataDxfId="4484"/>
    <tableColumn id="10" xr3:uid="{153AA3F1-ABAB-41BC-B108-7A35AEBE7A48}" name="Category" dataDxfId="4483"/>
    <tableColumn id="11" xr3:uid="{F59B0A6E-15C3-49F1-9FA4-F9A2C7257BEF}" name="Country" dataDxfId="4482"/>
    <tableColumn id="12" xr3:uid="{7CF4A68B-AD39-4A9A-8232-A1CFDF49C050}" name="Season" dataDxfId="4481"/>
    <tableColumn id="13" xr3:uid="{F1840376-00F3-41A9-AA4A-F9467E8B0442}" name="PAR" dataDxfId="4480"/>
    <tableColumn id="14" xr3:uid="{8099FBE8-9905-461C-A143-65ACCD3A905F}" name="Region" dataDxfId="4479"/>
    <tableColumn id="15" xr3:uid="{1115DD37-B0C6-4FBB-8B29-3C570008CCE4}" name="Seed_Weight_mg" dataDxfId="4478"/>
    <tableColumn id="16" xr3:uid="{B6221D01-16C6-43C4-B478-78CA88E06ED4}" name="Crop_Min_Temp" dataDxfId="4477"/>
    <tableColumn id="17" xr3:uid="{FE37742A-D8CF-4EE0-9284-1C618742FD99}" name="Base_Temp" dataDxfId="4476"/>
    <tableColumn id="18" xr3:uid="{988A1F14-9B04-4C73-8D7B-DDB5C7C1D8FD}" name="Opt._Temp" dataDxfId="4475"/>
    <tableColumn id="19" xr3:uid="{6260FFDE-666C-47AD-A08C-49BF815EAD8F}" name="Upper_Temp" dataDxfId="4474"/>
    <tableColumn id="89" xr3:uid="{4AA766ED-909C-4923-AAA5-9046E4A6B719}" name="Loss / Degree" dataDxfId="4473"/>
    <tableColumn id="20" xr3:uid="{0FFBFFE0-891A-4A45-871F-037A15A72057}" name="Min_Days" dataDxfId="4472"/>
    <tableColumn id="21" xr3:uid="{0911FCCE-1B87-485E-A919-CDA25F4D5FD1}" name="Max_Days" dataDxfId="4471"/>
    <tableColumn id="22" xr3:uid="{763D59EE-80A5-429A-BDCB-3A0377973BFB}" name="Ripening_S_GDD" dataDxfId="4470">
      <calculatedColumnFormula>_xlfn.XLOOKUP("Ripening", CropPhenology_Wheat[Main_Stage], CropPhenology_Wheat[Start_GDD], "Not Found")</calculatedColumnFormula>
    </tableColumn>
    <tableColumn id="23" xr3:uid="{5EB17354-094C-46B0-8621-4162CD2C3C41}" name="Ripening_E_GDD" dataDxfId="4469">
      <calculatedColumnFormula array="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calculatedColumnFormula>
    </tableColumn>
    <tableColumn id="24" xr3:uid="{6F043B0F-DC49-47F8-A6FD-C8E22225CE11}" name="Avg. Daily GDD" dataDxfId="4468">
      <calculatedColumnFormula>MIN(Y419/V419,MAX(X419/W419,R419,(X419/W419+Y419/V419)/2))</calculatedColumnFormula>
    </tableColumn>
    <tableColumn id="25" xr3:uid="{A4CFFC02-94CB-4073-A8A3-5C47CDF772A7}" name="Days_to_Ripening" dataDxfId="4467">
      <calculatedColumnFormula>Y419/Z419</calculatedColumnFormula>
    </tableColumn>
    <tableColumn id="26" xr3:uid="{7D32A2B7-4F08-4408-AA44-0885905D52DD}" name="Sunshine" dataDxfId="4466"/>
    <tableColumn id="27" xr3:uid="{1D0E7562-F32A-4F17-A5A8-DBBF28717704}" name="Soil_Temp_Min" dataDxfId="4465"/>
    <tableColumn id="28" xr3:uid="{07D254D7-1A5B-47B9-8BC1-F8227B63AEAC}" name="VPA_Max" dataDxfId="4464"/>
    <tableColumn id="29" xr3:uid="{B8F2BA6F-6583-4EAB-93FE-3E40A9825F09}" name="Humidity_Max" dataDxfId="4463"/>
    <tableColumn id="30" xr3:uid="{9AD3B42E-BD7E-48D4-8F92-7AEDBB8D96C8}" name="Dew_Point_Min" dataDxfId="4462"/>
    <tableColumn id="31" xr3:uid="{B5878D12-B5D9-43BF-83D4-65C83A7AA446}" name="WS_2m_Max" dataDxfId="4461"/>
    <tableColumn id="32" xr3:uid="{D64D1459-F6A4-4E7D-958A-DC3C84843048}" name="GDD_Adjust" dataDxfId="4460">
      <calculatedColumnFormula>IFERROR((Y419-X419)/AA419,0)</calculatedColumnFormula>
    </tableColumn>
    <tableColumn id="33" xr3:uid="{934E3526-C672-4714-9A27-0D3BA425717B}" name="pH_Min" dataDxfId="4459"/>
    <tableColumn id="34" xr3:uid="{C0A5BC03-71D4-4434-B7D4-980C7F7FF7BB}" name="pH_Max" dataDxfId="4458"/>
    <tableColumn id="87" xr3:uid="{C13911AA-EB8C-45E6-803C-4E4E2A7F8772}" name="ECt" dataDxfId="4457"/>
    <tableColumn id="88" xr3:uid="{21CE4395-9E89-46DD-8C57-46405FEAB60A}" name="Slope" dataDxfId="4456"/>
    <tableColumn id="35" xr3:uid="{39FDCCD7-0937-43CB-8CC4-F9999C299DAA}" name="CWR_Min" dataDxfId="4455"/>
    <tableColumn id="36" xr3:uid="{A6D98711-699A-448C-B447-7074700C8331}" name="CWR_Max" dataDxfId="4454"/>
    <tableColumn id="37" xr3:uid="{BC80E127-A415-40E4-B3FD-61E63DD870B3}" name="Sowing_Depth_cm" dataDxfId="4453"/>
    <tableColumn id="38" xr3:uid="{F7F5F46C-793C-4359-912C-ADB51F5B0D62}" name="Root_Depth_cm" dataDxfId="4452"/>
    <tableColumn id="39" xr3:uid="{C9FE9D64-7533-42D4-BFB8-2BB16AD34E10}" name="Stress_Tolerance_Index" dataDxfId="4451"/>
    <tableColumn id="40" xr3:uid="{163E1A9F-CDB5-45A4-AFAF-8926AD1436EA}" name="Row_Spacing_cm" dataDxfId="4450"/>
    <tableColumn id="41" xr3:uid="{5389A9FD-0D1B-4F4C-AFAE-57ADE1D61610}" name="Plant_to_Plant_cm" dataDxfId="4449"/>
    <tableColumn id="42" xr3:uid="{E4CF47E9-A003-4C00-B4F2-DC0B59102930}" name="Seed_Per_Spot" dataDxfId="4448"/>
    <tableColumn id="43" xr3:uid="{997D208C-D939-4586-99D3-08281339216E}" name="Seed_Rate_m2" dataDxfId="4447">
      <calculatedColumnFormula>IFERROR(10000/(AS419*AR419),0)*AT419</calculatedColumnFormula>
    </tableColumn>
    <tableColumn id="44" xr3:uid="{7D317250-CCBE-46A7-A900-85D8EF53BE9D}" name="Seed_Weight_kg/ha" dataDxfId="4446">
      <calculatedColumnFormula>ROUND((P419/1000000)*AU419*10000,2)</calculatedColumnFormula>
    </tableColumn>
    <tableColumn id="45" xr3:uid="{727A0404-8541-41FF-A898-010C83391738}" name="Germination_%" dataDxfId="4445"/>
    <tableColumn id="46" xr3:uid="{A057009C-68CA-486F-89F0-7403E5D1FC6F}" name="Effective_Plants_m2" dataDxfId="4444">
      <calculatedColumnFormula>IFERROR((AU419*AW419/100),0)</calculatedColumnFormula>
    </tableColumn>
    <tableColumn id="47" xr3:uid="{92367C08-44F1-44EC-B712-CE3911B0C8AB}" name="Tillers_Per_Plant" dataDxfId="4443"/>
    <tableColumn id="48" xr3:uid="{257D080D-3A94-4B32-9223-7FE454FD6509}" name="Shoots_Per_m2" dataDxfId="4442">
      <calculatedColumnFormula>IFERROR(AX419*AY419,0)</calculatedColumnFormula>
    </tableColumn>
    <tableColumn id="49" xr3:uid="{3888C6E8-08D1-436B-9CA4-E983B4C50263}" name="Survival_Ratio" dataDxfId="4441"/>
    <tableColumn id="50" xr3:uid="{D491FFB1-30A5-4129-880E-9B82D373507B}" name="Shoot_Bearing_m2" dataDxfId="4440">
      <calculatedColumnFormula>IFERROR(AZ419*BA419,0)</calculatedColumnFormula>
    </tableColumn>
    <tableColumn id="51" xr3:uid="{4598480D-6717-48B4-92B3-723D95449BA8}" name="Leaf_Area_Per_Shoot_m2" dataDxfId="4439"/>
    <tableColumn id="52" xr3:uid="{1B8A57D7-FE5D-4FEE-BA57-7E6573B60988}" name="Start_LAI" dataDxfId="4438">
      <calculatedColumnFormula>IFERROR(
  MAX(0.05, MIN(0.5, CropNorms_Wheat[[#This Row],[Leaf_Area_Per_Shoot_m2]] * CropNorms_Wheat[[#This Row],[Shoot_Bearing_m2]] )),
  0.2
)</calculatedColumnFormula>
    </tableColumn>
    <tableColumn id="53" xr3:uid="{96D87C4B-D1B7-400D-947E-961F92CF6FB3}" name="LAI_Start_GDD" dataDxfId="4437">
      <calculatedColumnFormula>_xlfn.XLOOKUP(CropNorms_Wheat[[#This Row],[LAI_Start_BBCH]], CropPhenology_Wheat[Sub_Stage], CropPhenology_Wheat[Start_GDD], "Not Found")</calculatedColumnFormula>
    </tableColumn>
    <tableColumn id="54" xr3:uid="{F60FD0C5-A760-4E0A-8366-0D69A4C8F0F5}" name="Max_LAI" dataDxfId="4436">
      <calculatedColumnFormula>ROUND(BB419*BC419,2)</calculatedColumnFormula>
    </tableColumn>
    <tableColumn id="55" xr3:uid="{47BAFE3F-8E19-4547-B162-2D3570919A1F}" name="LAI_Max_GDD" dataDxfId="4435">
      <calculatedColumnFormula>AVERAGE(
  _xlfn.XLOOKUP(CropNorms_Wheat[[#This Row],[LAI_Max_BBCH]], CropPhenology_Wheat[Sub_Stage], CropPhenology_Wheat[Start_GDD]),
  _xlfn.XLOOKUP(CropNorms_Wheat[[#This Row],[LAI_Max_BBCH]], CropPhenology_Wheat[Sub_Stage], CropPhenology_Wheat[End_GDD])
)</calculatedColumnFormula>
    </tableColumn>
    <tableColumn id="56" xr3:uid="{A8C1B66B-89CE-437E-857D-8A70386E8222}" name="End_LAI" dataDxfId="4434">
      <calculatedColumnFormula>IF(CropNorms_Wheat[[#This Row],[Max_LAI]]&gt;=1.2, 0.85*CropNorms_Wheat[[#This Row],[Max_LAI]], 1)</calculatedColumnFormula>
    </tableColumn>
    <tableColumn id="57" xr3:uid="{0793CA25-4E6B-4CC6-9CD9-B8FDA93A9332}" name="LAI_End_GDD" dataDxfId="4433">
      <calculatedColumnFormula>_xlfn.XLOOKUP(CropNorms_Wheat[[#This Row],[LAI_End_BBCH]], CropPhenology_Wheat[Sub_Stage], CropPhenology_Wheat[End_GDD], "Not Found")</calculatedColumnFormula>
    </tableColumn>
    <tableColumn id="58" xr3:uid="{4A899007-34C2-4870-A0D4-4070681014E5}" name="RUE_Max" dataDxfId="4432">
      <calculatedColumnFormula array="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93AE8E6-5E39-4792-B39A-BDAE1F0AE169}" name="RUE_Asymptote_Frac" dataDxfId="4431">
      <calculatedColumnFormula array="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D4C87A6-0574-4244-BE5A-0E74E08492FB}" name="RUE_LAI_Half_Sat" dataDxfId="4430">
      <calculatedColumnFormula array="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6AD6342-0729-4D0F-9172-3C279CCA615F}" name="RUE_Daily_Delta_Max" dataDxfId="4429">
      <calculatedColumnFormula array="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902A07A0-9668-4128-8A10-335083128966}" name="HI" dataDxfId="4428"/>
    <tableColumn id="63" xr3:uid="{00D8B20E-1053-496B-8132-00877FD05FD2}" name="DM:FM" dataDxfId="4427"/>
    <tableColumn id="64" xr3:uid="{2C537DB7-B5C6-4E3D-B8F3-D62F6E1CC7A6}" name="Yield_t/ha" dataDxfId="4426"/>
    <tableColumn id="65" xr3:uid="{EB633CC8-D7BF-4823-9282-EE1371BB053B}" name="Yield_Type" dataDxfId="4425"/>
    <tableColumn id="66" xr3:uid="{406FD751-B322-4BDE-80F2-EC4D9649F42D}" name="LAI_Start_BBCH" dataDxfId="4424">
      <calculatedColumnFormula array="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929DB7A-7071-4F97-A4DB-0A8DB4F45FFF}" name="LAI_Max_BBCH" dataDxfId="4423">
      <calculatedColumnFormula array="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578E6EE-535A-46CA-BF2A-BF29F79DBC7A}" name="LAI_End_BBCH" dataDxfId="4422">
      <calculatedColumnFormula array="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8E72CE50-5E2D-4340-8102-52C71213134D}" name="Fruiting_Start_BBCH" dataDxfId="4421">
      <calculatedColumnFormula array="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6A70C4A9-1CA8-4296-8B1D-59A5085387CF}" name="N_Deficiency_kg/ha" dataDxfId="4420"/>
    <tableColumn id="71" xr3:uid="{F25EA9C3-5C45-4754-81A9-C6396B0B5114}" name="P_Deficiency_kg/ha" dataDxfId="4419"/>
    <tableColumn id="72" xr3:uid="{E45DD64A-929A-4B86-AAFB-9AA4FF487AB0}" name="K_deficiency_kg/ha" dataDxfId="4418"/>
    <tableColumn id="73" xr3:uid="{31FBDC68-9A21-482A-8FEC-4799F84E2197}" name="Sowing_Start_Season" dataDxfId="4417"/>
    <tableColumn id="74" xr3:uid="{724BAD87-5BA8-4781-803A-C2CE8814FAB3}" name="Sowing_End_Season" dataDxfId="4416"/>
    <tableColumn id="75" xr3:uid="{A6DF476D-51F7-40B1-B1E6-19899EB37EBE}" name="Sand" dataDxfId="4415"/>
    <tableColumn id="76" xr3:uid="{0023BB55-AA85-4347-A4A3-7C4CC9191FEB}" name="Loamy Sand" dataDxfId="4414"/>
    <tableColumn id="77" xr3:uid="{9ED8DEB8-8311-4620-A3A0-6156294EA118}" name="Sandy Loam" dataDxfId="4413"/>
    <tableColumn id="78" xr3:uid="{7847608C-F112-4D7B-87F8-8C2EE17D3DC9}" name="Loam" dataDxfId="4412"/>
    <tableColumn id="79" xr3:uid="{9220F8E3-D615-4DD8-BE34-B6AF8D43B9CE}" name="Silt Loam" dataDxfId="4411"/>
    <tableColumn id="80" xr3:uid="{DDAFDB1B-82F8-4BB4-A365-CBB83D06C9FB}" name="Clay Loam" dataDxfId="4410"/>
    <tableColumn id="81" xr3:uid="{2D1D77F6-4F30-4EC7-856C-D89350E8D72F}" name="Silt" dataDxfId="4409"/>
    <tableColumn id="82" xr3:uid="{87509D9A-2E57-46F9-B9BE-C85A42675A40}" name="Sandy Clay" dataDxfId="4408"/>
    <tableColumn id="83" xr3:uid="{28ECD20F-681A-44AC-AFC4-BCE0BD7D174F}" name="Silty Clay Loam" dataDxfId="4407"/>
    <tableColumn id="84" xr3:uid="{DF005991-BBC1-4183-B465-4D56976D71C7}" name="Silty Clay" dataDxfId="4406"/>
    <tableColumn id="85" xr3:uid="{9E3FF214-BA8F-451F-9086-14FF5C99A210}" name="Clay" dataDxfId="4405"/>
    <tableColumn id="86" xr3:uid="{17890C2C-D315-42EF-A68E-6164822EE8A0}" name="Sandy Clay Loam" dataDxfId="440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8AAE9-1914-480A-A515-815BA165AFF0}" name="CropNorms_Watermelon" displayName="CropNorms_Watermelon" ref="B402:CL416" totalsRowShown="0" headerRowDxfId="4403" dataDxfId="4401" headerRowBorderDxfId="4402" tableBorderDxfId="4400">
  <tableColumns count="89">
    <tableColumn id="1" xr3:uid="{59D8E358-049C-49D6-B35D-EE7C22A61404}" name="Crop_Name" dataDxfId="4399"/>
    <tableColumn id="2" xr3:uid="{C965365B-E9BE-4E46-B776-9799DCFB2F22}" name="Variety_Name" dataDxfId="4398"/>
    <tableColumn id="3" xr3:uid="{504D872C-8335-4277-B3ED-C9834231FF1F}" name="Variety_Type" dataDxfId="4397"/>
    <tableColumn id="4" xr3:uid="{A2D1D6B4-08B0-4184-9B62-5DB9A5AC39B1}" name="Height_Class" dataDxfId="4396"/>
    <tableColumn id="5" xr3:uid="{21DECB28-0F34-4E00-A927-0943143D5E47}" name="Height_cm" dataDxfId="4395"/>
    <tableColumn id="6" xr3:uid="{23AE4AEE-FD45-4E1D-BCC8-A1A65C9FDEDB}" name="Nutrient_Content" dataDxfId="4394"/>
    <tableColumn id="7" xr3:uid="{1002B23E-5F31-4D39-A12B-8953179760BD}" name="Common_Disease_Tolerance" dataDxfId="4393"/>
    <tableColumn id="8" xr3:uid="{A5896A34-4152-4729-91AB-4A8FE7C60CDB}" name="Common_Pest_Tolerance" dataDxfId="4392"/>
    <tableColumn id="9" xr3:uid="{905C7D76-DD29-4816-B15D-1C871D01B0A6}" name="Environmental_Resilience" dataDxfId="4391"/>
    <tableColumn id="10" xr3:uid="{36BEA211-4F36-44C4-905E-C625E0F88AE3}" name="Category" dataDxfId="4390"/>
    <tableColumn id="11" xr3:uid="{42ED21C5-ABEA-4965-9B64-B3EF3B7343D1}" name="Country" dataDxfId="4389"/>
    <tableColumn id="12" xr3:uid="{7E63BA7D-8C5B-45D3-B185-D794B741521F}" name="Season" dataDxfId="4388"/>
    <tableColumn id="13" xr3:uid="{E3CE6C72-B1BA-4DDD-891E-E926AEC9700D}" name="PAR" dataDxfId="4387"/>
    <tableColumn id="14" xr3:uid="{13D4D2A4-424C-4A8B-B912-E82DD6B5BD45}" name="Region" dataDxfId="4386"/>
    <tableColumn id="15" xr3:uid="{C1D40F06-669B-4C76-BA9C-0EF1EA8F0422}" name="Seed_Weight_mg" dataDxfId="4385"/>
    <tableColumn id="16" xr3:uid="{40ED16F7-85FC-46D6-981F-600B43894F9C}" name="Crop_Min_Temp" dataDxfId="4384"/>
    <tableColumn id="17" xr3:uid="{A31108C2-E7D5-4012-BAB4-B4FF69F16682}" name="Base_Temp" dataDxfId="4383"/>
    <tableColumn id="18" xr3:uid="{44D27024-D901-495E-8383-5DD6BCC3591C}" name="Opt._Temp" dataDxfId="4382"/>
    <tableColumn id="19" xr3:uid="{CB1C92F1-2D90-4E32-A22F-54A2659D7155}" name="Upper_Temp" dataDxfId="4381"/>
    <tableColumn id="89" xr3:uid="{0A224836-02E6-4DA1-B622-D18C7602941B}" name="Loss / Degree" dataDxfId="4380"/>
    <tableColumn id="20" xr3:uid="{D1497F53-CF43-45EC-9B12-C86ACCBE483E}" name="Min_Days" dataDxfId="4379"/>
    <tableColumn id="21" xr3:uid="{F545FBE5-29F1-4B56-A8D5-08B944685428}" name="Max_Days" dataDxfId="4378"/>
    <tableColumn id="22" xr3:uid="{3C055FDB-AEBD-421D-BE67-749850677C49}" name="Ripening_S_GDD" dataDxfId="4377">
      <calculatedColumnFormula>_xlfn.XLOOKUP("Ripening", CropPhenology_Watermelon[Main_Stage], CropPhenology_Watermelon[Start_GDD], "Not Found")</calculatedColumnFormula>
    </tableColumn>
    <tableColumn id="23" xr3:uid="{37FFDB6A-45D8-46F9-A6E5-0C0552DE3289}" name="Ripening_E_GDD" dataDxfId="4376">
      <calculatedColumnFormula array="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calculatedColumnFormula>
    </tableColumn>
    <tableColumn id="24" xr3:uid="{C14CED7C-84B2-40FB-9635-B84994B0BB7A}" name="Avg. Daily GDD" dataDxfId="4375">
      <calculatedColumnFormula>MIN(Y403/V403,MAX(X403/W403,R403,(X403/W403+Y403/V403)/2))</calculatedColumnFormula>
    </tableColumn>
    <tableColumn id="25" xr3:uid="{861C9598-D3FA-45A8-A2AB-79D8BA736A6D}" name="Days_to_Ripening" dataDxfId="4374">
      <calculatedColumnFormula>Y403/Z403</calculatedColumnFormula>
    </tableColumn>
    <tableColumn id="26" xr3:uid="{3CC12A00-BB0B-4B14-AD52-1967D0FE4B67}" name="Sunshine" dataDxfId="4373"/>
    <tableColumn id="27" xr3:uid="{4DFF82BE-294B-41CC-B515-313DF3D97995}" name="Soil_Temp_Min" dataDxfId="4372"/>
    <tableColumn id="28" xr3:uid="{5AD9A1B8-065A-4B39-B0FC-3EEE34E80797}" name="VPA_Max" dataDxfId="4371"/>
    <tableColumn id="29" xr3:uid="{E4AF14CB-F288-4E9D-90E3-3B96CD6487BE}" name="Humidity_Max" dataDxfId="4370"/>
    <tableColumn id="30" xr3:uid="{8EB57D77-3708-4D91-ABE8-C066839EAF01}" name="Dew_Point_Min" dataDxfId="4369"/>
    <tableColumn id="31" xr3:uid="{26660C4D-BDB2-4CBF-978B-0FDE58CDA069}" name="WS_2m_Max" dataDxfId="4368"/>
    <tableColumn id="32" xr3:uid="{4854E554-8558-4891-B1FD-E04EBAC5159B}" name="GDD_Adjust" dataDxfId="4367">
      <calculatedColumnFormula>IFERROR((Y403-X403)/AA403,0)</calculatedColumnFormula>
    </tableColumn>
    <tableColumn id="33" xr3:uid="{9D106B0C-3C7F-49BE-A8B1-1CB7FD095C33}" name="pH_Min" dataDxfId="4366"/>
    <tableColumn id="34" xr3:uid="{211CAA97-A5F0-43BE-AACE-D1DC6A12DA28}" name="pH_Max" dataDxfId="4365"/>
    <tableColumn id="87" xr3:uid="{B3E726CD-917A-4C32-A15A-716FE35DB631}" name="ECt" dataDxfId="4364"/>
    <tableColumn id="88" xr3:uid="{629EE67E-127E-4548-AD11-7A4F4DF8A9AD}" name="Slope" dataDxfId="4363"/>
    <tableColumn id="35" xr3:uid="{322813F6-4D54-4ADF-A97C-1A19DF71C10A}" name="CWR_Min" dataDxfId="4362"/>
    <tableColumn id="36" xr3:uid="{19B042E8-3B6D-4441-BE3A-2EB705319D5D}" name="CWR_Max" dataDxfId="4361"/>
    <tableColumn id="37" xr3:uid="{0BA60AE8-0FB0-4816-AD0C-3049890B8562}" name="Sowing_Depth_cm" dataDxfId="4360"/>
    <tableColumn id="38" xr3:uid="{C6784ECD-526E-4B03-82F1-650F9F1FD488}" name="Root_Depth_cm" dataDxfId="4359"/>
    <tableColumn id="39" xr3:uid="{A62446E8-256A-47BF-9B73-16DA7AD2707E}" name="Stress_Tolerance_Index" dataDxfId="4358"/>
    <tableColumn id="40" xr3:uid="{E892A0F1-1409-4C57-B416-886CB357C4CE}" name="Row_Spacing_cm" dataDxfId="4357"/>
    <tableColumn id="41" xr3:uid="{8D415A2C-F2EA-4B15-BC4A-BD1CBFCCBE3E}" name="Plant_to_Plant_cm" dataDxfId="4356"/>
    <tableColumn id="42" xr3:uid="{FEDE1950-43A5-4615-AD95-4C5945EDF66B}" name="Seed_Per_Spot" dataDxfId="4355"/>
    <tableColumn id="43" xr3:uid="{EB9A8F31-4223-4956-87C5-AC9269676D57}" name="Seed_Rate_m2" dataDxfId="4354">
      <calculatedColumnFormula>IFERROR(10000/(AS403*AR403),0)*AT403</calculatedColumnFormula>
    </tableColumn>
    <tableColumn id="44" xr3:uid="{C292065F-DBE8-45A0-8B94-6B3FF42DA18B}" name="Seed_Weight_kg/ha" dataDxfId="4353">
      <calculatedColumnFormula>ROUND((P403/1000000)*AU403*10000,2)</calculatedColumnFormula>
    </tableColumn>
    <tableColumn id="45" xr3:uid="{7ED34F29-975D-43D1-8ABB-02A80ED72624}" name="Germination_%" dataDxfId="4352"/>
    <tableColumn id="46" xr3:uid="{DEF8F84F-75C2-4F8D-A16F-939EEBFEC760}" name="Effective_Plants_m2" dataDxfId="4351">
      <calculatedColumnFormula>IFERROR((AU403*AW403/100),0)</calculatedColumnFormula>
    </tableColumn>
    <tableColumn id="47" xr3:uid="{B0F2382B-5C93-4AB6-819F-831699149EF0}" name="Tillers_Per_Plant" dataDxfId="4350"/>
    <tableColumn id="48" xr3:uid="{373858C0-5D02-4E15-9DA2-594EDA4F4BD9}" name="Shoots_Per_m2" dataDxfId="4349">
      <calculatedColumnFormula>IFERROR(AX403*AY403,0)</calculatedColumnFormula>
    </tableColumn>
    <tableColumn id="49" xr3:uid="{11E72D58-9ACB-45CB-A373-51CD2DE986A0}" name="Survival_Ratio" dataDxfId="4348"/>
    <tableColumn id="50" xr3:uid="{B89F225B-C23D-49B2-BFAA-0B4D0D3CB36F}" name="Shoot_Bearing_m2" dataDxfId="4347">
      <calculatedColumnFormula>IFERROR(AZ403*BA403,0)</calculatedColumnFormula>
    </tableColumn>
    <tableColumn id="51" xr3:uid="{B6EA93F4-4DC2-4826-B4A8-FABE1178BB1F}" name="Leaf_Area_Per_Shoot_m2" dataDxfId="4346"/>
    <tableColumn id="52" xr3:uid="{B833569B-5939-4ABF-8E87-3C9F62791C32}" name="Start_LAI" dataDxfId="4345">
      <calculatedColumnFormula>IFERROR(
  MAX(0.05, MIN(0.5, CropNorms_Watermelon[[#This Row],[Leaf_Area_Per_Shoot_m2]] * CropNorms_Watermelon[[#This Row],[Shoot_Bearing_m2]] )),
  0.2
)</calculatedColumnFormula>
    </tableColumn>
    <tableColumn id="53" xr3:uid="{2351101C-EBCE-41D0-8B14-0EA490E70C15}" name="LAI_Start_GDD" dataDxfId="4344">
      <calculatedColumnFormula>_xlfn.XLOOKUP(CropNorms_Watermelon[[#This Row],[LAI_Start_BBCH]], CropPhenology_Watermelon[Sub_Stage], CropPhenology_Watermelon[Start_GDD], "Not Found")</calculatedColumnFormula>
    </tableColumn>
    <tableColumn id="54" xr3:uid="{D1136311-D00A-4CC7-85DF-4BA46FE11962}" name="Max_LAI" dataDxfId="4343">
      <calculatedColumnFormula>ROUND(BB403*BC403,2)</calculatedColumnFormula>
    </tableColumn>
    <tableColumn id="55" xr3:uid="{0D6F26D4-E0EE-4540-9CE0-498B364887E1}" name="LAI_Max_GDD" dataDxfId="4342">
      <calculatedColumnFormula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calculatedColumnFormula>
    </tableColumn>
    <tableColumn id="56" xr3:uid="{14F82E49-815C-45B1-8769-2032D76BC642}" name="End_LAI" dataDxfId="4341">
      <calculatedColumnFormula>IF(CropNorms_Watermelon[[#This Row],[Max_LAI]]&gt;=1.2, 0.85*CropNorms_Watermelon[[#This Row],[Max_LAI]], 1)</calculatedColumnFormula>
    </tableColumn>
    <tableColumn id="57" xr3:uid="{149D396C-D9E0-4D62-BE03-46DDBEB1B5D3}" name="LAI_End_GDD" dataDxfId="4340">
      <calculatedColumnFormula>_xlfn.XLOOKUP(CropNorms_Watermelon[[#This Row],[LAI_End_BBCH]], CropPhenology_Watermelon[Sub_Stage], CropPhenology_Watermelon[End_GDD], "Not Found")</calculatedColumnFormula>
    </tableColumn>
    <tableColumn id="58" xr3:uid="{52BBFE0D-8A15-4CDE-83EB-632729D7F93E}" name="RUE_Max" dataDxfId="4339">
      <calculatedColumnFormula array="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4897543-E473-490C-A95D-09910EA13420}" name="RUE_Asymptote_Frac" dataDxfId="4338">
      <calculatedColumnFormula array="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A83D2CDB-888B-4715-B2E8-D7CEF9790D7F}" name="RUE_LAI_Half_Sat" dataDxfId="4337">
      <calculatedColumnFormula array="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0019560-A3AC-4DDA-B624-31692F97DCD4}" name="RUE_Daily_Delta_Max" dataDxfId="4336">
      <calculatedColumnFormula array="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8EA00D6-FDD6-407C-B08D-EBFDD78533D4}" name="HI" dataDxfId="4335"/>
    <tableColumn id="63" xr3:uid="{8DD7F811-B409-4AD0-973D-2DDFB1BEC11F}" name="DM:FM" dataDxfId="4334"/>
    <tableColumn id="64" xr3:uid="{46707F59-7BB9-4359-95EF-27BB4B391B48}" name="Yield_t/ha" dataDxfId="4333"/>
    <tableColumn id="65" xr3:uid="{4A3ABCCD-749F-4D91-9976-6282B537CE31}" name="Yield_Type" dataDxfId="4332"/>
    <tableColumn id="66" xr3:uid="{F26D4822-BC64-45DE-839B-46963CB74CDE}" name="LAI_Start_BBCH" dataDxfId="4331">
      <calculatedColumnFormula array="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334C7EA-FDE8-4D95-BE51-2757B66E7B8B}" name="LAI_Max_BBCH" dataDxfId="4330">
      <calculatedColumnFormula array="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C631915-6F4F-48F4-832E-DAC6B729A044}" name="LAI_End_BBCH" dataDxfId="4329">
      <calculatedColumnFormula array="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F386636-ABDC-4867-A3FE-841C743DA345}" name="Fruiting_Start_BBCH" dataDxfId="4328">
      <calculatedColumnFormula array="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B5F54366-A777-48F5-9C65-105EC026BAE9}" name="N_Deficiency_kg/ha" dataDxfId="4327"/>
    <tableColumn id="71" xr3:uid="{C7129BA4-9E58-46F1-9036-384EC68B64C3}" name="P_Deficiency_kg/ha" dataDxfId="4326"/>
    <tableColumn id="72" xr3:uid="{6E446EAF-CCBD-4C62-B858-D4EB399F775B}" name="K_deficiency_kg/ha" dataDxfId="4325"/>
    <tableColumn id="73" xr3:uid="{8E5ED672-118C-4E63-A219-A1E2C787F731}" name="Sowing_Start_Season" dataDxfId="4324"/>
    <tableColumn id="74" xr3:uid="{C997E062-1D44-43DA-891C-D0CDDB53CB76}" name="Sowing_End_Season" dataDxfId="4323"/>
    <tableColumn id="75" xr3:uid="{0C977130-EA93-4157-B9E7-8A134BBD2D8E}" name="Sand" dataDxfId="4322"/>
    <tableColumn id="76" xr3:uid="{8CC95A16-159B-44EA-848B-890DCD536BFC}" name="Loamy Sand" dataDxfId="4321"/>
    <tableColumn id="77" xr3:uid="{486A06E4-FAA6-4FBF-8E8B-32E17EDD0956}" name="Sandy Loam" dataDxfId="4320"/>
    <tableColumn id="78" xr3:uid="{EF9FBC09-5B2F-4373-B851-1C86B843E284}" name="Loam" dataDxfId="4319"/>
    <tableColumn id="79" xr3:uid="{F0B780D4-7832-4A95-BCBE-5433C5BDF118}" name="Silt Loam" dataDxfId="4318"/>
    <tableColumn id="80" xr3:uid="{69E88296-0626-48D3-9CAC-49EA2A13FA82}" name="Clay Loam" dataDxfId="4317"/>
    <tableColumn id="81" xr3:uid="{475689B6-561F-406C-85C4-04061BE3EC13}" name="Silt" dataDxfId="4316"/>
    <tableColumn id="82" xr3:uid="{EF6F6EEF-F74F-4A53-AA6E-AF3A1F919380}" name="Sandy Clay" dataDxfId="4315"/>
    <tableColumn id="83" xr3:uid="{16E72A51-632D-471A-AB19-501BD7D012E4}" name="Silty Clay Loam" dataDxfId="4314"/>
    <tableColumn id="84" xr3:uid="{AB38C3F1-EAE5-47F6-8D11-05164C01A952}" name="Silty Clay" dataDxfId="4313"/>
    <tableColumn id="85" xr3:uid="{96762146-A726-4EE8-96C7-145759C61BA2}" name="Clay" dataDxfId="4312"/>
    <tableColumn id="86" xr3:uid="{B97299BF-08B6-4355-92C4-B5C9897F7587}" name="Sandy Clay Loam" dataDxfId="43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642832-1EB9-4011-8DAB-3D99CB0B557C}" name="CropNorms_Barley" displayName="CropNorms_Barley" ref="B8:CL19" totalsRowShown="0" headerRowDxfId="4310" dataDxfId="4308" headerRowBorderDxfId="4309" tableBorderDxfId="4307">
  <tableColumns count="89">
    <tableColumn id="1" xr3:uid="{CB09DA83-2DAF-4F19-B062-7297FA52436D}" name="Crop_Name" dataDxfId="4306"/>
    <tableColumn id="2" xr3:uid="{AD1DDA41-138F-44C7-BA9E-C63FA4AB240B}" name="Variety_Name" dataDxfId="4305"/>
    <tableColumn id="3" xr3:uid="{B30765B8-6815-4874-880F-D4DC1A9DB27B}" name="Variety_Type" dataDxfId="4304"/>
    <tableColumn id="4" xr3:uid="{2C51371A-2413-46A6-9F6C-C3A3CFFF94CC}" name="Height_Class" dataDxfId="4303"/>
    <tableColumn id="5" xr3:uid="{31AE7641-C68F-4013-8B66-6DB131191FC6}" name="Height_cm" dataDxfId="4302"/>
    <tableColumn id="6" xr3:uid="{1CC2BA02-BAA0-4322-820A-8F87518A1EEF}" name="Nutrient_Content" dataDxfId="4301"/>
    <tableColumn id="7" xr3:uid="{5FF2061F-88E3-4435-8422-717FCAA8A459}" name="Common_Disease_Tolerance" dataDxfId="4300"/>
    <tableColumn id="8" xr3:uid="{C6B797E5-3164-4D1E-BB3A-DCE75B398FCA}" name="Common_Pest_Tolerance" dataDxfId="4299"/>
    <tableColumn id="9" xr3:uid="{E0AD408B-B027-428E-8081-C418C7EF5172}" name="Environmental_Resilience" dataDxfId="4298"/>
    <tableColumn id="10" xr3:uid="{5B92CCE2-81C5-4EFC-851E-19C6B8C3F69E}" name="Category" dataDxfId="4297"/>
    <tableColumn id="11" xr3:uid="{78C8A2B6-B0C7-4114-AC0E-589B88D08ADC}" name="Country" dataDxfId="4296"/>
    <tableColumn id="12" xr3:uid="{1831E02F-157B-411B-8502-51E080959130}" name="Season" dataDxfId="4295"/>
    <tableColumn id="13" xr3:uid="{36CCBED3-4158-4DEB-AA1B-E9353E094447}" name="PAR" dataDxfId="4294"/>
    <tableColumn id="14" xr3:uid="{929F40CE-308C-4D59-8C91-63EC2C76162A}" name="Region" dataDxfId="4293"/>
    <tableColumn id="15" xr3:uid="{5788F7B7-636C-4AFF-87C7-3E15A0A59927}" name="Seed_Weight_mg" dataDxfId="4292"/>
    <tableColumn id="16" xr3:uid="{BCB19306-00AA-48F2-BBC4-79F378B214D6}" name="Crop_Min_Temp" dataDxfId="4291"/>
    <tableColumn id="17" xr3:uid="{DAA4B61B-FA95-4C46-842C-5D1EEC6A6FD1}" name="Base_Temp" dataDxfId="4290"/>
    <tableColumn id="18" xr3:uid="{E43F9263-AAA8-4230-9C28-3AC941FFE47F}" name="Opt._Temp" dataDxfId="4289"/>
    <tableColumn id="19" xr3:uid="{45966182-9E12-4614-800F-3C322B2838DC}" name="Upper_Temp" dataDxfId="4288"/>
    <tableColumn id="89" xr3:uid="{1CC99801-4B02-49FF-8607-D514CB15A855}" name="Loss / Degree" dataDxfId="4287"/>
    <tableColumn id="20" xr3:uid="{B5CE49C0-BAA5-4263-8435-A50A628A7063}" name="Min_Days" dataDxfId="4286"/>
    <tableColumn id="21" xr3:uid="{F3C95263-0371-4756-B9B6-EFDC25B75921}" name="Max_Days" dataDxfId="4285"/>
    <tableColumn id="22" xr3:uid="{BCCBEABA-58B0-446B-9675-B208B9D57061}" name="Ripening_S_GDD" dataDxfId="4284">
      <calculatedColumnFormula>_xlfn.XLOOKUP("Ripening", CropPhenology_Barley[Main_Stage], CropPhenology_Barley[Start_GDD], "Not Found")</calculatedColumnFormula>
    </tableColumn>
    <tableColumn id="23" xr3:uid="{BCDD8216-1DBD-4EAE-BDC6-AE06614F2206}" name="Ripening_E_GDD" dataDxfId="4283">
      <calculatedColumnFormula array="1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calculatedColumnFormula>
    </tableColumn>
    <tableColumn id="24" xr3:uid="{06ED7B33-2305-475E-B404-DC592E252B9C}" name="Avg. Daily GDD" dataDxfId="4282">
      <calculatedColumnFormula>MIN(Y9/V9,MAX(X9/W9,R9,(X9/W9+Y9/V9)/2))</calculatedColumnFormula>
    </tableColumn>
    <tableColumn id="25" xr3:uid="{C89EF156-0265-4726-9A5F-D348DB9F5CF3}" name="Days_to_Ripening" dataDxfId="4281">
      <calculatedColumnFormula>Y9/Z9</calculatedColumnFormula>
    </tableColumn>
    <tableColumn id="26" xr3:uid="{D8650968-D4CF-4B1F-AF5B-BB8ED780273F}" name="Sunshine" dataDxfId="4280"/>
    <tableColumn id="27" xr3:uid="{C7B21EF2-FF86-4302-8B56-791BEB3DFACE}" name="Soil_Temp_Min" dataDxfId="4279"/>
    <tableColumn id="28" xr3:uid="{8B792A96-70D3-4C7F-8A97-6B2AF08C65B2}" name="VPA_Max" dataDxfId="4278"/>
    <tableColumn id="29" xr3:uid="{4449AF66-3755-4B79-9E26-1D65D82DACB6}" name="Humidity_Max" dataDxfId="4277"/>
    <tableColumn id="30" xr3:uid="{8FC392AD-B596-4367-A447-6E6D9DC8502F}" name="Dew_Point_Min" dataDxfId="4276"/>
    <tableColumn id="31" xr3:uid="{8B7F0C4F-2B0E-4248-887E-0903AD37B296}" name="WS_2m_Max" dataDxfId="4275"/>
    <tableColumn id="32" xr3:uid="{44325490-5AF2-427A-9D66-44016380BEA3}" name="GDD_Adjust" dataDxfId="4274">
      <calculatedColumnFormula>IFERROR((Y9-X9)/AA9,0)</calculatedColumnFormula>
    </tableColumn>
    <tableColumn id="33" xr3:uid="{5FAC1F2D-6590-4B39-8F08-229CF9045244}" name="pH_Min" dataDxfId="4273"/>
    <tableColumn id="34" xr3:uid="{28C5CAA5-2545-4B20-B184-AA8311D5E5BA}" name="pH_Max" dataDxfId="4272"/>
    <tableColumn id="87" xr3:uid="{94CA2AA0-A2F1-428B-8D39-F3B0C238E0FC}" name="ECt" dataDxfId="4271"/>
    <tableColumn id="88" xr3:uid="{FCDABE50-C000-41E3-B26A-5C7039C6F07B}" name="Slope" dataDxfId="4270"/>
    <tableColumn id="35" xr3:uid="{4372F141-BB93-4946-896E-2DECD2926795}" name="CWR_Min" dataDxfId="4269"/>
    <tableColumn id="36" xr3:uid="{CE5DADD2-74C1-4143-8161-238240C5C7F8}" name="CWR_Max" dataDxfId="4268"/>
    <tableColumn id="37" xr3:uid="{27DB20E6-E6A7-4875-93DC-437F4852162B}" name="Sowing_Depth_cm" dataDxfId="4267"/>
    <tableColumn id="38" xr3:uid="{CC402B9A-D1DC-4A77-8D4A-D34DCC1268D0}" name="Root_Depth_cm" dataDxfId="4266"/>
    <tableColumn id="39" xr3:uid="{AF3716BE-C0F8-4269-AB94-52DD717A5D71}" name="Stress_Tolerance_Index" dataDxfId="4265"/>
    <tableColumn id="40" xr3:uid="{F5E3BA32-543B-4E7E-A2D9-F1F5D15C5A41}" name="Row_Spacing_cm" dataDxfId="4264"/>
    <tableColumn id="41" xr3:uid="{928AC83B-30E5-4836-8C04-EDB7EE41A0D5}" name="Plant_to_Plant_cm" dataDxfId="4263"/>
    <tableColumn id="42" xr3:uid="{32ED96C9-FC1C-4004-924C-06E16DF3476A}" name="Seed_Per_Spot" dataDxfId="4262"/>
    <tableColumn id="43" xr3:uid="{2CA58BE5-51B3-48B9-A092-F3DF387BC5D4}" name="Seed_Rate_m2" dataDxfId="4261">
      <calculatedColumnFormula>IFERROR(10000/(AS9*AR9),0)*AT9</calculatedColumnFormula>
    </tableColumn>
    <tableColumn id="44" xr3:uid="{916DA5F0-84C3-4703-97B5-74D271FEA0EF}" name="Seed_Weight_kg/ha" dataDxfId="4260">
      <calculatedColumnFormula>ROUND((P9/1000000)*AU9*10000,2)</calculatedColumnFormula>
    </tableColumn>
    <tableColumn id="45" xr3:uid="{0EFB3474-365C-4323-BE46-E25955D72B1D}" name="Germination_%" dataDxfId="4259"/>
    <tableColumn id="46" xr3:uid="{A2405DD7-7DFD-4B5E-8900-AFBB6DEE9611}" name="Effective_Plants_m2" dataDxfId="4258">
      <calculatedColumnFormula>ROUND(AU9*AW9/100,2)</calculatedColumnFormula>
    </tableColumn>
    <tableColumn id="47" xr3:uid="{3D27A9BC-E97A-40B4-ABB1-065FA8CDE7A9}" name="Tillers_Per_Plant" dataDxfId="4257"/>
    <tableColumn id="48" xr3:uid="{97A1B3A5-ABFD-4CD0-AFD0-ACABD043CFA6}" name="Shoots_Per_m2" dataDxfId="4256">
      <calculatedColumnFormula>IFERROR(AX9*AY9,0)</calculatedColumnFormula>
    </tableColumn>
    <tableColumn id="49" xr3:uid="{3AE73C88-F2ED-4BB7-97BC-3E3916964A7B}" name="Survival_Ratio" dataDxfId="4255"/>
    <tableColumn id="50" xr3:uid="{C69A371B-2E67-47C6-84D0-045373E78000}" name="Shoot_Bearing_m2" dataDxfId="4254">
      <calculatedColumnFormula>IFERROR(AZ9*BA9,0)</calculatedColumnFormula>
    </tableColumn>
    <tableColumn id="51" xr3:uid="{AFCBF007-CF55-4EB8-849A-0E086C919883}" name="Leaf_Area_Per_Shoot_m2" dataDxfId="4253"/>
    <tableColumn id="52" xr3:uid="{B865649E-0C44-410E-8BFB-8D6BA9621786}" name="Start_LAI" dataDxfId="4252">
      <calculatedColumnFormula>IFERROR(
  MAX(0.05, MIN(0.5, CropNorms_Barley[[#This Row],[Leaf_Area_Per_Shoot_m2]] * CropNorms_Barley[[#This Row],[Shoot_Bearing_m2]] )),
  0.2
)</calculatedColumnFormula>
    </tableColumn>
    <tableColumn id="53" xr3:uid="{F746DDBE-B8EC-4999-8247-985A8901FB81}" name="LAI_Start_GDD" dataDxfId="4251">
      <calculatedColumnFormula>_xlfn.XLOOKUP(CropNorms_Barley[[#This Row],[LAI_Start_BBCH]], CropPhenology_Barley[Sub_Stage], CropPhenology_Barley[Start_GDD], "Not Found")</calculatedColumnFormula>
    </tableColumn>
    <tableColumn id="54" xr3:uid="{1CCDF3C7-97FE-4070-8B14-ED7C8F5E08B5}" name="Max_LAI" dataDxfId="4250">
      <calculatedColumnFormula>ROUND(CropNorms_Barley[[#This Row],[Shoot_Bearing_m2]]*CropNorms_Barley[[#This Row],[Leaf_Area_Per_Shoot_m2]],2)</calculatedColumnFormula>
    </tableColumn>
    <tableColumn id="55" xr3:uid="{1CB1EA2D-E16F-4B15-902C-014909E79DAB}" name="LAI_Max_GDD" dataDxfId="4249">
      <calculatedColumnFormula>AVERAGE(
  _xlfn.XLOOKUP(CropNorms_Barley[[#This Row],[LAI_Max_BBCH]], CropPhenology_Barley[Sub_Stage], CropPhenology_Barley[Start_GDD]),
  _xlfn.XLOOKUP(CropNorms_Barley[[#This Row],[LAI_Max_BBCH]], CropPhenology_Barley[Sub_Stage], CropPhenology_Barley[End_GDD])
)</calculatedColumnFormula>
    </tableColumn>
    <tableColumn id="56" xr3:uid="{5B977BEE-F442-4185-9703-0FCEAD0242B8}" name="End_LAI" dataDxfId="4248">
      <calculatedColumnFormula>IF(CropNorms_Barley[[#This Row],[Max_LAI]]&gt;=1.2, 0.85*CropNorms_Barley[[#This Row],[Max_LAI]], 1)</calculatedColumnFormula>
    </tableColumn>
    <tableColumn id="57" xr3:uid="{BB3F055C-D4AF-494E-ABB4-F4FCCB8F2C85}" name="LAI_End_GDD" dataDxfId="4247">
      <calculatedColumnFormula>_xlfn.XLOOKUP(CropNorms_Barley[[#This Row],[LAI_End_BBCH]], CropPhenology_Barley[Sub_Stage], CropPhenology_Barley[End_GDD], "Not Found")</calculatedColumnFormula>
    </tableColumn>
    <tableColumn id="58" xr3:uid="{21AAF46E-5586-4FC8-9BD2-312E0E751382}" name="RUE_Max" dataDxfId="4246">
      <calculatedColumnFormula array="1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B391440F-B810-49AE-AED5-9ABCA7E2BB1E}" name="RUE_Asymptote_Frac" dataDxfId="4245">
      <calculatedColumnFormula array="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0CF4795-D6A7-4F19-9BA1-04C19EC69249}" name="RUE_LAI_Half_Sat" dataDxfId="4244">
      <calculatedColumnFormula array="1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4FE6B44-279C-43CF-A655-43E20D2FAF48}" name="RUE_Daily_Delta_Max" dataDxfId="4243">
      <calculatedColumnFormula array="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74361F41-44A3-40DB-B1C5-80679329CA50}" name="HI" dataDxfId="4242"/>
    <tableColumn id="63" xr3:uid="{2DFA0235-DCDC-4120-8B6C-3780C83D79AF}" name="DM:FM" dataDxfId="4241"/>
    <tableColumn id="64" xr3:uid="{3200CE22-4362-4692-BF93-41175259E1E9}" name="Yield_t/ha" dataDxfId="4240"/>
    <tableColumn id="65" xr3:uid="{6960EFA9-5F72-4FB2-B099-E9E1244E9995}" name="Yield_Type" dataDxfId="4239"/>
    <tableColumn id="66" xr3:uid="{618EC4B0-A39F-4CAE-A2AE-855904064990}" name="LAI_Start_BBCH" dataDxfId="4238">
      <calculatedColumnFormula array="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059E352C-5E30-4E03-8A49-3AB77C7451BC}" name="LAI_Max_BBCH" dataDxfId="4237">
      <calculatedColumnFormula array="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6AF3A1F4-10AF-447C-B2F9-FD9B51703A0D}" name="LAI_End_BBCH" dataDxfId="4236">
      <calculatedColumnFormula array="1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29B186D-ED91-44D6-AB40-C5C05E131322}" name="Fruiting_Start_BBCH" dataDxfId="4235">
      <calculatedColumnFormula array="1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A25BAD0-872A-43DA-8726-6A009CB1C1CC}" name="N_Deficiency_kg/ha" dataDxfId="4234"/>
    <tableColumn id="71" xr3:uid="{B873A4AE-5C1F-42F6-A443-4F3899CE89FD}" name="P_Deficiency_kg/ha" dataDxfId="4233"/>
    <tableColumn id="72" xr3:uid="{3C4367BF-2651-4617-ACB2-E50C6128DD73}" name="K_deficiency_kg/ha" dataDxfId="4232"/>
    <tableColumn id="73" xr3:uid="{DF0F52EF-3125-466F-8EC1-458C30E830D9}" name="Sowing_Start_Season" dataDxfId="4231"/>
    <tableColumn id="74" xr3:uid="{3B7BF225-2020-4C4C-A177-882B9C1C958E}" name="Sowing_End_Season" dataDxfId="4230"/>
    <tableColumn id="75" xr3:uid="{6FC916FF-99F6-4CB8-AA19-B81C7338AE6A}" name="Sand" dataDxfId="4229"/>
    <tableColumn id="76" xr3:uid="{CC4F9E71-D97D-40D1-A118-52B786A33542}" name="Loamy Sand" dataDxfId="4228"/>
    <tableColumn id="77" xr3:uid="{0DA6D1C1-4FD3-48D0-B671-F6197CC633EB}" name="Sandy Loam" dataDxfId="4227"/>
    <tableColumn id="78" xr3:uid="{47F32E7F-40C1-47BD-B949-BE7A3F1DDB72}" name="Loam" dataDxfId="4226"/>
    <tableColumn id="79" xr3:uid="{B3C6F75B-EC2B-4620-BA91-F0419CC10034}" name="Silt Loam" dataDxfId="4225"/>
    <tableColumn id="80" xr3:uid="{2E96E37C-FAC2-45C3-8394-649707B27118}" name="Clay Loam" dataDxfId="4224"/>
    <tableColumn id="81" xr3:uid="{8D7DC4E9-244A-4AFD-B2D1-B55128A8E441}" name="Silt" dataDxfId="4223"/>
    <tableColumn id="82" xr3:uid="{1555A3EE-16F5-466B-A107-8ED782D6FD66}" name="Sandy Clay" dataDxfId="4222"/>
    <tableColumn id="83" xr3:uid="{906419C2-628E-4146-96AA-5F95FC83F5EA}" name="Silty Clay Loam" dataDxfId="4221"/>
    <tableColumn id="84" xr3:uid="{1E7A2FB8-7566-48F5-8A1C-B1EF81AA1658}" name="Silty Clay" dataDxfId="4220"/>
    <tableColumn id="85" xr3:uid="{4E9C5B6F-7A5F-4F1A-85B1-202578848F72}" name="Clay" dataDxfId="4219"/>
    <tableColumn id="86" xr3:uid="{3FB440A1-398D-4FED-8ED6-8A056D4AF0D5}" name="Sandy Clay Loam" dataDxfId="42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C462D4-722A-4879-8577-1FEC0376BBF5}" name="CropNorms_BottleGourd" displayName="CropNorms_BottleGourd" ref="B21:CL29" totalsRowShown="0" headerRowDxfId="4217" dataDxfId="4215" headerRowBorderDxfId="4216" tableBorderDxfId="4214">
  <tableColumns count="89">
    <tableColumn id="1" xr3:uid="{3A6993AF-7140-46C3-845B-2E218FC4C8F6}" name="Crop_Name" dataDxfId="4213"/>
    <tableColumn id="2" xr3:uid="{1D526C7A-CC96-4EE5-AB28-224B19A84D9B}" name="Variety_Name" dataDxfId="4212"/>
    <tableColumn id="3" xr3:uid="{B0F6D0AD-2F2A-4141-B33E-DE91F6827DFA}" name="Variety_Type" dataDxfId="4211"/>
    <tableColumn id="4" xr3:uid="{E8A757D7-5912-478E-BA2C-CC76189DF372}" name="Height_Class" dataDxfId="4210"/>
    <tableColumn id="5" xr3:uid="{EA81D9A0-B088-40F6-98C9-FF845D3A3875}" name="Height_cm" dataDxfId="4209"/>
    <tableColumn id="6" xr3:uid="{DC430FA2-C25C-4E82-B080-38FF7C27735C}" name="Nutrient_Content" dataDxfId="4208"/>
    <tableColumn id="7" xr3:uid="{5C86E73E-5F4A-4898-85D4-44DD15B0269D}" name="Common_Disease_Tolerance" dataDxfId="4207"/>
    <tableColumn id="8" xr3:uid="{E63BF8E3-0B64-49C5-9517-98778595A689}" name="Common_Pest_Tolerance" dataDxfId="4206"/>
    <tableColumn id="9" xr3:uid="{0867D8C4-52BC-486F-8084-A849A4FE418C}" name="Environmental_Resilience" dataDxfId="4205"/>
    <tableColumn id="10" xr3:uid="{DE715414-325E-4E70-8104-E7C0C7348F58}" name="Category" dataDxfId="4204"/>
    <tableColumn id="11" xr3:uid="{97DF1AEB-4308-4FED-9F45-9934ADBC7C96}" name="Country" dataDxfId="4203"/>
    <tableColumn id="12" xr3:uid="{685E79FC-F6EB-47B4-8767-32FC687D7CFA}" name="Season" dataDxfId="4202"/>
    <tableColumn id="13" xr3:uid="{794C9BD3-F2DB-4946-BA71-800FA872FB6B}" name="PAR" dataDxfId="4201"/>
    <tableColumn id="14" xr3:uid="{3F127AD9-DE8C-497E-BB79-29475C03BF4D}" name="Region" dataDxfId="4200"/>
    <tableColumn id="15" xr3:uid="{9A594D46-FBA1-40FE-8C9E-F7149C3683C2}" name="Seed_Weight_mg" dataDxfId="4199"/>
    <tableColumn id="16" xr3:uid="{726A91BF-0AC4-4761-BD26-0E8FEFCB2576}" name="Crop_Min_Temp" dataDxfId="4198"/>
    <tableColumn id="17" xr3:uid="{F135B3C5-A36E-4BEE-B064-FDE2EED2455E}" name="Base_Temp" dataDxfId="4197"/>
    <tableColumn id="18" xr3:uid="{5173E3D2-329B-468D-990A-A36BD7BD75E4}" name="Opt._Temp" dataDxfId="4196"/>
    <tableColumn id="19" xr3:uid="{429EC0B3-4F75-4105-AE48-01D32067FEBB}" name="Upper_Temp" dataDxfId="4195"/>
    <tableColumn id="89" xr3:uid="{B6C2D68D-9C41-40B1-94D6-853D8420E8AA}" name="Loss / Degree" dataDxfId="4194"/>
    <tableColumn id="20" xr3:uid="{2F22D2C0-1D83-4CF0-B9FF-290280D39BB9}" name="Min_Days" dataDxfId="4193"/>
    <tableColumn id="21" xr3:uid="{702C1F6D-9A72-4971-A427-479F1E40009C}" name="Max_Days" dataDxfId="4192"/>
    <tableColumn id="22" xr3:uid="{C047298B-994C-4E0A-95A7-53F00395CD2E}" name="Ripening_S_GDD" dataDxfId="4191">
      <calculatedColumnFormula>_xlfn.XLOOKUP("Ripening", CropPhenology_BottleGourd[Main_Stage], CropPhenology_BottleGourd[Start_GDD], "Not Found")</calculatedColumnFormula>
    </tableColumn>
    <tableColumn id="23" xr3:uid="{01632AE6-F0E0-43EF-966A-2E62E618DF8F}" name="Ripening_E_GDD" dataDxfId="4190">
      <calculatedColumnFormula array="1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calculatedColumnFormula>
    </tableColumn>
    <tableColumn id="24" xr3:uid="{757401DA-7C9E-400E-8EE6-CAD429AAAF1B}" name="Avg. Daily GDD" dataDxfId="4189">
      <calculatedColumnFormula>MIN(Y22/V22,MAX(X22/W22,R22,(X22/W22+Y22/V22)/2))</calculatedColumnFormula>
    </tableColumn>
    <tableColumn id="25" xr3:uid="{A2A1A324-2B8C-47C8-8BF1-35B64AD250C3}" name="Days_to_Ripening" dataDxfId="4188">
      <calculatedColumnFormula>Y22/Z22</calculatedColumnFormula>
    </tableColumn>
    <tableColumn id="26" xr3:uid="{B3D9951D-19A2-4B76-A2E3-E245A7DE548A}" name="Sunshine" dataDxfId="4187"/>
    <tableColumn id="27" xr3:uid="{C01BFEA5-C768-41EC-BE6E-8E309B1A866D}" name="Soil_Temp_Min" dataDxfId="4186"/>
    <tableColumn id="28" xr3:uid="{BFF318B4-D69E-4DDE-BD94-A73F5B9EF416}" name="VPA_Max" dataDxfId="4185"/>
    <tableColumn id="29" xr3:uid="{E114BCC3-B941-4C07-948D-CDF5499C2F55}" name="Humidity_Max" dataDxfId="4184"/>
    <tableColumn id="30" xr3:uid="{0EC0607C-A740-4C2E-A039-937C6C852FDF}" name="Dew_Point_Min" dataDxfId="4183"/>
    <tableColumn id="31" xr3:uid="{6F038E79-7D8E-43FD-9BAF-D133FEE8AA89}" name="WS_2m_Max" dataDxfId="4182"/>
    <tableColumn id="32" xr3:uid="{6D372D2B-1DF2-4273-95C3-D1F56ED86330}" name="GDD_Adjust" dataDxfId="4181">
      <calculatedColumnFormula>IFERROR((Y22-X22)/AA22,0)</calculatedColumnFormula>
    </tableColumn>
    <tableColumn id="33" xr3:uid="{B9FDA9F0-0070-4444-88F9-4662D6306DE9}" name="pH_Min" dataDxfId="4180"/>
    <tableColumn id="34" xr3:uid="{C6C18F78-B68E-4253-9357-EEEB0F755149}" name="pH_Max" dataDxfId="4179"/>
    <tableColumn id="87" xr3:uid="{1B3AE291-81B5-4618-8796-9582715408A1}" name="ECt" dataDxfId="4178"/>
    <tableColumn id="88" xr3:uid="{1969E4DC-AB25-426B-9371-40D904CBCE32}" name="Slope" dataDxfId="4177"/>
    <tableColumn id="35" xr3:uid="{129782E4-E999-4226-9277-7E45FA80E4AE}" name="CWR_Min" dataDxfId="4176"/>
    <tableColumn id="36" xr3:uid="{3234F430-E4A0-499A-B759-72BA8C41763E}" name="CWR_Max" dataDxfId="4175"/>
    <tableColumn id="37" xr3:uid="{8B89DE9F-FB4F-4BB5-AFA7-DFF765E7F133}" name="Sowing_Depth_cm" dataDxfId="4174"/>
    <tableColumn id="38" xr3:uid="{33B0AAFA-9DE1-4F87-9C77-2422F71379A4}" name="Root_Depth_cm" dataDxfId="4173"/>
    <tableColumn id="39" xr3:uid="{D65A346F-4317-464A-AAF1-47DACC9D3D9C}" name="Stress_Tolerance_Index" dataDxfId="4172"/>
    <tableColumn id="40" xr3:uid="{69492BDC-1683-4B42-AE75-3D6CE568FFC4}" name="Row_Spacing_cm" dataDxfId="4171"/>
    <tableColumn id="41" xr3:uid="{2F01A3D1-F2BC-4D7F-BC39-5C03A4D161B0}" name="Plant_to_Plant_cm" dataDxfId="4170"/>
    <tableColumn id="42" xr3:uid="{4933B2E2-8ACD-48F8-B43A-52AAD1751225}" name="Seed_Per_Spot" dataDxfId="4169"/>
    <tableColumn id="43" xr3:uid="{6B197971-7C83-419C-BE0A-EAB708267E5D}" name="Seed_Rate_m2" dataDxfId="4168">
      <calculatedColumnFormula>IFERROR(10000/(AS22*AR22),0)*AT22</calculatedColumnFormula>
    </tableColumn>
    <tableColumn id="44" xr3:uid="{50A74D49-FD17-4BF7-8BE4-0CF47C6BFC0A}" name="Seed_Weight_kg/ha" dataDxfId="4167">
      <calculatedColumnFormula>ROUND((P22/1000000)*AU22*10000,2)</calculatedColumnFormula>
    </tableColumn>
    <tableColumn id="45" xr3:uid="{815063D0-3767-48F8-87BA-52413BC2E8AA}" name="Germination_%" dataDxfId="4166"/>
    <tableColumn id="46" xr3:uid="{96E1696C-62B4-4F01-A936-32DD76841D83}" name="Effective_Plants_m2" dataDxfId="4165">
      <calculatedColumnFormula>ROUND(AU22*AW22/100,2)</calculatedColumnFormula>
    </tableColumn>
    <tableColumn id="47" xr3:uid="{84909123-8B10-4952-8048-3AEFC829CEF8}" name="Tillers_Per_Plant" dataDxfId="4164"/>
    <tableColumn id="48" xr3:uid="{7CD58FBB-1B90-486C-8978-EFCCC0977334}" name="Shoots_Per_m2" dataDxfId="4163">
      <calculatedColumnFormula>IFERROR(AX22*AY22,0)</calculatedColumnFormula>
    </tableColumn>
    <tableColumn id="49" xr3:uid="{8C9F4537-45C4-4953-AD95-01770B905945}" name="Survival_Ratio" dataDxfId="4162"/>
    <tableColumn id="50" xr3:uid="{27F394BB-D1F8-42DD-9B42-E3CB934AD55E}" name="Shoot_Bearing_m2" dataDxfId="4161">
      <calculatedColumnFormula>IFERROR(AZ22*BA22,0)</calculatedColumnFormula>
    </tableColumn>
    <tableColumn id="51" xr3:uid="{4BEBCE5D-5B3C-4BBB-AE6F-644B59E28DD2}" name="Leaf_Area_Per_Shoot_m2" dataDxfId="4160"/>
    <tableColumn id="52" xr3:uid="{E51209C9-9F1E-4FA6-9752-B79EBFFF2B6E}" name="Start_LAI" dataDxfId="4159">
      <calculatedColumnFormula>IFERROR(
  MAX(0.05, MIN(0.5, CropNorms_BottleGourd[[#This Row],[Leaf_Area_Per_Shoot_m2]] * CropNorms_BottleGourd[[#This Row],[Shoot_Bearing_m2]] )),
  0.2
)</calculatedColumnFormula>
    </tableColumn>
    <tableColumn id="53" xr3:uid="{3D6753C5-CC28-4168-B832-CCC898937D31}" name="LAI_Start_GDD" dataDxfId="4158">
      <calculatedColumnFormula>_xlfn.XLOOKUP(CropNorms_BottleGourd[[#This Row],[LAI_Start_BBCH]], CropPhenology_BottleGourd[Sub_Stage], CropPhenology_BottleGourd[Start_GDD], "Not Found")</calculatedColumnFormula>
    </tableColumn>
    <tableColumn id="54" xr3:uid="{6ECEBABC-EF1A-4693-97F8-5C6E395D6B1D}" name="Max_LAI" dataDxfId="4157">
      <calculatedColumnFormula>ROUND(CropNorms_BottleGourd[[#This Row],[Shoot_Bearing_m2]]*CropNorms_BottleGourd[[#This Row],[Leaf_Area_Per_Shoot_m2]],2)</calculatedColumnFormula>
    </tableColumn>
    <tableColumn id="55" xr3:uid="{CDCA5C39-2103-48D6-A516-D37F03FFE5CA}" name="LAI_Max_GDD" dataDxfId="4156">
      <calculatedColumnFormula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calculatedColumnFormula>
    </tableColumn>
    <tableColumn id="56" xr3:uid="{AE8FAA25-A646-4144-B968-C55C83B44C3F}" name="End_LAI" dataDxfId="4155">
      <calculatedColumnFormula>IF(CropNorms_BottleGourd[[#This Row],[Max_LAI]]&gt;=1.2, 0.85*CropNorms_BottleGourd[[#This Row],[Max_LAI]], 1)</calculatedColumnFormula>
    </tableColumn>
    <tableColumn id="57" xr3:uid="{E831C4B9-7E63-407B-9A63-51CC7B86AF85}" name="LAI_End_GDD" dataDxfId="4154">
      <calculatedColumnFormula>_xlfn.XLOOKUP(CropNorms_BottleGourd[[#This Row],[LAI_End_BBCH]], CropPhenology_BottleGourd[Sub_Stage], CropPhenology_BottleGourd[End_GDD], "Not Found")</calculatedColumnFormula>
    </tableColumn>
    <tableColumn id="58" xr3:uid="{C288C7BA-3908-4E87-896A-C67D29EBD93C}" name="RUE_Max" dataDxfId="4153">
      <calculatedColumnFormula array="1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01924E9-B373-4292-9079-BF27094F30FE}" name="RUE_Asymptote_Frac" dataDxfId="4152">
      <calculatedColumnFormula array="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ED6651F-7045-4D29-86D7-878B8E8355BC}" name="RUE_LAI_Half_Sat" dataDxfId="4151">
      <calculatedColumnFormula array="1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4CB360C3-8E29-4EBE-840B-6090B42EB279}" name="RUE_Daily_Delta_Max" dataDxfId="4150">
      <calculatedColumnFormula array="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8671B26-76D4-4314-B8B6-8F94A3EED18E}" name="HI" dataDxfId="4149"/>
    <tableColumn id="63" xr3:uid="{39D9ABD0-2181-4188-BD6E-B72D90BC7EDB}" name="DM:FM" dataDxfId="4148"/>
    <tableColumn id="64" xr3:uid="{F40C98EF-EB20-4AA4-9339-987DFC321539}" name="Yield_t/ha" dataDxfId="4147"/>
    <tableColumn id="65" xr3:uid="{FCFB3696-B062-4E2E-B33A-9F937AC1754C}" name="Yield_Type" dataDxfId="4146"/>
    <tableColumn id="66" xr3:uid="{7F449867-D9C6-40DC-89FA-395209415FB8}" name="LAI_Start_BBCH" dataDxfId="4145">
      <calculatedColumnFormula array="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FFE5CE1-51FF-455D-9D72-7E98EE45C8F1}" name="LAI_Max_BBCH" dataDxfId="4144">
      <calculatedColumnFormula array="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5529C14-8A46-4316-B8ED-D308505BBB54}" name="LAI_End_BBCH" dataDxfId="4143">
      <calculatedColumnFormula array="1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FB49485-0E6D-4AB7-BF8B-56665712912D}" name="Fruiting_Start_BBCH" dataDxfId="4142">
      <calculatedColumnFormula array="1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4F79CB6-DF2F-45C8-8ADE-0B0E83E6D3F1}" name="N_Deficiency_kg/ha" dataDxfId="4141"/>
    <tableColumn id="71" xr3:uid="{DABA17E9-6354-4D2D-89FD-BDFEE3124C42}" name="P_Deficiency_kg/ha" dataDxfId="4140"/>
    <tableColumn id="72" xr3:uid="{6370B964-8659-46F9-879A-8BD87C89112D}" name="K_deficiency_kg/ha" dataDxfId="4139"/>
    <tableColumn id="73" xr3:uid="{B9EC8EAF-9E39-4DD6-966C-C9AAC8033830}" name="Sowing_Start_Season" dataDxfId="4138"/>
    <tableColumn id="74" xr3:uid="{7A5C232A-6267-4400-BCBA-98DBD7A3474D}" name="Sowing_End_Season" dataDxfId="4137"/>
    <tableColumn id="75" xr3:uid="{A616BBAC-B501-4BD4-92F0-5551414E02A6}" name="Sand" dataDxfId="4136"/>
    <tableColumn id="76" xr3:uid="{330C367F-0081-4D68-921F-A1BE306FD3D9}" name="Loamy Sand" dataDxfId="4135"/>
    <tableColumn id="77" xr3:uid="{21B7A4C7-2298-4A40-AF4C-807D44865B5F}" name="Sandy Loam" dataDxfId="4134"/>
    <tableColumn id="78" xr3:uid="{91D64A24-51F8-4D6D-B129-5FCE7E41B65F}" name="Loam" dataDxfId="4133"/>
    <tableColumn id="79" xr3:uid="{43299445-9D34-43EF-BAE3-BB07A601AADD}" name="Silt Loam" dataDxfId="4132"/>
    <tableColumn id="80" xr3:uid="{274266EE-FB4F-4940-8C8B-48BD49608702}" name="Clay Loam" dataDxfId="4131"/>
    <tableColumn id="81" xr3:uid="{49C65EEE-901F-44DA-8990-E164346BEE5A}" name="Silt" dataDxfId="4130"/>
    <tableColumn id="82" xr3:uid="{1222A405-555F-4C07-8B70-3D40CDBEDE7B}" name="Sandy Clay" dataDxfId="4129"/>
    <tableColumn id="83" xr3:uid="{B3DB12BB-2DA2-4DF7-B0D6-B1485F34AB9A}" name="Silty Clay Loam" dataDxfId="4128"/>
    <tableColumn id="84" xr3:uid="{A4684663-E41D-4B74-9F28-BEA0162535DA}" name="Silty Clay" dataDxfId="4127"/>
    <tableColumn id="85" xr3:uid="{D8793E78-C8B7-45CA-813B-5D95B9174BA9}" name="Clay" dataDxfId="4126"/>
    <tableColumn id="86" xr3:uid="{0FA36213-9980-40CE-969F-93C46539D68B}" name="Sandy Clay Loam" dataDxfId="41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D8C4B4-0AA5-4A73-9BAF-C851060116F1}" name="CropNorms_Brinjal" displayName="CropNorms_Brinjal" ref="B31:CL48" totalsRowShown="0" headerRowDxfId="4124" dataDxfId="4122" headerRowBorderDxfId="4123" tableBorderDxfId="4121">
  <tableColumns count="89">
    <tableColumn id="1" xr3:uid="{BBD7E420-AE15-4C4E-B844-9DC1D4B2B208}" name="Crop_Name" dataDxfId="4120"/>
    <tableColumn id="2" xr3:uid="{142D043C-C14F-4176-8A05-FB8B35A706A5}" name="Variety_Name" dataDxfId="4119"/>
    <tableColumn id="3" xr3:uid="{99CD6461-A259-4D60-98C3-15F7BBCB6263}" name="Variety_Type" dataDxfId="4118"/>
    <tableColumn id="4" xr3:uid="{2ACE3F1A-DA4D-48BE-AC7E-0BE656A7DA6D}" name="Height_Class" dataDxfId="4117"/>
    <tableColumn id="5" xr3:uid="{8468F978-44FB-447C-81D3-F8F6784A6498}" name="Height_cm" dataDxfId="4116"/>
    <tableColumn id="6" xr3:uid="{F132F09E-CAF5-45FC-B098-07B51C955765}" name="Nutrient_Content" dataDxfId="4115"/>
    <tableColumn id="7" xr3:uid="{F943DC48-E217-4A67-8C8F-AEE371164DDF}" name="Common_Disease_Tolerance" dataDxfId="4114"/>
    <tableColumn id="8" xr3:uid="{3B67E316-73A6-4616-B85B-346060E10751}" name="Common_Pest_Tolerance" dataDxfId="4113"/>
    <tableColumn id="9" xr3:uid="{0C5A60B2-473A-4940-BE61-29E1964ECDC4}" name="Environmental_Resilience" dataDxfId="4112"/>
    <tableColumn id="10" xr3:uid="{4608D6F5-3FDF-4B36-8E4B-FFD8AD2E7FF1}" name="Category" dataDxfId="4111"/>
    <tableColumn id="11" xr3:uid="{2F973B37-118C-47CD-B136-0BDFCE09B693}" name="Country" dataDxfId="4110"/>
    <tableColumn id="12" xr3:uid="{16909F79-700F-48E0-8C23-C6D3937E990D}" name="Season" dataDxfId="4109"/>
    <tableColumn id="13" xr3:uid="{5F742FC6-034F-464A-BB94-C7EC7F6205C5}" name="PAR" dataDxfId="4108"/>
    <tableColumn id="14" xr3:uid="{BCB3058D-65F7-4E33-96C8-C021E89F9CD1}" name="Region" dataDxfId="4107"/>
    <tableColumn id="15" xr3:uid="{A368CBF8-14C1-468C-A849-75B214F550C5}" name="Seed_Weight_mg" dataDxfId="4106"/>
    <tableColumn id="16" xr3:uid="{298F2357-EEC5-4653-A962-2F1D23FDFD82}" name="Crop_Min_Temp" dataDxfId="4105"/>
    <tableColumn id="17" xr3:uid="{13C81BDD-3FC8-4CE3-900D-156C74CDCFA3}" name="Base_Temp" dataDxfId="4104"/>
    <tableColumn id="18" xr3:uid="{1BD6EF90-6A26-4659-891C-E5C4B9A9A123}" name="Opt._Temp" dataDxfId="4103"/>
    <tableColumn id="19" xr3:uid="{340CD04A-980A-48DE-933B-AFB1414158ED}" name="Upper_Temp" dataDxfId="4102"/>
    <tableColumn id="89" xr3:uid="{9D6EAEAF-EB00-40C8-B22C-F16C869A2008}" name="Loss / Degree" dataDxfId="4101"/>
    <tableColumn id="20" xr3:uid="{67F8A73C-87C6-4689-8B1F-EE6F105542C4}" name="Min_Days" dataDxfId="4100"/>
    <tableColumn id="21" xr3:uid="{E338B0E3-3080-424A-874E-CEC42600E9A0}" name="Max_Days" dataDxfId="4099"/>
    <tableColumn id="22" xr3:uid="{D39FEAD2-4C75-4080-B9E7-62B379B472AC}" name="Ripening_S_GDD" dataDxfId="4098">
      <calculatedColumnFormula>_xlfn.XLOOKUP("Ripening", CropPhenology_Brinjal[Main_Stage], CropPhenology_Brinjal[Start_GDD], "Not Found")</calculatedColumnFormula>
    </tableColumn>
    <tableColumn id="23" xr3:uid="{3562C504-3386-4F33-AF3C-28E4E7F9079B}" name="Ripening_E_GDD" dataDxfId="4097">
      <calculatedColumnFormula array="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calculatedColumnFormula>
    </tableColumn>
    <tableColumn id="24" xr3:uid="{FBBB14AB-C3E9-4309-B39C-5C7DFA9FC800}" name="Avg. Daily GDD" dataDxfId="4096">
      <calculatedColumnFormula>MIN(Y32/V32,MAX(X32/W32,R32,(X32/W32+Y32/V32)/2))</calculatedColumnFormula>
    </tableColumn>
    <tableColumn id="25" xr3:uid="{52359704-F292-418D-AC3D-024CAA4F8B12}" name="Days_to_Ripening" dataDxfId="4095">
      <calculatedColumnFormula>Y32/Z32</calculatedColumnFormula>
    </tableColumn>
    <tableColumn id="26" xr3:uid="{0FD5886C-A274-4897-A6A0-A00BBDDE0234}" name="Sunshine" dataDxfId="4094"/>
    <tableColumn id="27" xr3:uid="{DBA779B0-F120-4C56-A9DA-F82C5BBFE1A1}" name="Soil_Temp_Min" dataDxfId="4093"/>
    <tableColumn id="28" xr3:uid="{7BEF1DEE-D7E9-46D3-AAE9-085299A55E15}" name="VPA_Max" dataDxfId="4092"/>
    <tableColumn id="29" xr3:uid="{193CA877-B40D-4A2E-883C-C4F04BE3BAB7}" name="Humidity_Max" dataDxfId="4091"/>
    <tableColumn id="30" xr3:uid="{9E0648D6-8D67-4561-B83C-FAFA87637D8D}" name="Dew_Point_Min" dataDxfId="4090"/>
    <tableColumn id="31" xr3:uid="{87C1A618-4E07-46EE-8690-0769FFB09BE5}" name="WS_2m_Max" dataDxfId="4089"/>
    <tableColumn id="32" xr3:uid="{3CE2C5EF-5D27-498A-94E1-F50CFC1D1700}" name="GDD_Adjust" dataDxfId="4088">
      <calculatedColumnFormula>IFERROR((Y32-X32)/AA32,0)</calculatedColumnFormula>
    </tableColumn>
    <tableColumn id="33" xr3:uid="{021BF3B9-D85C-404A-9EA6-540E98CE4D57}" name="pH_Min" dataDxfId="4087"/>
    <tableColumn id="34" xr3:uid="{EC2D6C61-BDDE-4EDF-B15C-6ABA0C7BC1F9}" name="pH_Max" dataDxfId="4086"/>
    <tableColumn id="87" xr3:uid="{C46E789E-E46E-4106-A345-0FE490DD8257}" name="ECt" dataDxfId="4085"/>
    <tableColumn id="88" xr3:uid="{9FE329BF-5DF5-4E88-AC16-3DDD4CBA8DA3}" name="Slope" dataDxfId="4084"/>
    <tableColumn id="35" xr3:uid="{2A242F05-3CCE-45D4-A32D-E0C2EB6E6A52}" name="CWR_Min" dataDxfId="4083"/>
    <tableColumn id="36" xr3:uid="{E4AF80C0-655B-4444-AEC6-EF29446246AF}" name="CWR_Max" dataDxfId="4082"/>
    <tableColumn id="37" xr3:uid="{0D5A7058-F452-4594-889B-E898BDF6A161}" name="Sowing_Depth_cm" dataDxfId="4081"/>
    <tableColumn id="38" xr3:uid="{1FA7D42A-EA84-4D38-A772-D68A7C132AC2}" name="Root_Depth_cm" dataDxfId="4080"/>
    <tableColumn id="39" xr3:uid="{6291DEB0-4DCF-45B6-A5D3-2D87E512C2D8}" name="Stress_Tolerance_Index" dataDxfId="4079"/>
    <tableColumn id="40" xr3:uid="{4524DD26-E8ED-490B-9E69-FFC507A961D5}" name="Row_Spacing_cm" dataDxfId="4078"/>
    <tableColumn id="41" xr3:uid="{287DC705-80A7-4754-813F-C915988320BB}" name="Plant_to_Plant_cm" dataDxfId="4077"/>
    <tableColumn id="42" xr3:uid="{42D7EA9B-7629-4711-A673-BE872AF34552}" name="Seed_Per_Spot" dataDxfId="4076"/>
    <tableColumn id="43" xr3:uid="{60D3CFA3-5643-444C-B361-BE2439FF5CA6}" name="Seed_Rate_m2" dataDxfId="4075">
      <calculatedColumnFormula>IFERROR(10000/(AS32*AR32),0)*AT32</calculatedColumnFormula>
    </tableColumn>
    <tableColumn id="44" xr3:uid="{E7CF5A0F-12DE-4AD5-BAF0-B25152F03DCA}" name="Seed_Weight_kg/ha" dataDxfId="4074">
      <calculatedColumnFormula>ROUND((P32/1000000)*AU32*10000,2)</calculatedColumnFormula>
    </tableColumn>
    <tableColumn id="45" xr3:uid="{32A11923-C448-43D7-AD54-B69BD16C8004}" name="Germination_%" dataDxfId="4073"/>
    <tableColumn id="46" xr3:uid="{7BB22AC9-7F6D-489D-9364-B8408096949C}" name="Effective_Plants_m2" dataDxfId="4072">
      <calculatedColumnFormula>ROUND(AU32*AW32/100,2)</calculatedColumnFormula>
    </tableColumn>
    <tableColumn id="47" xr3:uid="{71C4FB3B-DF3D-40E5-A0A7-872A58767C55}" name="Tillers_Per_Plant" dataDxfId="4071"/>
    <tableColumn id="48" xr3:uid="{C11D4996-0CAD-4DE5-8590-892A907ACB1C}" name="Shoots_Per_m2" dataDxfId="4070">
      <calculatedColumnFormula>IFERROR(AX32*AY32,0)</calculatedColumnFormula>
    </tableColumn>
    <tableColumn id="49" xr3:uid="{F9DDE94C-4FFA-4FCC-A4AF-EF22500C91CB}" name="Survival_Ratio" dataDxfId="4069"/>
    <tableColumn id="50" xr3:uid="{94118F79-E188-4495-B8A1-FEEA37372CC8}" name="Shoot_Bearing_m2" dataDxfId="4068">
      <calculatedColumnFormula>IFERROR(AZ32*BA32,0)</calculatedColumnFormula>
    </tableColumn>
    <tableColumn id="51" xr3:uid="{0F69BDEC-284F-45A2-BAA9-147CADB4F348}" name="Leaf_Area_Per_Shoot_m2" dataDxfId="4067"/>
    <tableColumn id="52" xr3:uid="{E6D41C55-E43F-429C-9AF3-F3A24E5B916A}" name="Start_LAI" dataDxfId="4066">
      <calculatedColumnFormula>IFERROR(
  MAX(0.05, MIN(0.5, CropNorms_Brinjal[[#This Row],[Leaf_Area_Per_Shoot_m2]] * CropNorms_Brinjal[[#This Row],[Shoot_Bearing_m2]] )),
  0.2
)</calculatedColumnFormula>
    </tableColumn>
    <tableColumn id="53" xr3:uid="{EA5AB549-89D0-49D4-8318-DD72E614E26E}" name="LAI_Start_GDD" dataDxfId="4065">
      <calculatedColumnFormula>_xlfn.XLOOKUP(CropNorms_Brinjal[[#This Row],[LAI_Start_BBCH]], CropPhenology_Brinjal[Sub_Stage], CropPhenology_Brinjal[Start_GDD], "Not Found")</calculatedColumnFormula>
    </tableColumn>
    <tableColumn id="54" xr3:uid="{6510CE35-EEF8-4093-A838-65451D0A583B}" name="Max_LAI" dataDxfId="4064">
      <calculatedColumnFormula>ROUND(CropNorms_Brinjal[[#This Row],[Shoot_Bearing_m2]]*CropNorms_Brinjal[[#This Row],[Leaf_Area_Per_Shoot_m2]],2)</calculatedColumnFormula>
    </tableColumn>
    <tableColumn id="55" xr3:uid="{79A7AFFC-9CBA-4614-81D6-0C2C8090A223}" name="LAI_Max_GDD" dataDxfId="4063">
      <calculatedColumnFormula>AVERAGE(
  _xlfn.XLOOKUP(CropNorms_Brinjal[[#This Row],[LAI_Max_BBCH]], CropPhenology_Brinjal[Sub_Stage], CropPhenology_Brinjal[Start_GDD]),
  _xlfn.XLOOKUP(CropNorms_Brinjal[[#This Row],[LAI_Max_BBCH]], CropPhenology_Brinjal[Sub_Stage], CropPhenology_Brinjal[End_GDD])
)</calculatedColumnFormula>
    </tableColumn>
    <tableColumn id="56" xr3:uid="{F7578CC9-E648-4A7B-8EB6-3FCDD2E35037}" name="End_LAI" dataDxfId="4062">
      <calculatedColumnFormula>IF(CropNorms_Brinjal[[#This Row],[Max_LAI]]&gt;=1.2, 0.85*CropNorms_Brinjal[[#This Row],[Max_LAI]], 1)</calculatedColumnFormula>
    </tableColumn>
    <tableColumn id="57" xr3:uid="{62FEFCE3-B51C-412D-B864-2EAE198EE494}" name="LAI_End_GDD" dataDxfId="4061">
      <calculatedColumnFormula>_xlfn.XLOOKUP(CropNorms_Brinjal[[#This Row],[LAI_End_BBCH]], CropPhenology_Brinjal[Sub_Stage], CropPhenology_Brinjal[End_GDD], "Not Found")</calculatedColumnFormula>
    </tableColumn>
    <tableColumn id="58" xr3:uid="{4EE9D004-2402-461F-BB8C-48715A6924CC}" name="RUE_Max" dataDxfId="4060">
      <calculatedColumnFormula array="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73CD21A-9845-48E0-94AE-28CC5F29EA9B}" name="RUE_Asymptote_Frac" dataDxfId="4059">
      <calculatedColumnFormula array="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18831C0-E813-468F-BA0E-27B2EFDD336D}" name="RUE_LAI_Half_Sat" dataDxfId="4058">
      <calculatedColumnFormula array="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9E3AF73-1B82-42AB-A1FE-B22B981CCC35}" name="RUE_Daily_Delta_Max" dataDxfId="4057">
      <calculatedColumnFormula array="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A101F34-FE98-482D-93FB-0BA37019C423}" name="HI" dataDxfId="4056"/>
    <tableColumn id="63" xr3:uid="{080AFDCB-A582-4BB0-BA71-8468678E6530}" name="DM:FM" dataDxfId="4055"/>
    <tableColumn id="64" xr3:uid="{4DC6C41D-B6C2-471E-9E3F-C6D1CF5DFF20}" name="Yield_t/ha" dataDxfId="4054"/>
    <tableColumn id="65" xr3:uid="{3A9CF19A-8A00-461E-B055-126804C86588}" name="Yield_Type" dataDxfId="4053"/>
    <tableColumn id="66" xr3:uid="{5A0C8E34-FEE7-4258-8001-4536618A1C9C}" name="LAI_Start_BBCH" dataDxfId="4052">
      <calculatedColumnFormula array="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0262F1E-763F-48C0-AB35-09ED77169A17}" name="LAI_Max_BBCH" dataDxfId="4051">
      <calculatedColumnFormula array="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AF60ACA-40DF-42CF-879D-E2761D38930D}" name="LAI_End_BBCH" dataDxfId="4050">
      <calculatedColumnFormula array="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35CE128-EDF9-4579-B472-ACD91A780A92}" name="Fruiting_Start_BBCH" dataDxfId="4049">
      <calculatedColumnFormula array="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4E215428-AFEC-4852-9383-DD33182E6EE2}" name="N_Deficiency_kg/ha" dataDxfId="4048"/>
    <tableColumn id="71" xr3:uid="{ADF74DBF-0449-4A1A-9661-507F160E422E}" name="P_Deficiency_kg/ha" dataDxfId="4047"/>
    <tableColumn id="72" xr3:uid="{F041DBD9-AD1E-4BC8-8715-126D335F3F73}" name="K_deficiency_kg/ha" dataDxfId="4046"/>
    <tableColumn id="73" xr3:uid="{0287DB97-92DE-4DCD-B518-C16F2BB779C9}" name="Sowing_Start_Season" dataDxfId="4045"/>
    <tableColumn id="74" xr3:uid="{C67C5998-0965-4BE5-8647-28A75420248F}" name="Sowing_End_Season" dataDxfId="4044"/>
    <tableColumn id="75" xr3:uid="{1680B084-9494-49BE-9AF4-503750EC9F83}" name="Sand" dataDxfId="4043"/>
    <tableColumn id="76" xr3:uid="{B3F0075A-2677-4E52-84BC-E4F66D269124}" name="Loamy Sand" dataDxfId="4042"/>
    <tableColumn id="77" xr3:uid="{1BD332BE-404E-4567-AB53-94B1D992340F}" name="Sandy Loam" dataDxfId="4041"/>
    <tableColumn id="78" xr3:uid="{7B1EB7D3-F192-48B9-B1D8-4152E0620C18}" name="Loam" dataDxfId="4040"/>
    <tableColumn id="79" xr3:uid="{F81EBF4E-1178-495A-8CCE-1DB3943810F4}" name="Silt Loam" dataDxfId="4039"/>
    <tableColumn id="80" xr3:uid="{235C3C42-88B5-434C-939A-4141C84C4E56}" name="Clay Loam" dataDxfId="4038"/>
    <tableColumn id="81" xr3:uid="{DBFDA95B-9078-4EE6-A957-1EDF43B95B6C}" name="Silt" dataDxfId="4037"/>
    <tableColumn id="82" xr3:uid="{561EFD04-1A86-4109-B916-F13D6E1A7788}" name="Sandy Clay" dataDxfId="4036"/>
    <tableColumn id="83" xr3:uid="{E693B46D-6B77-4239-9B7B-F6D1E5010BC8}" name="Silty Clay Loam" dataDxfId="4035"/>
    <tableColumn id="84" xr3:uid="{1FD80FE2-5A9B-4D08-8B04-1E2372236B2A}" name="Silty Clay" dataDxfId="4034"/>
    <tableColumn id="85" xr3:uid="{60D54057-B058-4EAF-8641-2D050352F326}" name="Clay" dataDxfId="4033"/>
    <tableColumn id="86" xr3:uid="{CF85B7FD-D744-402D-BE44-A6C96E261C85}" name="Sandy Clay Loam" dataDxfId="403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308AEA-E7FE-45C8-804F-BB24B0E7D4A9}" name="CropNorms_Broccoli" displayName="CropNorms_Broccoli" ref="B50:CL52" totalsRowShown="0" headerRowDxfId="4031" dataDxfId="4029" headerRowBorderDxfId="4030" tableBorderDxfId="4028">
  <tableColumns count="89">
    <tableColumn id="1" xr3:uid="{ACF91656-AA72-42EE-987D-85C59AC45E21}" name="Crop_Name" dataDxfId="4027"/>
    <tableColumn id="2" xr3:uid="{2D81E684-E132-4208-B4C8-B70560C59CEA}" name="Variety_Name" dataDxfId="4026"/>
    <tableColumn id="3" xr3:uid="{034C0768-EBB6-4B5A-A2B9-E13A4E5BC2EC}" name="Variety_Type" dataDxfId="4025"/>
    <tableColumn id="4" xr3:uid="{A718B8EA-46EF-442B-98FE-0FAA67808491}" name="Height_Class" dataDxfId="4024"/>
    <tableColumn id="5" xr3:uid="{6D84B9EE-71E6-41B9-80B7-A7408FAB3121}" name="Height_cm" dataDxfId="4023"/>
    <tableColumn id="6" xr3:uid="{68536B4F-3629-4A7F-A5C3-5ADAE7753CAE}" name="Nutrient_Content" dataDxfId="4022"/>
    <tableColumn id="7" xr3:uid="{16DD70FF-D4C0-4A6F-9462-066884D2BFC1}" name="Common_Disease_Tolerance" dataDxfId="4021"/>
    <tableColumn id="8" xr3:uid="{13683F8F-21D7-46F6-895F-00C80589AB9B}" name="Common_Pest_Tolerance" dataDxfId="4020"/>
    <tableColumn id="9" xr3:uid="{956AFE6F-E8D6-4B66-8341-53FB7E054DC4}" name="Environmental_Resilience" dataDxfId="4019"/>
    <tableColumn id="10" xr3:uid="{E0EE8A95-D9A4-4F89-B814-B9B7542B32FE}" name="Category" dataDxfId="4018"/>
    <tableColumn id="11" xr3:uid="{76B9E49E-7EB8-4CD1-B673-D6C4E9CA56F3}" name="Country" dataDxfId="4017"/>
    <tableColumn id="12" xr3:uid="{39985918-042E-45B7-8D19-0996D13DAE62}" name="Season" dataDxfId="4016"/>
    <tableColumn id="13" xr3:uid="{DBBE2FEC-3194-4106-8D59-6E664FFB1EB5}" name="PAR" dataDxfId="4015"/>
    <tableColumn id="14" xr3:uid="{A6235F4C-BB2F-4DB6-AA5B-E72A53A9F738}" name="Region" dataDxfId="4014"/>
    <tableColumn id="15" xr3:uid="{3DF5FB0A-C4CB-42B5-9E5A-5B57107E323C}" name="Seed_Weight_mg" dataDxfId="4013"/>
    <tableColumn id="16" xr3:uid="{4A64177A-DF96-4E11-8038-6D153233A20F}" name="Crop_Min_Temp" dataDxfId="4012"/>
    <tableColumn id="17" xr3:uid="{1C80F943-0E50-4694-BDC3-D75514C10025}" name="Base_Temp" dataDxfId="4011"/>
    <tableColumn id="18" xr3:uid="{D845B48D-A8C1-4BCE-9D56-50E156E29624}" name="Opt._Temp" dataDxfId="4010"/>
    <tableColumn id="19" xr3:uid="{6CF74E0E-A687-4856-85C7-18D9D7E90911}" name="Upper_Temp" dataDxfId="4009"/>
    <tableColumn id="89" xr3:uid="{1D97AF60-CEDE-478C-87EF-53AC8B40C8AB}" name="Loss / Degree" dataDxfId="4008"/>
    <tableColumn id="20" xr3:uid="{60838C43-6C28-43D7-B79E-4B54D4B4BCF2}" name="Min_Days" dataDxfId="4007"/>
    <tableColumn id="21" xr3:uid="{EA3AB60D-5153-40D8-BA13-BA93DE7F1A03}" name="Max_Days" dataDxfId="4006"/>
    <tableColumn id="22" xr3:uid="{EC235A07-4D14-4650-9911-B356959B0EF5}" name="Ripening_S_GDD" dataDxfId="4005">
      <calculatedColumnFormula>_xlfn.XLOOKUP("Ripening", CropPhenology_Broccoli[Main_Stage], CropPhenology_Broccoli[Start_GDD], "Not Found")</calculatedColumnFormula>
    </tableColumn>
    <tableColumn id="23" xr3:uid="{7F86D99B-D728-4830-AE63-CA864A21924E}" name="Ripening_E_GDD" dataDxfId="4004">
      <calculatedColumnFormula array="1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calculatedColumnFormula>
    </tableColumn>
    <tableColumn id="24" xr3:uid="{F3CDD996-9C60-4A6B-8D64-58641284F1F4}" name="Avg. Daily GDD" dataDxfId="4003">
      <calculatedColumnFormula>MIN(Y51/V51,MAX(X51/W51,R51,(X51/W51+Y51/V51)/2))</calculatedColumnFormula>
    </tableColumn>
    <tableColumn id="25" xr3:uid="{44EB10C2-DED0-419B-BAD2-7BBF4DCCBA57}" name="Days_to_Ripening" dataDxfId="4002">
      <calculatedColumnFormula>Y51/Z51</calculatedColumnFormula>
    </tableColumn>
    <tableColumn id="26" xr3:uid="{A01C9C18-2A44-428B-9CF2-7A6D77500A05}" name="Sunshine" dataDxfId="4001"/>
    <tableColumn id="27" xr3:uid="{2B72071C-4BD1-498F-98F2-172E425B51A6}" name="Soil_Temp_Min" dataDxfId="4000"/>
    <tableColumn id="28" xr3:uid="{67B07E9A-F739-4603-965F-A55C95C096E1}" name="VPA_Max" dataDxfId="3999"/>
    <tableColumn id="29" xr3:uid="{0AC0EAA9-75CC-4305-AE16-157F5E521D48}" name="Humidity_Max" dataDxfId="3998"/>
    <tableColumn id="30" xr3:uid="{7C869B48-0782-4850-994A-A09F4BD4BC5A}" name="Dew_Point_Min" dataDxfId="3997"/>
    <tableColumn id="31" xr3:uid="{FC926DCA-10F8-4500-83F6-323736A39506}" name="WS_2m_Max" dataDxfId="3996"/>
    <tableColumn id="32" xr3:uid="{EFFBEBD2-3AF9-4D9E-BA5B-802D3437143B}" name="GDD_Adjust" dataDxfId="3995">
      <calculatedColumnFormula>IFERROR((Y51-X51)/AA51,0)</calculatedColumnFormula>
    </tableColumn>
    <tableColumn id="33" xr3:uid="{91BC1C72-3412-4049-A1F1-A0EC8F341736}" name="pH_Min" dataDxfId="3994"/>
    <tableColumn id="34" xr3:uid="{F116A7AE-BD50-40F0-9761-88198584DB2A}" name="pH_Max" dataDxfId="3993"/>
    <tableColumn id="87" xr3:uid="{C4C1B546-11A0-4B14-B23D-0379F4F4580C}" name="ECt" dataDxfId="3992"/>
    <tableColumn id="88" xr3:uid="{0E0F9BEF-DE39-490C-B189-8E492EFDE273}" name="Slope" dataDxfId="3991"/>
    <tableColumn id="35" xr3:uid="{9856A704-317D-4557-8C84-77A493ED9D95}" name="CWR_Min" dataDxfId="3990"/>
    <tableColumn id="36" xr3:uid="{27EA0E9A-DB6C-4C7F-AE71-40CDB0B1B9DF}" name="CWR_Max" dataDxfId="3989"/>
    <tableColumn id="37" xr3:uid="{0CF56933-DFDD-4508-A44A-089932C8F2E2}" name="Sowing_Depth_cm" dataDxfId="3988"/>
    <tableColumn id="38" xr3:uid="{B31E47DE-8B1A-4525-A1B2-9DDCFB62A7E9}" name="Root_Depth_cm" dataDxfId="3987"/>
    <tableColumn id="39" xr3:uid="{4F5F6CED-615A-40EE-8AE9-1B68019EFD92}" name="Stress_Tolerance_Index" dataDxfId="3986"/>
    <tableColumn id="40" xr3:uid="{80382E0C-25DC-46A4-848E-6CC330A6B5CB}" name="Row_Spacing_cm" dataDxfId="3985"/>
    <tableColumn id="41" xr3:uid="{46638AD1-B7E5-4A08-9FD9-171C173C4B91}" name="Plant_to_Plant_cm" dataDxfId="3984"/>
    <tableColumn id="42" xr3:uid="{6654BE30-AD57-49C6-8EF2-E2F27C286065}" name="Seed_Per_Spot" dataDxfId="3983"/>
    <tableColumn id="43" xr3:uid="{91A92348-A129-45DD-8AE5-2AAC90003845}" name="Seed_Rate_m2" dataDxfId="3982">
      <calculatedColumnFormula>IFERROR(10000/(AS51*AR51),0)*AT51</calculatedColumnFormula>
    </tableColumn>
    <tableColumn id="44" xr3:uid="{440813D5-15E1-4AC2-9B60-7C3220B169FE}" name="Seed_Weight_kg/ha" dataDxfId="3981">
      <calculatedColumnFormula>ROUND((P51/1000000)*AU51*10000,2)</calculatedColumnFormula>
    </tableColumn>
    <tableColumn id="45" xr3:uid="{BF5C9A1E-D907-4445-BF97-00B6D3459E2D}" name="Germination_%" dataDxfId="3980"/>
    <tableColumn id="46" xr3:uid="{8210FBC6-0407-4BB3-83F8-AC2000A0537C}" name="Effective_Plants_m2" dataDxfId="3979">
      <calculatedColumnFormula>IFERROR((AU51*AW51/100),0)</calculatedColumnFormula>
    </tableColumn>
    <tableColumn id="47" xr3:uid="{5E6134C7-B260-49DE-90AE-49DEF299A84D}" name="Tillers_Per_Plant" dataDxfId="3978"/>
    <tableColumn id="48" xr3:uid="{9C633F2E-1CBD-4905-B88B-55C97785FCA9}" name="Shoots_Per_m2" dataDxfId="3977">
      <calculatedColumnFormula>IFERROR(AX51*AY51,0)</calculatedColumnFormula>
    </tableColumn>
    <tableColumn id="49" xr3:uid="{9234535F-1DF4-4C4F-B46A-0569E895730C}" name="Survival_Ratio" dataDxfId="3976"/>
    <tableColumn id="50" xr3:uid="{178ED1FC-CE68-4362-8820-E561C8F75BD5}" name="Shoot_Bearing_m2" dataDxfId="3975">
      <calculatedColumnFormula>IFERROR(AZ51*BA51,0)</calculatedColumnFormula>
    </tableColumn>
    <tableColumn id="51" xr3:uid="{DCA095D3-08AD-422D-8058-5C8FF2CA72B3}" name="Leaf_Area_Per_Shoot_m2" dataDxfId="3974"/>
    <tableColumn id="52" xr3:uid="{B783D4F2-CBCC-4995-8940-60D106F69460}" name="Start_LAI" dataDxfId="3973">
      <calculatedColumnFormula>IFERROR(
  MAX(0.05, MIN(0.5, CropNorms_Broccoli[[#This Row],[Leaf_Area_Per_Shoot_m2]] * CropNorms_Broccoli[[#This Row],[Shoot_Bearing_m2]] )),
  0.2
)</calculatedColumnFormula>
    </tableColumn>
    <tableColumn id="53" xr3:uid="{2A149244-B057-4FC2-9390-A3DE64283293}" name="LAI_Start_GDD" dataDxfId="3972">
      <calculatedColumnFormula>_xlfn.XLOOKUP(CropNorms_Broccoli[[#This Row],[LAI_Start_BBCH]], CropPhenology_Broccoli[Sub_Stage], CropPhenology_Broccoli[Start_GDD], "Not Found")</calculatedColumnFormula>
    </tableColumn>
    <tableColumn id="54" xr3:uid="{5FC15A4E-9B98-4CD9-B0DA-691825142F0B}" name="Max_LAI" dataDxfId="3971">
      <calculatedColumnFormula>ROUND(CropNorms_Broccoli[[#This Row],[Shoot_Bearing_m2]]*CropNorms_Broccoli[[#This Row],[Leaf_Area_Per_Shoot_m2]],2)</calculatedColumnFormula>
    </tableColumn>
    <tableColumn id="55" xr3:uid="{D0727142-BEF6-48F2-8297-19ED523D4EB0}" name="LAI_Max_GDD" dataDxfId="3970">
      <calculatedColumnFormula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calculatedColumnFormula>
    </tableColumn>
    <tableColumn id="56" xr3:uid="{651656FC-E610-477E-97EC-64EC45248B60}" name="End_LAI" dataDxfId="3969">
      <calculatedColumnFormula>IF(CropNorms_Broccoli[[#This Row],[Max_LAI]]&gt;=1.2, 0.85*CropNorms_Broccoli[[#This Row],[Max_LAI]], 1)</calculatedColumnFormula>
    </tableColumn>
    <tableColumn id="57" xr3:uid="{DF4ACBAF-86F8-4B63-8EA6-F472DFCD6BB8}" name="LAI_End_GDD" dataDxfId="3968">
      <calculatedColumnFormula>_xlfn.XLOOKUP(CropNorms_Broccoli[[#This Row],[LAI_End_BBCH]], CropPhenology_Broccoli[Sub_Stage], CropPhenology_Broccoli[End_GDD], "Not Found")</calculatedColumnFormula>
    </tableColumn>
    <tableColumn id="58" xr3:uid="{877B1383-1EE8-46A3-B875-C700DA25EA69}" name="RUE_Max" dataDxfId="3967">
      <calculatedColumnFormula array="1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537391F-988A-4833-9BB2-59FBE6D88D7B}" name="RUE_Asymptote_Frac" dataDxfId="3966">
      <calculatedColumnFormula array="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EEBCDE0-926E-4559-8C52-9A8D68908726}" name="RUE_LAI_Half_Sat" dataDxfId="3965">
      <calculatedColumnFormula array="1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8495002E-5665-4BB9-A356-A81135BA6998}" name="RUE_Daily_Delta_Max" dataDxfId="3964">
      <calculatedColumnFormula array="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51167E51-587B-4ED1-A940-1777B693737F}" name="HI" dataDxfId="3963"/>
    <tableColumn id="63" xr3:uid="{D07633FD-810B-4B7F-8DB5-F34B46F61C3D}" name="DM:FM" dataDxfId="3962"/>
    <tableColumn id="64" xr3:uid="{29759FAA-4933-49F4-BB81-5825D94849EC}" name="Yield_t/ha" dataDxfId="3961"/>
    <tableColumn id="65" xr3:uid="{A782E3F5-3D4F-43CA-9EBA-D0052A2EACF6}" name="Yield_Type" dataDxfId="3960"/>
    <tableColumn id="66" xr3:uid="{02278D81-72FE-45E1-A108-0DEC86165E08}" name="LAI_Start_BBCH" dataDxfId="3959">
      <calculatedColumnFormula array="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B0EE0F3-6FEB-4CC0-BDAF-56A362327F2D}" name="LAI_Max_BBCH" dataDxfId="3958">
      <calculatedColumnFormula array="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7F1752A-5DEC-4A59-8A6A-D27A4873AA9E}" name="LAI_End_BBCH" dataDxfId="3957">
      <calculatedColumnFormula array="1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DDC892C-B647-45C8-A9A5-F828592EA823}" name="Fruiting_Start_BBCH" dataDxfId="3956">
      <calculatedColumnFormula array="1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8C7D321-42D2-4AD5-AF43-FB19EF30B440}" name="N_Deficiency_kg/ha" dataDxfId="3955"/>
    <tableColumn id="71" xr3:uid="{BC1A67B8-8EA4-451F-A047-74A514D4F3CA}" name="P_Deficiency_kg/ha" dataDxfId="3954"/>
    <tableColumn id="72" xr3:uid="{A60F4046-9F93-4B8E-9A52-8D21F95EA468}" name="K_deficiency_kg/ha" dataDxfId="3953"/>
    <tableColumn id="73" xr3:uid="{EE5FD222-433D-4233-AD57-2B5FD6377BD4}" name="Sowing_Start_Season" dataDxfId="3952"/>
    <tableColumn id="74" xr3:uid="{89BF8091-8B8D-46D9-8E17-16DD5AFF4133}" name="Sowing_End_Season" dataDxfId="3951"/>
    <tableColumn id="75" xr3:uid="{2A03CC9D-1A71-4EE0-AF7F-FEE9731334AC}" name="Sand" dataDxfId="3950"/>
    <tableColumn id="76" xr3:uid="{93259556-1892-402B-9DF5-522AFA43B011}" name="Loamy Sand" dataDxfId="3949"/>
    <tableColumn id="77" xr3:uid="{FFA9E275-A7BE-44B2-849E-CFA608ADF067}" name="Sandy Loam" dataDxfId="3948"/>
    <tableColumn id="78" xr3:uid="{90C7AC3D-BD7E-430D-A12F-E35C3FFA0D23}" name="Loam" dataDxfId="3947"/>
    <tableColumn id="79" xr3:uid="{5CD511A8-0EC7-4034-BF38-9765C6DC0C30}" name="Silt Loam" dataDxfId="3946"/>
    <tableColumn id="80" xr3:uid="{804442F8-4453-4966-BF8E-532702AED376}" name="Clay Loam" dataDxfId="3945"/>
    <tableColumn id="81" xr3:uid="{0C0736B1-DC78-49F1-BF41-C43428954DF1}" name="Silt" dataDxfId="3944"/>
    <tableColumn id="82" xr3:uid="{87886E50-2D85-470D-821F-6D8C7AF1B5C3}" name="Sandy Clay" dataDxfId="3943"/>
    <tableColumn id="83" xr3:uid="{A4AB936B-72F8-4AD7-B9EA-3538FAC22521}" name="Silty Clay Loam" dataDxfId="3942"/>
    <tableColumn id="84" xr3:uid="{0A79F179-F666-451B-BBB2-AC56311805BF}" name="Silty Clay" dataDxfId="3941"/>
    <tableColumn id="85" xr3:uid="{3B215FFF-0C16-4418-B1D9-2458D5E462E0}" name="Clay" dataDxfId="3940"/>
    <tableColumn id="86" xr3:uid="{CC0C8D2A-911A-473A-BEF2-035836E4520C}" name="Sandy Clay Loam" dataDxfId="39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241886-0752-4F0D-BE7C-17A004C4E373}" name="CropNorms_Cabbage" displayName="CropNorms_Cabbage" ref="B54:CL58" totalsRowShown="0" headerRowDxfId="3938" dataDxfId="3936" headerRowBorderDxfId="3937" tableBorderDxfId="3935">
  <tableColumns count="89">
    <tableColumn id="1" xr3:uid="{7732413F-E7B7-44A1-9A2E-B74D2E03C27A}" name="Crop_Name" dataDxfId="3934"/>
    <tableColumn id="2" xr3:uid="{236446AE-F424-4100-A607-09FC11A06401}" name="Variety_Name" dataDxfId="3933"/>
    <tableColumn id="3" xr3:uid="{9A4FD719-0136-470A-9F71-ED2CE24C786E}" name="Variety_Type" dataDxfId="3932"/>
    <tableColumn id="4" xr3:uid="{318E2F14-5FE4-4BD1-AD2A-F037DE0FD3CA}" name="Height_Class" dataDxfId="3931"/>
    <tableColumn id="5" xr3:uid="{E5287CE3-CFA6-4703-94DA-21BB0CDCB897}" name="Height_cm" dataDxfId="3930"/>
    <tableColumn id="6" xr3:uid="{F8CD1496-770E-4451-A8C5-DF40A27BEEB9}" name="Nutrient_Content" dataDxfId="3929"/>
    <tableColumn id="7" xr3:uid="{8D31B183-C6CB-4C82-B183-840C321A219B}" name="Common_Disease_Tolerance" dataDxfId="3928"/>
    <tableColumn id="8" xr3:uid="{F4377E04-36D7-4A17-87BB-2481BEDDA7A5}" name="Common_Pest_Tolerance" dataDxfId="3927"/>
    <tableColumn id="9" xr3:uid="{4FC287CC-67F2-46A4-AF56-59F47EE138F7}" name="Environmental_Resilience" dataDxfId="3926"/>
    <tableColumn id="10" xr3:uid="{A50F043C-85AB-4C9E-869A-76BD4F1CDA48}" name="Category" dataDxfId="3925"/>
    <tableColumn id="11" xr3:uid="{0C03C4BB-7773-44F3-96CC-E21CB20755A3}" name="Country" dataDxfId="3924"/>
    <tableColumn id="12" xr3:uid="{B926D268-CD1A-4076-9F8B-BA2621453CE2}" name="Season" dataDxfId="3923"/>
    <tableColumn id="13" xr3:uid="{B2B586E9-F922-4878-BDDD-06C5645EBF3F}" name="PAR" dataDxfId="3922"/>
    <tableColumn id="14" xr3:uid="{7B90FB90-ECD3-4D16-ACE7-CD592A0B7BC9}" name="Region" dataDxfId="3921"/>
    <tableColumn id="15" xr3:uid="{623BF3CD-371E-4564-B9EC-B026C63AB371}" name="Seed_Weight_mg" dataDxfId="3920"/>
    <tableColumn id="16" xr3:uid="{48D2E9A7-98AF-4415-B49A-C5D7514E1021}" name="Crop_Min_Temp" dataDxfId="3919"/>
    <tableColumn id="17" xr3:uid="{8945EBF1-94E5-4080-891E-3724A3F7A380}" name="Base_Temp" dataDxfId="3918"/>
    <tableColumn id="18" xr3:uid="{BA76EC1E-28FD-4B23-BF4E-5E8BD97688C7}" name="Opt._Temp" dataDxfId="3917"/>
    <tableColumn id="19" xr3:uid="{C422787E-67B9-4ECF-8420-4BC512463841}" name="Upper_Temp" dataDxfId="3916"/>
    <tableColumn id="89" xr3:uid="{019DA2C3-913B-47AD-8903-1EC95479A82E}" name="Loss / Degree" dataDxfId="3915"/>
    <tableColumn id="20" xr3:uid="{DBBD84EF-08BB-41A6-900F-57C9F8301800}" name="Min_Days" dataDxfId="3914"/>
    <tableColumn id="21" xr3:uid="{1DAC98DF-3DC9-4592-9E31-E175041CB8D3}" name="Max_Days" dataDxfId="3913"/>
    <tableColumn id="22" xr3:uid="{E60884DD-D832-446B-B9BD-AA90B29CB276}" name="Ripening_S_GDD" dataDxfId="3912">
      <calculatedColumnFormula>_xlfn.XLOOKUP("Ripening", CropPhenology_Cabbage[Main_Stage], CropPhenology_Cabbage[Start_GDD], "Not Found")</calculatedColumnFormula>
    </tableColumn>
    <tableColumn id="23" xr3:uid="{B83987C7-AF2E-43E7-8293-B31E4E9104B9}" name="Ripening_E_GDD" dataDxfId="3911">
      <calculatedColumnFormula array="1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calculatedColumnFormula>
    </tableColumn>
    <tableColumn id="24" xr3:uid="{15B8454C-AAA7-45CA-8026-3202D36BD18F}" name="Avg. Daily GDD" dataDxfId="3910">
      <calculatedColumnFormula>MIN(Y55/V55,MAX(X55/W55,R55,(X55/W55+Y55/V55)/2))</calculatedColumnFormula>
    </tableColumn>
    <tableColumn id="25" xr3:uid="{C245889C-76ED-41BC-BFF3-3584015C2B49}" name="Days_to_Ripening" dataDxfId="3909">
      <calculatedColumnFormula>Y55/Z55</calculatedColumnFormula>
    </tableColumn>
    <tableColumn id="26" xr3:uid="{1D6FD43F-4078-4858-88C4-77A71A433E33}" name="Sunshine" dataDxfId="3908"/>
    <tableColumn id="27" xr3:uid="{F6C505BA-008B-411B-ADD9-4938947AE91D}" name="Soil_Temp_Min" dataDxfId="3907"/>
    <tableColumn id="28" xr3:uid="{3B63CF77-1B1D-4FD3-9C1E-48FFA8BA04AB}" name="VPA_Max" dataDxfId="3906"/>
    <tableColumn id="29" xr3:uid="{E57BAF89-0B99-4C1D-9F7F-1CC92FFB1D51}" name="Humidity_Max" dataDxfId="3905"/>
    <tableColumn id="30" xr3:uid="{59660710-4876-4577-BFE2-C092FC84E2E0}" name="Dew_Point_Min" dataDxfId="3904"/>
    <tableColumn id="31" xr3:uid="{343656D5-3A73-4425-9247-BE561783C878}" name="WS_2m_Max" dataDxfId="3903"/>
    <tableColumn id="32" xr3:uid="{1208DF46-662A-4064-8614-901344B4F07B}" name="GDD_Adjust" dataDxfId="3902">
      <calculatedColumnFormula>IFERROR((Y55-X55)/AA55,0)</calculatedColumnFormula>
    </tableColumn>
    <tableColumn id="33" xr3:uid="{C1ABE398-B448-4737-AFFB-13B643FA8509}" name="pH_Min" dataDxfId="3901"/>
    <tableColumn id="34" xr3:uid="{E1BA9C7A-64C9-48CF-BF5C-4BF93788675A}" name="pH_Max" dataDxfId="3900"/>
    <tableColumn id="87" xr3:uid="{ACB31963-A346-4D38-92C2-008A00233F44}" name="ECt" dataDxfId="3899"/>
    <tableColumn id="88" xr3:uid="{8D61FA1E-3E42-4C1A-85CA-97C311EE12AF}" name="Slope" dataDxfId="3898"/>
    <tableColumn id="35" xr3:uid="{F158B1CE-2AE0-459E-8848-D15F6F0E5064}" name="CWR_Min" dataDxfId="3897"/>
    <tableColumn id="36" xr3:uid="{AA3F62B1-E0D2-4904-8719-6F71BFCF7DEA}" name="CWR_Max" dataDxfId="3896"/>
    <tableColumn id="37" xr3:uid="{2BF8B206-FE8A-4B1B-9B04-A8BDED4A7D35}" name="Sowing_Depth_cm" dataDxfId="3895"/>
    <tableColumn id="38" xr3:uid="{313DFDB2-D167-4333-AD97-EF91E6963EDB}" name="Root_Depth_cm" dataDxfId="3894"/>
    <tableColumn id="39" xr3:uid="{E93663BC-EE1A-4FA5-976E-9FEBD0078416}" name="Stress_Tolerance_Index" dataDxfId="3893"/>
    <tableColumn id="40" xr3:uid="{EA8F43E3-DCE3-4B18-92FC-ADFC56BB5643}" name="Row_Spacing_cm" dataDxfId="3892"/>
    <tableColumn id="41" xr3:uid="{FE2DE86E-BC3D-4CE2-919A-37D47D74D867}" name="Plant_to_Plant_cm" dataDxfId="3891"/>
    <tableColumn id="42" xr3:uid="{E4FEC44A-4184-40FA-91D0-6B46DFD3E919}" name="Seed_Per_Spot" dataDxfId="3890"/>
    <tableColumn id="43" xr3:uid="{BFAEE54D-95E9-4788-974E-E02A63D458FA}" name="Seed_Rate_m2" dataDxfId="3889">
      <calculatedColumnFormula>IFERROR(10000/(AS55*AR55),0)*AT55</calculatedColumnFormula>
    </tableColumn>
    <tableColumn id="44" xr3:uid="{DAA13B8B-22E4-4B16-BAB9-E7874ADBB2C9}" name="Seed_Weight_kg/ha" dataDxfId="3888">
      <calculatedColumnFormula>ROUND((P55/1000000)*AU55*10000,2)</calculatedColumnFormula>
    </tableColumn>
    <tableColumn id="45" xr3:uid="{4C0302EB-6C97-40C8-9B92-5D15179F351D}" name="Germination_%" dataDxfId="3887"/>
    <tableColumn id="46" xr3:uid="{99135B0E-37E3-4417-A52B-B08D8102E289}" name="Effective_Plants_m2" dataDxfId="3886">
      <calculatedColumnFormula>IFERROR((AU55*AW55/100),0)</calculatedColumnFormula>
    </tableColumn>
    <tableColumn id="47" xr3:uid="{734CA0C7-48B9-41D0-B462-485092AE2CC3}" name="Tillers_Per_Plant" dataDxfId="3885"/>
    <tableColumn id="48" xr3:uid="{ED451B31-972C-4E23-BFF4-6E9E04ACE192}" name="Shoots_Per_m2" dataDxfId="3884">
      <calculatedColumnFormula>IFERROR(AX55*AY55,0)</calculatedColumnFormula>
    </tableColumn>
    <tableColumn id="49" xr3:uid="{B9C2E0E3-8288-41F2-A211-F452006FC0FD}" name="Survival_Ratio" dataDxfId="3883"/>
    <tableColumn id="50" xr3:uid="{5C2F97B7-4AFA-4FD3-9BE0-FEBBA7566A28}" name="Shoot_Bearing_m2" dataDxfId="3882">
      <calculatedColumnFormula>IFERROR(AZ55*BA55,0)</calculatedColumnFormula>
    </tableColumn>
    <tableColumn id="51" xr3:uid="{0131AD86-DA53-4B5D-83B7-1B0B5F729AB5}" name="Leaf_Area_Per_Shoot_m2" dataDxfId="3881"/>
    <tableColumn id="52" xr3:uid="{BC58A1B9-C2C0-4A63-9A0E-BFA34DE4394A}" name="Start_LAI" dataDxfId="3880">
      <calculatedColumnFormula>IFERROR(
  MAX(0.05, MIN(0.5, CropNorms_Cabbage[[#This Row],[Leaf_Area_Per_Shoot_m2]] * CropNorms_Cabbage[[#This Row],[Shoot_Bearing_m2]] )),
  0.2
)</calculatedColumnFormula>
    </tableColumn>
    <tableColumn id="53" xr3:uid="{BB9F5CB2-C537-462D-AAA7-3CD7F65367AA}" name="LAI_Start_GDD" dataDxfId="3879">
      <calculatedColumnFormula>_xlfn.XLOOKUP(CropNorms_Cabbage[[#This Row],[LAI_Start_BBCH]], CropPhenology_Cabbage[Sub_Stage], CropPhenology_Cabbage[Start_GDD], "Not Found")</calculatedColumnFormula>
    </tableColumn>
    <tableColumn id="54" xr3:uid="{F2774101-6515-4BA6-8AA4-C563A3768BD1}" name="Max_LAI" dataDxfId="3878">
      <calculatedColumnFormula>ROUND(CropNorms_Cabbage[[#This Row],[Shoot_Bearing_m2]]*CropNorms_Cabbage[[#This Row],[Leaf_Area_Per_Shoot_m2]],2)</calculatedColumnFormula>
    </tableColumn>
    <tableColumn id="55" xr3:uid="{D8DECB06-5ADA-4B67-BABE-11AA4581A981}" name="LAI_Max_GDD" dataDxfId="3877">
      <calculatedColumnFormula>AVERAGE(
  _xlfn.XLOOKUP(CropNorms_Cabbage[[#This Row],[LAI_Max_BBCH]], CropPhenology_Cabbage[Sub_Stage], CropPhenology_Cabbage[Start_GDD]),
  _xlfn.XLOOKUP(CropNorms_Cabbage[[#This Row],[LAI_Max_BBCH]], CropPhenology_Cabbage[Sub_Stage], CropPhenology_Cabbage[End_GDD])
)</calculatedColumnFormula>
    </tableColumn>
    <tableColumn id="56" xr3:uid="{6AE3612C-34C8-4CFD-B6C4-53A49CCB9C70}" name="End_LAI" dataDxfId="3876">
      <calculatedColumnFormula>IF(CropNorms_Cabbage[[#This Row],[Max_LAI]]&gt;=1.2, 0.85*CropNorms_Cabbage[[#This Row],[Max_LAI]], 1)</calculatedColumnFormula>
    </tableColumn>
    <tableColumn id="57" xr3:uid="{F6EB6330-40C8-4209-AC21-9FE15B64CBB1}" name="LAI_End_GDD" dataDxfId="3875">
      <calculatedColumnFormula>_xlfn.XLOOKUP(CropNorms_Cabbage[[#This Row],[LAI_End_BBCH]], CropPhenology_Cabbage[Sub_Stage], CropPhenology_Cabbage[End_GDD], "Not Found")</calculatedColumnFormula>
    </tableColumn>
    <tableColumn id="58" xr3:uid="{749F2156-C37D-4939-B2AD-904172F2672F}" name="RUE_Max" dataDxfId="3874">
      <calculatedColumnFormula array="1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B91CC044-3E4C-4787-B904-C4849B4CF1C9}" name="RUE_Asymptote_Frac" dataDxfId="3873">
      <calculatedColumnFormula array="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D718A03-00CC-4BDF-8504-59B230F0DECF}" name="RUE_LAI_Half_Sat" dataDxfId="3872">
      <calculatedColumnFormula array="1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DEE0928-998C-4014-90F2-854E014BB249}" name="RUE_Daily_Delta_Max" dataDxfId="3871">
      <calculatedColumnFormula array="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5D5CDAA3-745C-4AF9-8745-03F1B01D0702}" name="HI" dataDxfId="3870"/>
    <tableColumn id="63" xr3:uid="{264A86C5-BA6F-457D-8AE8-171CD8CBE004}" name="DM:FM" dataDxfId="3869"/>
    <tableColumn id="64" xr3:uid="{322139D3-9657-4A31-96CB-45A0AC3AED26}" name="Yield_t/ha" dataDxfId="3868"/>
    <tableColumn id="65" xr3:uid="{7E2833E1-FAA3-45C7-B822-7EFA19065036}" name="Yield_Type" dataDxfId="3867"/>
    <tableColumn id="66" xr3:uid="{0D7316DC-870B-47FB-B45E-202F07B4F5DA}" name="LAI_Start_BBCH" dataDxfId="3866">
      <calculatedColumnFormula array="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213B182-CEFD-40FB-AC5C-80CF9816AADC}" name="LAI_Max_BBCH" dataDxfId="3865">
      <calculatedColumnFormula array="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ECD31A6-F74B-47B0-B1BF-0B48AF8D89E4}" name="LAI_End_BBCH" dataDxfId="3864">
      <calculatedColumnFormula array="1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708450B-E9A5-448C-93AD-A2FD1914A53A}" name="Fruiting_Start_BBCH" dataDxfId="3863">
      <calculatedColumnFormula array="1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ED3E40A-712D-4E8D-AE35-69973FDEAD34}" name="N_Deficiency_kg/ha" dataDxfId="3862"/>
    <tableColumn id="71" xr3:uid="{C654F76F-7ABF-4D5A-A44B-657D6629A564}" name="P_Deficiency_kg/ha" dataDxfId="3861"/>
    <tableColumn id="72" xr3:uid="{71355AEF-078F-403D-98B4-8AADB5E06C99}" name="K_deficiency_kg/ha" dataDxfId="3860"/>
    <tableColumn id="73" xr3:uid="{B03F8320-467E-4F29-A4FC-BC5FD4BECD8E}" name="Sowing_Start_Season" dataDxfId="3859"/>
    <tableColumn id="74" xr3:uid="{4C82227C-B197-49BD-8627-CF80CF61B10C}" name="Sowing_End_Season" dataDxfId="3858"/>
    <tableColumn id="75" xr3:uid="{6B8AC04D-94F2-4440-9562-F96C340BC8E4}" name="Sand" dataDxfId="3857"/>
    <tableColumn id="76" xr3:uid="{4D302A83-B47A-4270-95A5-28E1C5987015}" name="Loamy Sand" dataDxfId="3856"/>
    <tableColumn id="77" xr3:uid="{3E3D8BEA-0CE0-49D8-910A-EB723B207915}" name="Sandy Loam" dataDxfId="3855"/>
    <tableColumn id="78" xr3:uid="{6728B81E-9A31-4D57-AE45-CBB237972A59}" name="Loam" dataDxfId="3854"/>
    <tableColumn id="79" xr3:uid="{F5C3BAE4-5126-4411-A605-0A614172DAEA}" name="Silt Loam" dataDxfId="3853"/>
    <tableColumn id="80" xr3:uid="{96416492-6063-4799-B412-D17E28E8DCC4}" name="Clay Loam" dataDxfId="3852"/>
    <tableColumn id="81" xr3:uid="{DD9241DB-61CE-4AE7-BEF7-AC7092D6FE36}" name="Silt" dataDxfId="3851"/>
    <tableColumn id="82" xr3:uid="{FB167619-0CAF-423A-88A5-D7B57A8ECE36}" name="Sandy Clay" dataDxfId="3850"/>
    <tableColumn id="83" xr3:uid="{8A382A3A-D6EF-4602-B39B-6B1D0B3A2B6F}" name="Silty Clay Loam" dataDxfId="3849"/>
    <tableColumn id="84" xr3:uid="{D7BD6144-6AB7-42AB-9490-F5BE6617B61F}" name="Silty Clay" dataDxfId="3848"/>
    <tableColumn id="85" xr3:uid="{FB39C157-2BF0-4FE6-9603-C72FCAE8AD63}" name="Clay" dataDxfId="3847"/>
    <tableColumn id="86" xr3:uid="{58ED2374-8727-497B-9A33-4F40D588FEA3}" name="Sandy Clay Loam" dataDxfId="384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F1CD6D-38D7-4FB1-973E-B1920BEC957E}" name="CropNorms_CanarySeed" displayName="CropNorms_CanarySeed" ref="B60:CL62" totalsRowShown="0" headerRowDxfId="3845" dataDxfId="3843" headerRowBorderDxfId="3844" tableBorderDxfId="3842">
  <tableColumns count="89">
    <tableColumn id="1" xr3:uid="{AB08A95A-1AE5-4637-BE64-5FD7250DE50E}" name="Crop_Name" dataDxfId="3841"/>
    <tableColumn id="2" xr3:uid="{0AB2E6A9-9701-47D5-802A-7B704B3C9860}" name="Variety_Name" dataDxfId="3840"/>
    <tableColumn id="3" xr3:uid="{03F4F8F1-D373-4070-A40C-AF2E5692210C}" name="Variety_Type" dataDxfId="3839"/>
    <tableColumn id="4" xr3:uid="{37EE4C69-583B-4510-9C0D-289F23DB864E}" name="Height_Class" dataDxfId="3838"/>
    <tableColumn id="5" xr3:uid="{ED805B0D-C516-4DDA-B58E-F3E6073F4274}" name="Height_cm" dataDxfId="3837"/>
    <tableColumn id="6" xr3:uid="{A7BC027E-8501-4E44-A305-8C27C8D1E8CE}" name="Nutrient_Content" dataDxfId="3836"/>
    <tableColumn id="7" xr3:uid="{A1FDB60F-C918-494A-8221-345A4000A8D3}" name="Common_Disease_Tolerance" dataDxfId="3835"/>
    <tableColumn id="8" xr3:uid="{A68C21D2-EE55-469B-84CF-93D51A677034}" name="Common_Pest_Tolerance" dataDxfId="3834"/>
    <tableColumn id="9" xr3:uid="{6F927EFC-67CA-4869-9A67-B69276DD2F04}" name="Environmental_Resilience" dataDxfId="3833"/>
    <tableColumn id="10" xr3:uid="{6142EF30-428F-49E8-9C68-B3E1F1F80097}" name="Category" dataDxfId="3832"/>
    <tableColumn id="11" xr3:uid="{40601998-64A6-42FA-AC87-41633F4BAB0C}" name="Country" dataDxfId="3831"/>
    <tableColumn id="12" xr3:uid="{820D7E7E-5E86-417D-A13D-BA4027BC2653}" name="Season" dataDxfId="3830"/>
    <tableColumn id="13" xr3:uid="{C2858419-C94A-4F20-8B47-80ACE0A061A5}" name="PAR" dataDxfId="3829"/>
    <tableColumn id="14" xr3:uid="{63FCB7B0-B4C4-4D70-AE83-4781AF898948}" name="Region" dataDxfId="3828"/>
    <tableColumn id="15" xr3:uid="{3549855F-DF85-4893-A4B5-BAA1CBB4E11B}" name="Seed_Weight_mg" dataDxfId="3827"/>
    <tableColumn id="16" xr3:uid="{A9D64CEF-20B3-4E6E-BA8D-43AF55E30F60}" name="Crop_Min_Temp" dataDxfId="3826"/>
    <tableColumn id="17" xr3:uid="{04704EFF-D546-40F2-ACF6-19F0BB25C6BE}" name="Base_Temp" dataDxfId="3825"/>
    <tableColumn id="18" xr3:uid="{C34C6DE2-CB9E-439D-80C3-DC69FE9AED5F}" name="Opt._Temp" dataDxfId="3824"/>
    <tableColumn id="19" xr3:uid="{D5234F9E-8B2C-4755-8AFD-14671E841706}" name="Upper_Temp" dataDxfId="3823"/>
    <tableColumn id="89" xr3:uid="{6CF6D61A-B505-4131-9B8B-FC4F77746882}" name="Loss / Degree" dataDxfId="3822"/>
    <tableColumn id="20" xr3:uid="{BD677B10-BB56-4627-A397-414167A290B0}" name="Min_Days" dataDxfId="3821"/>
    <tableColumn id="21" xr3:uid="{915067BA-6E07-413C-AD6E-46CF3E0F08B7}" name="Max_Days" dataDxfId="3820"/>
    <tableColumn id="22" xr3:uid="{8A427661-FCFC-42BA-8738-970F62A0EB03}" name="Ripening_S_GDD" dataDxfId="3819">
      <calculatedColumnFormula>_xlfn.XLOOKUP("Ripening", CropPhenology_CanarySeed[Main_Stage], CropPhenology_CanarySeed[Start_GDD], "Not Found")</calculatedColumnFormula>
    </tableColumn>
    <tableColumn id="23" xr3:uid="{550AAA6D-732F-407B-9E70-81B0246CED70}" name="Ripening_E_GDD" dataDxfId="3818">
      <calculatedColumnFormula array="1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calculatedColumnFormula>
    </tableColumn>
    <tableColumn id="24" xr3:uid="{0AA21280-079C-4FE3-853D-654FDFBE45A8}" name="Avg. Daily GDD" dataDxfId="3817">
      <calculatedColumnFormula>MIN(Y61/V61,MAX(X61/W61,R61,(X61/W61+Y61/V61)/2))</calculatedColumnFormula>
    </tableColumn>
    <tableColumn id="25" xr3:uid="{2612ACB2-AB08-45F2-87AA-1A27F1E5C5B7}" name="Days_to_Ripening" dataDxfId="3816">
      <calculatedColumnFormula>Y61/Z61</calculatedColumnFormula>
    </tableColumn>
    <tableColumn id="26" xr3:uid="{D34DCF47-111C-4C74-9AA0-4874029EFF9D}" name="Sunshine" dataDxfId="3815"/>
    <tableColumn id="27" xr3:uid="{E5333352-179E-48A4-ACB3-0EDB6062D35E}" name="Soil_Temp_Min" dataDxfId="3814"/>
    <tableColumn id="28" xr3:uid="{5E10D40E-D2F4-4E3C-97EA-CEDE2017227A}" name="VPA_Max" dataDxfId="3813"/>
    <tableColumn id="29" xr3:uid="{C320AABD-2A9E-4034-985D-A8332CD75A22}" name="Humidity_Max" dataDxfId="3812"/>
    <tableColumn id="30" xr3:uid="{4565B997-9C61-4164-9617-75CDF2C7A50D}" name="Dew_Point_Min" dataDxfId="3811"/>
    <tableColumn id="31" xr3:uid="{9E2895AA-DC40-4F32-A88E-11CC71BED436}" name="WS_2m_Max" dataDxfId="3810"/>
    <tableColumn id="32" xr3:uid="{29AA84B5-852F-4A2F-9DCB-C39293F200E2}" name="GDD_Adjust" dataDxfId="3809">
      <calculatedColumnFormula>IFERROR((Y61-X61)/AA61,0)</calculatedColumnFormula>
    </tableColumn>
    <tableColumn id="33" xr3:uid="{3B672EE6-5B25-400B-AF56-1ED4212FD609}" name="pH_Min" dataDxfId="3808"/>
    <tableColumn id="34" xr3:uid="{B40FFD7A-4E23-4DDC-BD17-F639F797640B}" name="pH_Max" dataDxfId="3807"/>
    <tableColumn id="87" xr3:uid="{C5286846-C8FC-4B93-8032-8D25F6A9E1C5}" name="ECt" dataDxfId="3806"/>
    <tableColumn id="88" xr3:uid="{40183640-B12D-4D48-8DAE-FC906EC76121}" name="Slope" dataDxfId="3805"/>
    <tableColumn id="35" xr3:uid="{9D3C4288-C38C-4B65-8D88-9C4D265C8ECD}" name="CWR_Min" dataDxfId="3804"/>
    <tableColumn id="36" xr3:uid="{5D4C5455-EEF6-4DBE-B24A-923A9433CAB8}" name="CWR_Max" dataDxfId="3803"/>
    <tableColumn id="37" xr3:uid="{ACFDA63F-83B5-4777-87A8-3270B77D67C9}" name="Sowing_Depth_cm" dataDxfId="3802"/>
    <tableColumn id="38" xr3:uid="{3271ACF5-3199-41B8-BF09-E611DF376BE1}" name="Root_Depth_cm" dataDxfId="3801"/>
    <tableColumn id="39" xr3:uid="{40EB78C9-A85B-42BC-B71C-A509B0022132}" name="Stress_Tolerance_Index" dataDxfId="3800"/>
    <tableColumn id="40" xr3:uid="{AF060449-7010-4C96-885E-8ECEA4226BEF}" name="Row_Spacing_cm" dataDxfId="3799"/>
    <tableColumn id="41" xr3:uid="{9BC8F9B1-605F-4B0F-8F90-7FFA1D2218A3}" name="Plant_to_Plant_cm" dataDxfId="3798"/>
    <tableColumn id="42" xr3:uid="{C6E8B0DE-D608-4BA8-B2D7-942D338C5A69}" name="Seed_Per_Spot" dataDxfId="3797"/>
    <tableColumn id="43" xr3:uid="{ED0B59A3-F1E6-4FB1-92CA-A6977C5883F0}" name="Seed_Rate_m2" dataDxfId="3796">
      <calculatedColumnFormula>IFERROR(10000/(AS61*AR61),0)*AT61</calculatedColumnFormula>
    </tableColumn>
    <tableColumn id="44" xr3:uid="{29D95C93-6B66-487D-A62E-24E3CA871F46}" name="Seed_Weight_kg/ha" dataDxfId="3795">
      <calculatedColumnFormula>ROUND((P61/1000000)*AU61*10000,2)</calculatedColumnFormula>
    </tableColumn>
    <tableColumn id="45" xr3:uid="{F7F86859-B023-4F32-835F-AF63E865B181}" name="Germination_%" dataDxfId="3794"/>
    <tableColumn id="46" xr3:uid="{1E1271F5-FB7D-4EED-B1F8-E8590AEE9EA3}" name="Effective_Plants_m2" dataDxfId="3793">
      <calculatedColumnFormula>IFERROR((AU61*AW61/100),0)</calculatedColumnFormula>
    </tableColumn>
    <tableColumn id="47" xr3:uid="{4C8E3396-A880-4621-A975-AA22B80B18CE}" name="Tillers_Per_Plant" dataDxfId="3792"/>
    <tableColumn id="48" xr3:uid="{D765A8B2-D928-4F62-A212-1561163DB0B7}" name="Shoots_Per_m2" dataDxfId="3791">
      <calculatedColumnFormula>IFERROR(AX61*AY61,0)</calculatedColumnFormula>
    </tableColumn>
    <tableColumn id="49" xr3:uid="{EB81F3A2-B163-4780-8EBA-920307EF990B}" name="Survival_Ratio" dataDxfId="3790"/>
    <tableColumn id="50" xr3:uid="{ABA653A5-532E-4E8E-B53E-18527FBB26C0}" name="Shoot_Bearing_m2" dataDxfId="3789">
      <calculatedColumnFormula>IFERROR(AZ61*BA61,0)</calculatedColumnFormula>
    </tableColumn>
    <tableColumn id="51" xr3:uid="{06F82A0D-50E4-451B-B2D8-820E42DFE9B2}" name="Leaf_Area_Per_Shoot_m2" dataDxfId="3788"/>
    <tableColumn id="52" xr3:uid="{C640B7DA-0D37-4C88-8D29-901A55BE3F39}" name="Start_LAI" dataDxfId="3787">
      <calculatedColumnFormula>IFERROR(
  MAX(0.05, MIN(0.5, CropNorms_CanarySeed[[#This Row],[Leaf_Area_Per_Shoot_m2]] * CropNorms_CanarySeed[[#This Row],[Shoot_Bearing_m2]] )),
  0.2
)</calculatedColumnFormula>
    </tableColumn>
    <tableColumn id="53" xr3:uid="{81732E6B-3828-40A7-BF5A-34E19D170032}" name="LAI_Start_GDD" dataDxfId="3786">
      <calculatedColumnFormula>_xlfn.XLOOKUP(CropNorms_CanarySeed[[#This Row],[LAI_Start_BBCH]], CropPhenology_CanarySeed[Sub_Stage], CropPhenology_CanarySeed[Start_GDD], "Not Found")</calculatedColumnFormula>
    </tableColumn>
    <tableColumn id="54" xr3:uid="{8704F159-1E20-443C-999B-50B2EA41A50B}" name="Max_LAI" dataDxfId="3785">
      <calculatedColumnFormula>ROUND(CropNorms_CanarySeed[[#This Row],[Shoot_Bearing_m2]]*CropNorms_CanarySeed[[#This Row],[Leaf_Area_Per_Shoot_m2]],2)</calculatedColumnFormula>
    </tableColumn>
    <tableColumn id="55" xr3:uid="{2974D81D-6C58-46B4-B552-3B101620D1B7}" name="LAI_Max_GDD" dataDxfId="3784">
      <calculatedColumnFormula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calculatedColumnFormula>
    </tableColumn>
    <tableColumn id="56" xr3:uid="{180F4604-2501-494C-9A5B-2F8E1893A0CD}" name="End_LAI" dataDxfId="3783">
      <calculatedColumnFormula>IF(CropNorms_CanarySeed[[#This Row],[Max_LAI]]&gt;=1.2, 0.85*CropNorms_CanarySeed[[#This Row],[Max_LAI]], 1)</calculatedColumnFormula>
    </tableColumn>
    <tableColumn id="57" xr3:uid="{EC96DE70-221B-42FE-8F80-4B2C558E9384}" name="LAI_End_GDD" dataDxfId="3782">
      <calculatedColumnFormula>_xlfn.XLOOKUP(CropNorms_CanarySeed[[#This Row],[LAI_End_BBCH]], CropPhenology_CanarySeed[Sub_Stage], CropPhenology_CanarySeed[End_GDD], "Not Found")</calculatedColumnFormula>
    </tableColumn>
    <tableColumn id="58" xr3:uid="{95BA4D69-E68A-43E7-B2FA-055ED0BEEB2A}" name="RUE_Max" dataDxfId="3781">
      <calculatedColumnFormula array="1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CA14A636-5713-49A4-898C-697F3BB59BBA}" name="RUE_Asymptote_Frac" dataDxfId="3780">
      <calculatedColumnFormula array="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13A6DA16-27C1-40CC-BE13-2FE8CF6ED1C2}" name="RUE_LAI_Half_Sat" dataDxfId="3779">
      <calculatedColumnFormula array="1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2C0FA99-327E-4381-810C-789A2092BEE7}" name="RUE_Daily_Delta_Max" dataDxfId="3778">
      <calculatedColumnFormula array="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97B1B51-8FB3-4EF9-B524-92E5FF614B89}" name="HI" dataDxfId="3777"/>
    <tableColumn id="63" xr3:uid="{8BE82D50-47B4-4B3A-B255-9E95C2D1DF77}" name="DM:FM" dataDxfId="3776"/>
    <tableColumn id="64" xr3:uid="{A3E41B8E-6A88-43B1-A84F-31628657C03D}" name="Yield_t/ha" dataDxfId="3775"/>
    <tableColumn id="65" xr3:uid="{2D26E122-9568-4231-95D4-C1B8790C7F42}" name="Yield_Type" dataDxfId="3774"/>
    <tableColumn id="66" xr3:uid="{C40BCE52-BBB6-46BC-96C7-F126E044193C}" name="LAI_Start_BBCH" dataDxfId="3773">
      <calculatedColumnFormula array="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F88F606-370A-4577-9FCC-7866BF4D0A18}" name="LAI_Max_BBCH" dataDxfId="3772">
      <calculatedColumnFormula array="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4DD1C12-11BF-4BA4-BEE3-4F6891541172}" name="LAI_End_BBCH" dataDxfId="3771">
      <calculatedColumnFormula array="1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64A1B8E-A515-4FA9-8EC1-8D15F3529F15}" name="Fruiting_Start_BBCH" dataDxfId="3770">
      <calculatedColumnFormula array="1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1640B0D-7C92-4E26-B48C-457D7D32AA8A}" name="N_Deficiency_kg/ha" dataDxfId="3769"/>
    <tableColumn id="71" xr3:uid="{607EEEF7-DA52-47BE-BFA5-BED32EE137EA}" name="P_Deficiency_kg/ha" dataDxfId="3768"/>
    <tableColumn id="72" xr3:uid="{CEA83C88-C2D7-44BA-9A36-5BE83BE13A57}" name="K_deficiency_kg/ha" dataDxfId="3767"/>
    <tableColumn id="73" xr3:uid="{70FA2555-1FA6-4955-89BE-EB19052354CA}" name="Sowing_Start_Season" dataDxfId="3766"/>
    <tableColumn id="74" xr3:uid="{215D68CD-8C41-4430-B54C-30DB6BC0F389}" name="Sowing_End_Season" dataDxfId="3765"/>
    <tableColumn id="75" xr3:uid="{5415C3F1-631E-4932-AB9B-BFED3E5143C7}" name="Sand" dataDxfId="3764"/>
    <tableColumn id="76" xr3:uid="{DA81A551-BDBE-4BC2-81C5-B5F1DF075591}" name="Loamy Sand" dataDxfId="3763"/>
    <tableColumn id="77" xr3:uid="{EEA6AFB4-40FE-4431-B67F-DFD72AB99055}" name="Sandy Loam" dataDxfId="3762"/>
    <tableColumn id="78" xr3:uid="{1927C558-BF15-43CF-A869-571D782C81C2}" name="Loam" dataDxfId="3761"/>
    <tableColumn id="79" xr3:uid="{CFC9179B-1042-4DAE-B1B5-A8ED0BF0C809}" name="Silt Loam" dataDxfId="3760"/>
    <tableColumn id="80" xr3:uid="{216E7437-94D6-4BBC-9E2B-52FD675D77C4}" name="Clay Loam" dataDxfId="3759"/>
    <tableColumn id="81" xr3:uid="{01D35530-EBCA-478D-BBC0-5956462D0D43}" name="Silt" dataDxfId="3758"/>
    <tableColumn id="82" xr3:uid="{9CC3738D-6988-4D1C-8745-BA6B4034DCD7}" name="Sandy Clay" dataDxfId="3757"/>
    <tableColumn id="83" xr3:uid="{DC12818B-A1B5-4991-B34E-6C2E207A15D0}" name="Silty Clay Loam" dataDxfId="3756"/>
    <tableColumn id="84" xr3:uid="{134B4562-32AA-49DA-AFBF-8CAED0EDEBE2}" name="Silty Clay" dataDxfId="3755"/>
    <tableColumn id="85" xr3:uid="{55435241-21A7-4511-996F-20124B84B148}" name="Clay" dataDxfId="3754"/>
    <tableColumn id="86" xr3:uid="{710306E5-A5D6-4782-BE01-12B831607569}" name="Sandy Clay Loam" dataDxfId="375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AE3AF0A-F020-4E0A-96F3-B4FA21E3B335}" name="CropNorms_Canola" displayName="CropNorms_Canola" ref="B64:CL68" totalsRowShown="0" headerRowDxfId="3752" dataDxfId="3750" headerRowBorderDxfId="3751" tableBorderDxfId="3749">
  <tableColumns count="89">
    <tableColumn id="1" xr3:uid="{77B68E6F-29C5-4ED2-A27C-72086549C5F7}" name="Crop_Name" dataDxfId="3748"/>
    <tableColumn id="2" xr3:uid="{AD09379F-8DD6-42E3-8F24-1708C787B0B5}" name="Variety_Name" dataDxfId="3747"/>
    <tableColumn id="3" xr3:uid="{98015667-E027-4F97-9D8B-9F672F0FF5B6}" name="Variety_Type" dataDxfId="3746"/>
    <tableColumn id="4" xr3:uid="{8573ED39-6715-4BFC-B567-20D2B07ACD75}" name="Height_Class" dataDxfId="3745"/>
    <tableColumn id="5" xr3:uid="{88AF1F5C-2DDE-447A-8776-0C56AC50E3D9}" name="Height_cm" dataDxfId="3744"/>
    <tableColumn id="6" xr3:uid="{6EA52FAE-D53F-4149-B65D-471A7044C8B4}" name="Nutrient_Content" dataDxfId="3743"/>
    <tableColumn id="7" xr3:uid="{A18F3837-494B-422C-ADEA-609586FD7D24}" name="Common_Disease_Tolerance" dataDxfId="3742"/>
    <tableColumn id="8" xr3:uid="{61E3A910-12E8-4775-9276-573E872426E7}" name="Common_Pest_Tolerance" dataDxfId="3741"/>
    <tableColumn id="9" xr3:uid="{BEEA9D0B-418B-4E96-9DED-DA219852D8A5}" name="Environmental_Resilience" dataDxfId="3740"/>
    <tableColumn id="10" xr3:uid="{3D62939A-E476-4AB2-AE85-3DB0CCE72429}" name="Category" dataDxfId="3739"/>
    <tableColumn id="11" xr3:uid="{34EBDB62-DF73-4246-B027-652E9EE665AC}" name="Country" dataDxfId="3738"/>
    <tableColumn id="12" xr3:uid="{F9740A75-9761-4097-B880-5F2A01736FF6}" name="Season" dataDxfId="3737"/>
    <tableColumn id="13" xr3:uid="{F9C2BCEE-4918-4518-AC0D-7ED384E6065B}" name="PAR" dataDxfId="3736"/>
    <tableColumn id="14" xr3:uid="{96B2F6C5-F3D8-4BD4-85E6-FF2579EA7D7D}" name="Region" dataDxfId="3735"/>
    <tableColumn id="15" xr3:uid="{8D7788E5-6C41-44DC-A814-3EE3DDF1E448}" name="Seed_Weight_mg" dataDxfId="3734"/>
    <tableColumn id="16" xr3:uid="{971C202D-1437-492E-900D-5BBF27934B78}" name="Crop_Min_Temp" dataDxfId="3733"/>
    <tableColumn id="17" xr3:uid="{A8819883-2CD1-48E6-A11F-96C6517D0616}" name="Base_Temp" dataDxfId="3732"/>
    <tableColumn id="18" xr3:uid="{63A26A99-8D3C-4235-9CF9-213B5999BBD0}" name="Opt._Temp" dataDxfId="3731"/>
    <tableColumn id="19" xr3:uid="{93DFD6C1-A1B0-4E8E-80C3-1AA01934B5FA}" name="Upper_Temp" dataDxfId="3730"/>
    <tableColumn id="89" xr3:uid="{4DBF0033-B849-497E-9FFF-21F308BF94E6}" name="Loss / Degree" dataDxfId="3729"/>
    <tableColumn id="20" xr3:uid="{1661485C-B730-45D7-934C-D025FF487F05}" name="Min_Days" dataDxfId="3728"/>
    <tableColumn id="21" xr3:uid="{EB870922-50BD-4F94-A656-E34B446737CA}" name="Max_Days" dataDxfId="3727"/>
    <tableColumn id="22" xr3:uid="{066A73CD-8951-4CD3-B18B-8C8253DF7E6A}" name="Ripening_S_GDD" dataDxfId="3726">
      <calculatedColumnFormula>_xlfn.XLOOKUP("Ripening", CropPhenology_Canola[Main_Stage], CropPhenology_Canola[Start_GDD], "Not Found")</calculatedColumnFormula>
    </tableColumn>
    <tableColumn id="23" xr3:uid="{D34A4159-2868-45A5-A25E-B12CD94CA409}" name="Ripening_E_GDD" dataDxfId="3725">
      <calculatedColumnFormula array="1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calculatedColumnFormula>
    </tableColumn>
    <tableColumn id="24" xr3:uid="{A6961458-783C-4EA7-A635-66330E89BA07}" name="Avg. Daily GDD" dataDxfId="3724">
      <calculatedColumnFormula>MIN(Y65/V65,MAX(X65/W65,R65,(X65/W65+Y65/V65)/2))</calculatedColumnFormula>
    </tableColumn>
    <tableColumn id="25" xr3:uid="{A0A09789-3C73-4BC3-89C8-B6DB9F87D55E}" name="Days_to_Ripening" dataDxfId="3723">
      <calculatedColumnFormula>Y65/Z65</calculatedColumnFormula>
    </tableColumn>
    <tableColumn id="26" xr3:uid="{39C35EE4-2081-4003-B252-AADFC9B0A317}" name="Sunshine" dataDxfId="3722"/>
    <tableColumn id="27" xr3:uid="{111B373C-7956-493D-9E3E-DA7862CA417C}" name="Soil_Temp_Min" dataDxfId="3721"/>
    <tableColumn id="28" xr3:uid="{9B520041-710C-453C-B748-5477D358A43B}" name="VPA_Max" dataDxfId="3720"/>
    <tableColumn id="29" xr3:uid="{9675B6B7-7A78-4F85-B45E-9F20B7B3473C}" name="Humidity_Max" dataDxfId="3719"/>
    <tableColumn id="30" xr3:uid="{03EAED9F-896F-43A5-85E8-F0F33A1288BD}" name="Dew_Point_Min" dataDxfId="3718"/>
    <tableColumn id="31" xr3:uid="{A8CE3B8C-16D6-4032-8CAF-A68D14CE2B46}" name="WS_2m_Max" dataDxfId="3717"/>
    <tableColumn id="32" xr3:uid="{7352F9A8-5F00-4998-B0B8-F9C0DF8732D6}" name="GDD_Adjust" dataDxfId="3716">
      <calculatedColumnFormula>IFERROR((Y65-X65)/AA65,0)</calculatedColumnFormula>
    </tableColumn>
    <tableColumn id="33" xr3:uid="{E5955AD6-A2CF-420C-A734-00438584DCE7}" name="pH_Min" dataDxfId="3715"/>
    <tableColumn id="34" xr3:uid="{C6241E4B-A237-4E22-B963-A867E9E621CA}" name="pH_Max" dataDxfId="3714"/>
    <tableColumn id="87" xr3:uid="{DA6D496B-F8D6-4466-B85E-D7C64589A750}" name="ECt" dataDxfId="3713"/>
    <tableColumn id="88" xr3:uid="{82E96CDB-AD76-448A-841C-4FD8DE34BFF0}" name="Slope" dataDxfId="3712"/>
    <tableColumn id="35" xr3:uid="{6DB6A40B-4442-492D-83F7-2AD6DA174203}" name="CWR_Min" dataDxfId="3711"/>
    <tableColumn id="36" xr3:uid="{58BBD807-B137-44C6-B1B7-B7B3B93DA321}" name="CWR_Max" dataDxfId="3710"/>
    <tableColumn id="37" xr3:uid="{AFFCEEFB-64C9-46DF-BFBB-E85FEBB0F1D2}" name="Sowing_Depth_cm" dataDxfId="3709"/>
    <tableColumn id="38" xr3:uid="{01A17B9D-4F9A-4C34-9D33-519281A2AA88}" name="Root_Depth_cm" dataDxfId="3708"/>
    <tableColumn id="39" xr3:uid="{C1EBF8DC-A18F-4BEA-A8C8-71DF3987B101}" name="Stress_Tolerance_Index" dataDxfId="3707"/>
    <tableColumn id="40" xr3:uid="{791AA9C5-59FE-4AC5-BF49-808025984CDC}" name="Row_Spacing_cm" dataDxfId="3706"/>
    <tableColumn id="41" xr3:uid="{62325D6C-20E4-4CC6-AE80-FEED35425832}" name="Plant_to_Plant_cm" dataDxfId="3705"/>
    <tableColumn id="42" xr3:uid="{FECF8CB8-82F4-40FE-9AEF-77955EAA0EE3}" name="Seed_Per_Spot" dataDxfId="3704"/>
    <tableColumn id="43" xr3:uid="{7E1CC9FF-3F21-48F6-8301-29CC6F20EFA4}" name="Seed_Rate_m2" dataDxfId="3703">
      <calculatedColumnFormula>IFERROR(10000/(AS65*AR65),0)*AT65</calculatedColumnFormula>
    </tableColumn>
    <tableColumn id="44" xr3:uid="{BF0CEEB1-3FF3-4DE6-A2F3-29C754E4E906}" name="Seed_Weight_kg/ha" dataDxfId="3702">
      <calculatedColumnFormula>ROUND((P65/1000000)*AU65*10000,2)</calculatedColumnFormula>
    </tableColumn>
    <tableColumn id="45" xr3:uid="{128C8DE6-AC10-4BC9-B76B-E0B7A1A45A18}" name="Germination_%" dataDxfId="3701"/>
    <tableColumn id="46" xr3:uid="{8D497140-4865-4607-9A2D-A45A30F1CC64}" name="Effective_Plants_m2" dataDxfId="3700">
      <calculatedColumnFormula>IFERROR((AU65*AW65/100),0)</calculatedColumnFormula>
    </tableColumn>
    <tableColumn id="47" xr3:uid="{85A727ED-640F-4DB1-9541-6F2957BE1B7C}" name="Tillers_Per_Plant" dataDxfId="3699"/>
    <tableColumn id="48" xr3:uid="{3908D4DC-C56D-406B-9C64-AB188030D10E}" name="Shoots_Per_m2" dataDxfId="3698">
      <calculatedColumnFormula>IFERROR(AX65*AY65,0)</calculatedColumnFormula>
    </tableColumn>
    <tableColumn id="49" xr3:uid="{31C4F935-571D-46AD-ADC7-8A2024781258}" name="Survival_Ratio" dataDxfId="3697"/>
    <tableColumn id="50" xr3:uid="{E6BB1C16-EFF5-470A-8EC3-C7DE4EA0068E}" name="Shoot_Bearing_m2" dataDxfId="3696">
      <calculatedColumnFormula>IFERROR(AZ65*BA65,0)</calculatedColumnFormula>
    </tableColumn>
    <tableColumn id="51" xr3:uid="{E4A959A9-705F-45BE-89B6-A1F4A29E6D6E}" name="Leaf_Area_Per_Shoot_m2" dataDxfId="3695"/>
    <tableColumn id="52" xr3:uid="{87F88D15-730A-4DDF-A06E-B19C8DCCCDBE}" name="Start_LAI" dataDxfId="3694">
      <calculatedColumnFormula>IFERROR(
  MAX(0.05, MIN(0.5, CropNorms_Canola[[#This Row],[Leaf_Area_Per_Shoot_m2]] * CropNorms_Canola[[#This Row],[Shoot_Bearing_m2]] )),
  0.2
)</calculatedColumnFormula>
    </tableColumn>
    <tableColumn id="53" xr3:uid="{18346CA6-2A77-4E97-9BA0-F4DDFA5C3FBD}" name="LAI_Start_GDD" dataDxfId="3693">
      <calculatedColumnFormula>_xlfn.XLOOKUP(CropNorms_Canola[[#This Row],[LAI_Start_BBCH]], CropPhenology_Canola[Sub_Stage], CropPhenology_Canola[Start_GDD], "Not Found")</calculatedColumnFormula>
    </tableColumn>
    <tableColumn id="54" xr3:uid="{97E1F073-5B72-42F6-9886-ACF39AEB136D}" name="Max_LAI" dataDxfId="3692">
      <calculatedColumnFormula>ROUND(CropNorms_Canola[[#This Row],[Shoot_Bearing_m2]]*CropNorms_Canola[[#This Row],[Leaf_Area_Per_Shoot_m2]],2)</calculatedColumnFormula>
    </tableColumn>
    <tableColumn id="55" xr3:uid="{EC42E2BB-185A-4D2F-8C51-08CBE04DCE55}" name="LAI_Max_GDD" dataDxfId="3691">
      <calculatedColumnFormula>AVERAGE(
  _xlfn.XLOOKUP(CropNorms_Canola[[#This Row],[LAI_Max_BBCH]], CropPhenology_Canola[Sub_Stage], CropPhenology_Canola[Start_GDD]),
  _xlfn.XLOOKUP(CropNorms_Canola[[#This Row],[LAI_Max_BBCH]], CropPhenology_Canola[Sub_Stage], CropPhenology_Canola[End_GDD])
)</calculatedColumnFormula>
    </tableColumn>
    <tableColumn id="56" xr3:uid="{6F957685-FE90-4BB7-BE0F-B7FD699C19A8}" name="End_LAI" dataDxfId="3690">
      <calculatedColumnFormula>IF(CropNorms_Canola[[#This Row],[Max_LAI]]&gt;=1.2, 0.85*CropNorms_Canola[[#This Row],[Max_LAI]], 1)</calculatedColumnFormula>
    </tableColumn>
    <tableColumn id="57" xr3:uid="{4D1DC277-C15C-43C5-9EF6-38A8C4CD30EF}" name="LAI_End_GDD" dataDxfId="3689">
      <calculatedColumnFormula>_xlfn.XLOOKUP(CropNorms_Canola[[#This Row],[LAI_End_BBCH]], CropPhenology_Canola[Sub_Stage], CropPhenology_Canola[End_GDD], "Not Found")</calculatedColumnFormula>
    </tableColumn>
    <tableColumn id="58" xr3:uid="{A18EA8E5-8FF2-4665-9A8B-4B318929FDD5}" name="RUE_Max" dataDxfId="3688">
      <calculatedColumnFormula array="1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33AD334-502F-4A04-A469-9BDF594AA696}" name="RUE_Asymptote_Frac" dataDxfId="3687">
      <calculatedColumnFormula array="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ABDECF8-D4FC-4811-8F6D-758C5517CC99}" name="RUE_LAI_Half_Sat" dataDxfId="3686">
      <calculatedColumnFormula array="1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03BC32B-52AA-446E-A744-5535613C5C94}" name="RUE_Daily_Delta_Max" dataDxfId="3685">
      <calculatedColumnFormula array="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F37EEEB0-8E58-48E4-81DB-77A44A08D878}" name="HI" dataDxfId="3684"/>
    <tableColumn id="63" xr3:uid="{3112DCED-74C0-4D76-835B-EBE96F128136}" name="DM:FM" dataDxfId="3683"/>
    <tableColumn id="64" xr3:uid="{EBFB0074-ECBF-41F4-ACFB-73C11D0A1A45}" name="Yield_t/ha" dataDxfId="3682"/>
    <tableColumn id="65" xr3:uid="{A18CC657-855B-4A87-97B3-3783BD4BACF8}" name="Yield_Type" dataDxfId="3681"/>
    <tableColumn id="66" xr3:uid="{AE12E1BC-539B-4416-8A73-9755A302668A}" name="LAI_Start_BBCH" dataDxfId="3680">
      <calculatedColumnFormula array="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D091D2B4-F5A6-4FCD-834D-262733632FD0}" name="LAI_Max_BBCH" dataDxfId="3679">
      <calculatedColumnFormula array="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FDCC0FD5-247D-4DAF-8FCA-A8040F3760E4}" name="LAI_End_BBCH" dataDxfId="3678">
      <calculatedColumnFormula array="1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BFBC763-FB5D-4012-B3CE-DFE73C54CCB1}" name="Fruiting_Start_BBCH" dataDxfId="3677">
      <calculatedColumnFormula array="1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EF29A79-72D0-4F82-B20D-8950EE204BE6}" name="N_Deficiency_kg/ha" dataDxfId="3676"/>
    <tableColumn id="71" xr3:uid="{D7960C0A-915E-405D-AF09-4C3BA9B5C449}" name="P_Deficiency_kg/ha" dataDxfId="3675"/>
    <tableColumn id="72" xr3:uid="{AF28194C-D97D-4B10-8112-4ED319B6091B}" name="K_deficiency_kg/ha" dataDxfId="3674"/>
    <tableColumn id="73" xr3:uid="{75242C1C-720E-4CC1-B32A-C2EDDEE3ECC3}" name="Sowing_Start_Season" dataDxfId="3673"/>
    <tableColumn id="74" xr3:uid="{2AA3A5A2-9F3E-4D03-86F1-00F836B2F915}" name="Sowing_End_Season" dataDxfId="3672"/>
    <tableColumn id="75" xr3:uid="{59A44641-5BAD-4FD9-8E5E-ED2F135492DC}" name="Sand" dataDxfId="3671"/>
    <tableColumn id="76" xr3:uid="{1A307AB0-56EE-43D5-98EE-D8023419659E}" name="Loamy Sand" dataDxfId="3670"/>
    <tableColumn id="77" xr3:uid="{5856F0D0-FC19-4708-9963-858916179A69}" name="Sandy Loam" dataDxfId="3669"/>
    <tableColumn id="78" xr3:uid="{FB812DBD-82E2-49F6-BC28-59A1BCC6F079}" name="Loam" dataDxfId="3668"/>
    <tableColumn id="79" xr3:uid="{777CE6CA-C490-46EC-B938-E4950A2EEC77}" name="Silt Loam" dataDxfId="3667"/>
    <tableColumn id="80" xr3:uid="{21358E07-AE0B-4D69-A577-CFEB346B31D1}" name="Clay Loam" dataDxfId="3666"/>
    <tableColumn id="81" xr3:uid="{68C0E05D-A6FC-491C-A1EC-9E3539B11C66}" name="Silt" dataDxfId="3665"/>
    <tableColumn id="82" xr3:uid="{72A4A55E-1B1B-4B0B-A47D-208F20435748}" name="Sandy Clay" dataDxfId="3664"/>
    <tableColumn id="83" xr3:uid="{AD022058-6285-454A-83FE-7A6C5E05BF70}" name="Silty Clay Loam" dataDxfId="3663"/>
    <tableColumn id="84" xr3:uid="{B167AF66-999D-4730-AF10-A9BD480BAB87}" name="Silty Clay" dataDxfId="3662"/>
    <tableColumn id="85" xr3:uid="{26613294-5E97-4840-AF64-35C98668D07C}" name="Clay" dataDxfId="3661"/>
    <tableColumn id="86" xr3:uid="{8DE1F363-3765-4FB0-88EE-B7419AE4C553}" name="Sandy Clay Loam" dataDxfId="366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8A1CFEC-AE16-4D30-A407-2A04A8E1BECD}" name="CropNorms_Carrot" displayName="CropNorms_Carrot" ref="B70:CL75" totalsRowShown="0" headerRowDxfId="3659" dataDxfId="3657" headerRowBorderDxfId="3658" tableBorderDxfId="3656">
  <tableColumns count="89">
    <tableColumn id="1" xr3:uid="{A27EB0FE-C72D-4C0F-823A-8466A22E4111}" name="Crop_Name" dataDxfId="3655"/>
    <tableColumn id="2" xr3:uid="{DE3222B5-7C46-4631-B2A6-06BC8C9DD5AC}" name="Variety_Name" dataDxfId="3654"/>
    <tableColumn id="3" xr3:uid="{A42244E4-F8ED-494E-B218-97BAE83F8BCA}" name="Variety_Type" dataDxfId="3653"/>
    <tableColumn id="4" xr3:uid="{A9DE40B8-9888-4834-8933-E64CB3E761E9}" name="Height_Class" dataDxfId="3652"/>
    <tableColumn id="5" xr3:uid="{6143F444-41B3-4B4A-ABBD-B85DD92F80A0}" name="Height_cm" dataDxfId="3651"/>
    <tableColumn id="6" xr3:uid="{7DFAAA12-275B-4E3C-B933-31F227811E08}" name="Nutrient_Content" dataDxfId="3650"/>
    <tableColumn id="7" xr3:uid="{2E2FE32D-E8CD-47DA-8E33-4672E2844D30}" name="Common_Disease_Tolerance" dataDxfId="3649"/>
    <tableColumn id="8" xr3:uid="{811E98C1-98F3-4EA7-B11F-ACF560829D26}" name="Common_Pest_Tolerance" dataDxfId="3648"/>
    <tableColumn id="9" xr3:uid="{6C157A05-E25A-4AE4-A074-063E5D5DAE66}" name="Environmental_Resilience" dataDxfId="3647"/>
    <tableColumn id="10" xr3:uid="{3B0DFB98-50CB-4160-A1D0-944A64AE348D}" name="Category" dataDxfId="3646"/>
    <tableColumn id="11" xr3:uid="{2F95CF66-F5A6-4422-8DAC-61062828D1CD}" name="Country" dataDxfId="3645"/>
    <tableColumn id="12" xr3:uid="{2E86A937-79E1-4882-8981-D9B7E1CE464A}" name="Season" dataDxfId="3644"/>
    <tableColumn id="13" xr3:uid="{4725BC8B-5761-433A-9446-80D12D3E773F}" name="PAR" dataDxfId="3643"/>
    <tableColumn id="14" xr3:uid="{F70F78B6-1E52-401F-BB30-2F8C4F4FEBEB}" name="Region" dataDxfId="3642"/>
    <tableColumn id="15" xr3:uid="{0FF3FE77-A76D-4CA8-9752-93C968BEF447}" name="Seed_Weight_mg" dataDxfId="3641"/>
    <tableColumn id="16" xr3:uid="{22D01C6E-0AC1-4582-B00E-98481F4ABFEC}" name="Crop_Min_Temp" dataDxfId="3640"/>
    <tableColumn id="17" xr3:uid="{9903E551-CF1E-4791-B71A-59A1A8544B0C}" name="Base_Temp" dataDxfId="3639"/>
    <tableColumn id="18" xr3:uid="{52B20B83-D23A-475C-931E-3ADE7B36A602}" name="Opt._Temp" dataDxfId="3638"/>
    <tableColumn id="19" xr3:uid="{19C4B0C3-A9B6-4F0D-B944-F1FE4FCD24E0}" name="Upper_Temp" dataDxfId="3637"/>
    <tableColumn id="89" xr3:uid="{EC114CFA-EF62-49B9-B6A9-C2E2EADB29FC}" name="Loss / Degree" dataDxfId="3636"/>
    <tableColumn id="20" xr3:uid="{FCDE6298-671D-4B32-AFF4-E6A278382BFE}" name="Min_Days" dataDxfId="3635"/>
    <tableColumn id="21" xr3:uid="{CFB2AFC7-44DB-4166-BE46-9579E64E3170}" name="Max_Days" dataDxfId="3634"/>
    <tableColumn id="22" xr3:uid="{FE62D792-33D1-4483-B7B4-8C7775DBFFC9}" name="Ripening_S_GDD" dataDxfId="3633">
      <calculatedColumnFormula>_xlfn.XLOOKUP("Ripening", CropPhenology_Carrot[Main_Stage], CropPhenology_Carrot[Start_GDD], "Not Found")</calculatedColumnFormula>
    </tableColumn>
    <tableColumn id="23" xr3:uid="{F8EC5DE2-2A0E-40DA-891E-EFDAD2048F50}" name="Ripening_E_GDD" dataDxfId="3632">
      <calculatedColumnFormula array="1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calculatedColumnFormula>
    </tableColumn>
    <tableColumn id="24" xr3:uid="{4A45C6AD-D5AC-4D66-93D7-8C291961C39F}" name="Avg. Daily GDD" dataDxfId="3631">
      <calculatedColumnFormula>MIN(Y71/V71,MAX(X71/W71,R71,(X71/W71+Y71/V71)/2))</calculatedColumnFormula>
    </tableColumn>
    <tableColumn id="25" xr3:uid="{9BF13441-432F-4162-8D17-5CE327FCE6E3}" name="Days_to_Ripening" dataDxfId="3630">
      <calculatedColumnFormula>Y71/Z71</calculatedColumnFormula>
    </tableColumn>
    <tableColumn id="26" xr3:uid="{3FA7CE91-62A3-4918-85B4-102998879612}" name="Sunshine" dataDxfId="3629"/>
    <tableColumn id="27" xr3:uid="{0031FFC8-847E-4E99-A748-0E3BA78CFF90}" name="Soil_Temp_Min" dataDxfId="3628"/>
    <tableColumn id="28" xr3:uid="{06C5FEF0-8635-47F0-985D-EA9191B1EA0C}" name="VPA_Max" dataDxfId="3627"/>
    <tableColumn id="29" xr3:uid="{001D8848-4FDB-47DB-8E8F-19E0DF0ED9F7}" name="Humidity_Max" dataDxfId="3626"/>
    <tableColumn id="30" xr3:uid="{CDF2FC15-6129-4696-8432-E3E9D3863792}" name="Dew_Point_Min" dataDxfId="3625"/>
    <tableColumn id="31" xr3:uid="{B1C494E8-3206-44A9-AF2E-66F1C2E7B20A}" name="WS_2m_Max" dataDxfId="3624"/>
    <tableColumn id="32" xr3:uid="{FA59A223-7CBD-4A58-AD60-88D36753A6A9}" name="GDD_Adjust" dataDxfId="3623">
      <calculatedColumnFormula>IFERROR((Y71-X71)/AA71,0)</calculatedColumnFormula>
    </tableColumn>
    <tableColumn id="33" xr3:uid="{711A2C7D-4FB1-45C0-AC09-7CA034B64CC4}" name="pH_Min" dataDxfId="3622"/>
    <tableColumn id="34" xr3:uid="{2EAF8164-E45F-4B5B-94FA-773222937A28}" name="pH_Max" dataDxfId="3621"/>
    <tableColumn id="87" xr3:uid="{AB9C78A0-3F34-4B4D-8C55-C4DF0D175BFE}" name="ECt" dataDxfId="3620"/>
    <tableColumn id="88" xr3:uid="{EA017BCC-3D83-4124-ABA5-7F125FA71C1B}" name="Slope" dataDxfId="3619"/>
    <tableColumn id="35" xr3:uid="{932B90D7-D74B-4EE9-8037-10305DF9B091}" name="CWR_Min" dataDxfId="3618"/>
    <tableColumn id="36" xr3:uid="{C8F89097-E260-4865-BCC1-B799D94BD005}" name="CWR_Max" dataDxfId="3617"/>
    <tableColumn id="37" xr3:uid="{53B9867F-7501-4BFD-8AE3-83B0C1579255}" name="Sowing_Depth_cm" dataDxfId="3616"/>
    <tableColumn id="38" xr3:uid="{40FD5904-C430-4498-BDC3-9D5AFBF8B2BD}" name="Root_Depth_cm" dataDxfId="3615"/>
    <tableColumn id="39" xr3:uid="{0B483BD9-1C0C-48DA-BC22-72658B4DD150}" name="Stress_Tolerance_Index" dataDxfId="3614"/>
    <tableColumn id="40" xr3:uid="{48197139-CCF7-4FE0-9A59-732C4006BAE8}" name="Row_Spacing_cm" dataDxfId="3613"/>
    <tableColumn id="41" xr3:uid="{296351CC-503D-41FE-A47A-40E4C3868DFE}" name="Plant_to_Plant_cm" dataDxfId="3612"/>
    <tableColumn id="42" xr3:uid="{49F1A8A2-137D-4567-9767-AF5C0ABD71F8}" name="Seed_Per_Spot" dataDxfId="3611"/>
    <tableColumn id="43" xr3:uid="{C3DA7986-C2B9-4F78-8C89-CBE7063E6062}" name="Seed_Rate_m2" dataDxfId="3610">
      <calculatedColumnFormula>IFERROR(10000/(AS71*AR71),0)*AT71</calculatedColumnFormula>
    </tableColumn>
    <tableColumn id="44" xr3:uid="{272D3DCF-9895-4231-AB09-51E2245831D7}" name="Seed_Weight_kg/ha" dataDxfId="3609">
      <calculatedColumnFormula>ROUND((P71/1000000)*AU71*10000,2)</calculatedColumnFormula>
    </tableColumn>
    <tableColumn id="45" xr3:uid="{ECC16440-01CB-4A80-9C81-3FF6FD6F809C}" name="Germination_%" dataDxfId="3608"/>
    <tableColumn id="46" xr3:uid="{562C5351-30F2-44D0-ACDC-1155E99C8999}" name="Effective_Plants_m2" dataDxfId="3607">
      <calculatedColumnFormula>IFERROR((AU71*AW71/100),0)</calculatedColumnFormula>
    </tableColumn>
    <tableColumn id="47" xr3:uid="{60E34F44-9BE9-477C-89E6-1FA42BB55C61}" name="Tillers_Per_Plant" dataDxfId="3606"/>
    <tableColumn id="48" xr3:uid="{0AD06FE5-4D1F-49F1-8F7A-ADE9097A206F}" name="Shoots_Per_m2" dataDxfId="3605">
      <calculatedColumnFormula>IFERROR(AX71*AY71,0)</calculatedColumnFormula>
    </tableColumn>
    <tableColumn id="49" xr3:uid="{1090FF78-2514-4D2C-BC92-EFC6AFD967E4}" name="Survival_Ratio" dataDxfId="3604"/>
    <tableColumn id="50" xr3:uid="{0B206FF7-1E19-4DA7-A758-D17BDA51D3B9}" name="Shoot_Bearing_m2" dataDxfId="3603">
      <calculatedColumnFormula>IFERROR(AZ71*BA71,0)</calculatedColumnFormula>
    </tableColumn>
    <tableColumn id="51" xr3:uid="{ABFDA221-FCEE-45BB-8CB5-6848B84E2ED0}" name="Leaf_Area_Per_Shoot_m2" dataDxfId="3602"/>
    <tableColumn id="52" xr3:uid="{BB224E9C-F5F1-4AAD-9182-899E96B7A3C9}" name="Start_LAI" dataDxfId="3601">
      <calculatedColumnFormula>IFERROR(
  MAX(0.05, MIN(0.5, CropNorms_Carrot[[#This Row],[Leaf_Area_Per_Shoot_m2]] * CropNorms_Carrot[[#This Row],[Shoot_Bearing_m2]] )),
  0.2
)</calculatedColumnFormula>
    </tableColumn>
    <tableColumn id="53" xr3:uid="{60E44CED-359A-41C7-A36A-E5E94516292C}" name="LAI_Start_GDD" dataDxfId="3600">
      <calculatedColumnFormula>_xlfn.XLOOKUP(CropNorms_Carrot[[#This Row],[LAI_Start_BBCH]], CropPhenology_Carrot[Sub_Stage], CropPhenology_Carrot[Start_GDD], "Not Found")</calculatedColumnFormula>
    </tableColumn>
    <tableColumn id="54" xr3:uid="{7D55D474-0623-402B-A79E-70FED2E79317}" name="Max_LAI" dataDxfId="3599">
      <calculatedColumnFormula>ROUND(CropNorms_Carrot[[#This Row],[Shoot_Bearing_m2]]*CropNorms_Carrot[[#This Row],[Leaf_Area_Per_Shoot_m2]],2)</calculatedColumnFormula>
    </tableColumn>
    <tableColumn id="55" xr3:uid="{8F5A6110-5DE6-4BFA-8F5D-27881CD0BCBD}" name="LAI_Max_GDD" dataDxfId="3598">
      <calculatedColumnFormula>AVERAGE(
  _xlfn.XLOOKUP(CropNorms_Carrot[[#This Row],[LAI_Max_BBCH]], CropPhenology_Carrot[Sub_Stage], CropPhenology_Carrot[Start_GDD]),
  _xlfn.XLOOKUP(CropNorms_Carrot[[#This Row],[LAI_Max_BBCH]], CropPhenology_Carrot[Sub_Stage], CropPhenology_Carrot[End_GDD])
)</calculatedColumnFormula>
    </tableColumn>
    <tableColumn id="56" xr3:uid="{67F12C93-CB39-46A4-A0AD-65DD5CE6C562}" name="End_LAI" dataDxfId="3597">
      <calculatedColumnFormula>IF(CropNorms_Carrot[[#This Row],[Max_LAI]]&gt;=1.2, 0.85*CropNorms_Carrot[[#This Row],[Max_LAI]], 1)</calculatedColumnFormula>
    </tableColumn>
    <tableColumn id="57" xr3:uid="{E8A7D772-F076-43C9-8101-26D3CF021B18}" name="LAI_End_GDD" dataDxfId="3596">
      <calculatedColumnFormula>_xlfn.XLOOKUP(CropNorms_Carrot[[#This Row],[LAI_End_BBCH]], CropPhenology_Carrot[Sub_Stage], CropPhenology_Carrot[End_GDD], "Not Found")</calculatedColumnFormula>
    </tableColumn>
    <tableColumn id="58" xr3:uid="{A730E816-4AC7-4AC2-BB8F-B1758AB20F93}" name="RUE_Max" dataDxfId="3595">
      <calculatedColumnFormula array="1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04A638E0-5DF8-4F7D-9FC6-D8DC46208B0E}" name="RUE_Asymptote_Frac" dataDxfId="3594">
      <calculatedColumnFormula array="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4B1888A-A9BA-46E2-9AD5-C40C8709FF57}" name="RUE_LAI_Half_Sat" dataDxfId="3593">
      <calculatedColumnFormula array="1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8F3272C4-F91E-4A02-B03A-027C44E0C0AC}" name="RUE_Daily_Delta_Max" dataDxfId="3592">
      <calculatedColumnFormula array="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7B84167-A37C-473C-9745-259A98A6E791}" name="HI" dataDxfId="3591"/>
    <tableColumn id="63" xr3:uid="{4C771B51-3444-454F-BED9-DF0978371F63}" name="DM:FM" dataDxfId="3590"/>
    <tableColumn id="64" xr3:uid="{8BD7B443-FF0B-4A63-8EBC-6B3A9DAE63CC}" name="Yield_t/ha" dataDxfId="3589"/>
    <tableColumn id="65" xr3:uid="{0AF91AE5-D227-4E2E-864F-826D2148FF2C}" name="Yield_Type" dataDxfId="3588"/>
    <tableColumn id="66" xr3:uid="{2D920F1A-B72D-4E38-9520-4BA6B713F01C}" name="LAI_Start_BBCH" dataDxfId="3587">
      <calculatedColumnFormula array="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736F5C4-63D1-4080-8958-8015BEA5ED07}" name="LAI_Max_BBCH" dataDxfId="3586">
      <calculatedColumnFormula array="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E27084D-E630-4FB1-9CD3-09BB16181D0D}" name="LAI_End_BBCH" dataDxfId="3585">
      <calculatedColumnFormula array="1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743E337-D3F9-4941-B648-C5CAE7A0AF15}" name="Fruiting_Start_BBCH" dataDxfId="3584">
      <calculatedColumnFormula array="1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252DE05-B1E6-4B85-959A-7F5FCAEB8C2D}" name="N_Deficiency_kg/ha" dataDxfId="3583"/>
    <tableColumn id="71" xr3:uid="{1B5DD891-5C1C-4E84-837B-5766BE6B2943}" name="P_Deficiency_kg/ha" dataDxfId="3582"/>
    <tableColumn id="72" xr3:uid="{AAC390AC-AB60-4D5A-AE33-F1D93DF1BF9A}" name="K_deficiency_kg/ha" dataDxfId="3581"/>
    <tableColumn id="73" xr3:uid="{22179E65-EF45-4EBD-8A82-1023B18F2EBB}" name="Sowing_Start_Season" dataDxfId="3580"/>
    <tableColumn id="74" xr3:uid="{64F4BE2A-B5B2-48FA-B0ED-6982C51ADFAF}" name="Sowing_End_Season" dataDxfId="3579"/>
    <tableColumn id="75" xr3:uid="{596AECD3-51BE-4205-B4B8-95BE45092F1E}" name="Sand" dataDxfId="3578"/>
    <tableColumn id="76" xr3:uid="{9461CC93-EFC6-4156-B8F8-43C877A8957D}" name="Loamy Sand" dataDxfId="3577"/>
    <tableColumn id="77" xr3:uid="{9FD17B24-5B4A-446E-9FCB-326C2D33AAA6}" name="Sandy Loam" dataDxfId="3576"/>
    <tableColumn id="78" xr3:uid="{F9604667-40F7-4B6C-80E4-AB5BAF190C17}" name="Loam" dataDxfId="3575"/>
    <tableColumn id="79" xr3:uid="{AD046190-B73B-4EAF-B45A-49EA5C33EDAD}" name="Silt Loam" dataDxfId="3574"/>
    <tableColumn id="80" xr3:uid="{8665797E-67AE-4431-9307-16F2076699F3}" name="Clay Loam" dataDxfId="3573"/>
    <tableColumn id="81" xr3:uid="{3454357D-FE98-4947-8BB9-1D9BBA11DF63}" name="Silt" dataDxfId="3572"/>
    <tableColumn id="82" xr3:uid="{ABDD95BF-6C48-47A6-A995-4E8347709857}" name="Sandy Clay" dataDxfId="3571"/>
    <tableColumn id="83" xr3:uid="{0E1C041A-0723-499C-A9ED-A797452E8AF7}" name="Silty Clay Loam" dataDxfId="3570"/>
    <tableColumn id="84" xr3:uid="{D2F144F9-0DFE-4C92-83A8-B3C3FBEF79F8}" name="Silty Clay" dataDxfId="3569"/>
    <tableColumn id="85" xr3:uid="{37522721-CD2F-45FA-A3B1-A8F493814B36}" name="Clay" dataDxfId="3568"/>
    <tableColumn id="86" xr3:uid="{A5E73BD8-416D-4CD8-9008-B0ABBABD7B65}" name="Sandy Clay Loam" dataDxfId="356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BFF38E-484F-4B31-963C-1AEA548641AD}" name="CropNorms_Cauliflower" displayName="CropNorms_Cauliflower" ref="B77:CL83" totalsRowShown="0" headerRowDxfId="3566" dataDxfId="3564" headerRowBorderDxfId="3565" tableBorderDxfId="3563">
  <tableColumns count="89">
    <tableColumn id="1" xr3:uid="{29A3961A-0A51-4D37-8BF7-A88F037C45E3}" name="Crop_Name" dataDxfId="3562"/>
    <tableColumn id="2" xr3:uid="{0592F8DA-ED0F-46BB-A3D1-80DC8FF9C55C}" name="Variety_Name" dataDxfId="3561"/>
    <tableColumn id="3" xr3:uid="{D6A4115C-1BAC-45B3-88EA-6DEFF05A24F4}" name="Variety_Type" dataDxfId="3560"/>
    <tableColumn id="4" xr3:uid="{96D72DB7-0673-4F9E-88F5-65E43AE71651}" name="Height_Class" dataDxfId="3559"/>
    <tableColumn id="5" xr3:uid="{0B7F9175-8CFE-4C68-B87A-03618AA1F9D4}" name="Height_cm" dataDxfId="3558"/>
    <tableColumn id="6" xr3:uid="{FC22B989-9DF6-4278-980D-5916F52A677D}" name="Nutrient_Content" dataDxfId="3557"/>
    <tableColumn id="7" xr3:uid="{CA5C6A19-A3A8-4F2D-A0D7-E76872F309A9}" name="Common_Disease_Tolerance" dataDxfId="3556"/>
    <tableColumn id="8" xr3:uid="{68DA9716-1E12-4A11-95F7-54A22BB0642B}" name="Common_Pest_Tolerance" dataDxfId="3555"/>
    <tableColumn id="9" xr3:uid="{8A94D9E5-E4F9-4716-9196-08526AF54323}" name="Environmental_Resilience" dataDxfId="3554"/>
    <tableColumn id="10" xr3:uid="{F8CA9934-3A1B-4FE1-8F84-97D554D19143}" name="Category" dataDxfId="3553"/>
    <tableColumn id="11" xr3:uid="{5919C01A-4966-4276-8596-ACF83E50EB1F}" name="Country" dataDxfId="3552"/>
    <tableColumn id="12" xr3:uid="{CAA33951-7749-4F37-9FF9-4B5BDE73C9F8}" name="Season" dataDxfId="3551"/>
    <tableColumn id="13" xr3:uid="{CFCC223B-8BAA-4E03-B553-0194A573AE04}" name="PAR" dataDxfId="3550"/>
    <tableColumn id="14" xr3:uid="{2AB25BEC-C8FF-41BC-841A-C1006F92411A}" name="Region" dataDxfId="3549"/>
    <tableColumn id="15" xr3:uid="{C6BA7B4D-92D3-4F8A-8FF6-713892C38FA6}" name="Seed_Weight_mg" dataDxfId="3548"/>
    <tableColumn id="16" xr3:uid="{13D571C8-9ED1-442F-873B-5AECF0E72ED8}" name="Crop_Min_Temp" dataDxfId="3547"/>
    <tableColumn id="17" xr3:uid="{8247379D-ABB8-4DF6-B570-EE41B7F4B630}" name="Base_Temp" dataDxfId="3546"/>
    <tableColumn id="18" xr3:uid="{1C7C81A6-C9CB-44B5-A026-C1C30F11E504}" name="Opt._Temp" dataDxfId="3545"/>
    <tableColumn id="19" xr3:uid="{1F41635F-FC16-4E52-A3CB-D1370E10D012}" name="Upper_Temp" dataDxfId="3544"/>
    <tableColumn id="89" xr3:uid="{BDCEACFF-9DEE-40E9-B427-7CC32F5688E0}" name="Loss / Degree" dataDxfId="3543"/>
    <tableColumn id="20" xr3:uid="{0935B281-DF04-4D40-BD89-66FB3225261E}" name="Min_Days" dataDxfId="3542"/>
    <tableColumn id="21" xr3:uid="{CAA9BFB7-3F50-4ADE-A9F0-452D8DF8BB4B}" name="Max_Days" dataDxfId="3541"/>
    <tableColumn id="22" xr3:uid="{9B871876-B426-4E03-A578-404CA831B509}" name="Ripening_S_GDD" dataDxfId="3540">
      <calculatedColumnFormula>_xlfn.XLOOKUP("Ripening", CropPhenology_Cauliflower[Main_Stage], CropPhenology_Cauliflower[Start_GDD], "Not Found")</calculatedColumnFormula>
    </tableColumn>
    <tableColumn id="23" xr3:uid="{2489DC00-713A-47FE-99E8-535C27E8676F}" name="Ripening_E_GDD" dataDxfId="3539">
      <calculatedColumnFormula array="1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calculatedColumnFormula>
    </tableColumn>
    <tableColumn id="24" xr3:uid="{C3956CC5-20DC-4B28-AB48-0BC69444E078}" name="Avg. Daily GDD" dataDxfId="3538">
      <calculatedColumnFormula>MIN(Y78/V78,MAX(X78/W78,R78,(X78/W78+Y78/V78)/2))</calculatedColumnFormula>
    </tableColumn>
    <tableColumn id="25" xr3:uid="{9B07CC7F-51E0-4BB9-A123-385954B80997}" name="Days_to_Ripening" dataDxfId="3537">
      <calculatedColumnFormula>Y78/Z78</calculatedColumnFormula>
    </tableColumn>
    <tableColumn id="26" xr3:uid="{95E14038-140D-47CF-8BCF-B40CA520EFD8}" name="Sunshine" dataDxfId="3536"/>
    <tableColumn id="27" xr3:uid="{CBDFE0AB-8A51-47E0-B5C2-FF9776EDEA3D}" name="Soil_Temp_Min" dataDxfId="3535"/>
    <tableColumn id="28" xr3:uid="{BD29E01B-F1B9-40F6-8DA4-AE4D02A11B83}" name="VPA_Max" dataDxfId="3534"/>
    <tableColumn id="29" xr3:uid="{0552E466-01E1-427F-84FA-C53BE986A042}" name="Humidity_Max" dataDxfId="3533"/>
    <tableColumn id="30" xr3:uid="{5EC6FCF3-166D-4667-9066-937A6E9C7B9B}" name="Dew_Point_Min" dataDxfId="3532"/>
    <tableColumn id="31" xr3:uid="{209B1D96-E497-44F9-97A8-E393EF0C7177}" name="WS_2m_Max" dataDxfId="3531"/>
    <tableColumn id="32" xr3:uid="{54B51E11-5371-42CD-AED9-853482EAD467}" name="GDD_Adjust" dataDxfId="3530">
      <calculatedColumnFormula>IFERROR((Y78-X78)/AA78,0)</calculatedColumnFormula>
    </tableColumn>
    <tableColumn id="33" xr3:uid="{40F90E03-2C90-414A-94F1-6213A649FD09}" name="pH_Min" dataDxfId="3529"/>
    <tableColumn id="34" xr3:uid="{5C84151F-CEFA-4D91-B298-6FE7DBA86CB0}" name="pH_Max" dataDxfId="3528"/>
    <tableColumn id="87" xr3:uid="{24FE8212-7B8F-4A79-897C-5E21AD62046A}" name="ECt" dataDxfId="3527"/>
    <tableColumn id="88" xr3:uid="{97F98F34-5371-4551-9FED-BAA6358DD6B3}" name="Slope" dataDxfId="3526"/>
    <tableColumn id="35" xr3:uid="{3908F764-514A-4EB5-AC1E-7754F5507850}" name="CWR_Min" dataDxfId="3525"/>
    <tableColumn id="36" xr3:uid="{BDB87692-DEAE-4588-B6FE-1A6DA7699C87}" name="CWR_Max" dataDxfId="3524"/>
    <tableColumn id="37" xr3:uid="{A3669234-563C-4A8A-84DE-7E479BB152E3}" name="Sowing_Depth_cm" dataDxfId="3523"/>
    <tableColumn id="38" xr3:uid="{E6E67E24-7384-49B0-8D03-E7950B580145}" name="Root_Depth_cm" dataDxfId="3522"/>
    <tableColumn id="39" xr3:uid="{7E2ABD4B-8C5D-4F22-AE4F-364F804078DA}" name="Stress_Tolerance_Index" dataDxfId="3521"/>
    <tableColumn id="40" xr3:uid="{A4CE782B-3517-45C6-85EB-C301B3F242C0}" name="Row_Spacing_cm" dataDxfId="3520"/>
    <tableColumn id="41" xr3:uid="{438A9EC0-5447-474E-815E-4D2C19049D81}" name="Plant_to_Plant_cm" dataDxfId="3519"/>
    <tableColumn id="42" xr3:uid="{1E4D5891-E71D-43DC-BD79-F804C6FC51A1}" name="Seed_Per_Spot" dataDxfId="3518"/>
    <tableColumn id="43" xr3:uid="{E21780E5-08E4-47E7-82E0-FDF3F05E3900}" name="Seed_Rate_m2" dataDxfId="3517">
      <calculatedColumnFormula>IFERROR(10000/(AS78*AR78),0)*AT78</calculatedColumnFormula>
    </tableColumn>
    <tableColumn id="44" xr3:uid="{1A9E9E07-B5B6-483C-9C1C-2C0D74313DA1}" name="Seed_Weight_kg/ha" dataDxfId="3516">
      <calculatedColumnFormula>ROUND((P78/1000000)*AU78*10000,2)</calculatedColumnFormula>
    </tableColumn>
    <tableColumn id="45" xr3:uid="{66992F08-40EA-4817-BC4C-E4F1E082B464}" name="Germination_%" dataDxfId="3515"/>
    <tableColumn id="46" xr3:uid="{F8263421-DA48-4948-A573-E6A10F2A8436}" name="Effective_Plants_m2" dataDxfId="3514">
      <calculatedColumnFormula>IFERROR((AU78*AW78/100),0)</calculatedColumnFormula>
    </tableColumn>
    <tableColumn id="47" xr3:uid="{B0319927-6EDE-437A-8EB9-806B6E7CD9D1}" name="Tillers_Per_Plant" dataDxfId="3513"/>
    <tableColumn id="48" xr3:uid="{0D65F007-968B-4914-81F9-31450825EEB0}" name="Shoots_Per_m2" dataDxfId="3512">
      <calculatedColumnFormula>IFERROR(AX78*AY78,0)</calculatedColumnFormula>
    </tableColumn>
    <tableColumn id="49" xr3:uid="{68FA2877-EDA7-4845-AF2A-D8F8E8F235FA}" name="Survival_Ratio" dataDxfId="3511"/>
    <tableColumn id="50" xr3:uid="{37A622F2-0F93-42AD-BD08-483601554C14}" name="Shoot_Bearing_m2" dataDxfId="3510">
      <calculatedColumnFormula>IFERROR(AZ78*BA78,0)</calculatedColumnFormula>
    </tableColumn>
    <tableColumn id="51" xr3:uid="{E4EF705C-2E44-4B82-BBF5-85EC81AF2677}" name="Leaf_Area_Per_Shoot_m2" dataDxfId="3509"/>
    <tableColumn id="52" xr3:uid="{489673C8-4148-4F83-889A-C118DDADB9C4}" name="Start_LAI" dataDxfId="3508">
      <calculatedColumnFormula>IFERROR(
  MAX(0.05, MIN(0.5, CropNorms_Cauliflower[[#This Row],[Leaf_Area_Per_Shoot_m2]] * CropNorms_Cauliflower[[#This Row],[Shoot_Bearing_m2]] )),
  0.2
)</calculatedColumnFormula>
    </tableColumn>
    <tableColumn id="53" xr3:uid="{BB09096A-EB34-480B-A495-7AEAC39DB909}" name="LAI_Start_GDD" dataDxfId="3507">
      <calculatedColumnFormula>_xlfn.XLOOKUP(CropNorms_Cauliflower[[#This Row],[LAI_Start_BBCH]], CropPhenology_Cauliflower[Sub_Stage], CropPhenology_Cauliflower[Start_GDD], "Not Found")</calculatedColumnFormula>
    </tableColumn>
    <tableColumn id="54" xr3:uid="{3716CED0-5977-48DA-9049-68FE7E27F676}" name="Max_LAI" dataDxfId="3506">
      <calculatedColumnFormula>ROUND(CropNorms_Cauliflower[[#This Row],[Shoot_Bearing_m2]]*CropNorms_Cauliflower[[#This Row],[Leaf_Area_Per_Shoot_m2]],2)</calculatedColumnFormula>
    </tableColumn>
    <tableColumn id="55" xr3:uid="{171D02C0-3B27-4EB9-B6AB-34E09D2B059D}" name="LAI_Max_GDD" dataDxfId="3505">
      <calculatedColumnFormula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calculatedColumnFormula>
    </tableColumn>
    <tableColumn id="56" xr3:uid="{A11BD0EF-0B01-48E6-9A45-0F90589AA2E6}" name="End_LAI" dataDxfId="3504">
      <calculatedColumnFormula>IF(CropNorms_Cauliflower[[#This Row],[Max_LAI]]&gt;=1.2, 0.85*CropNorms_Cauliflower[[#This Row],[Max_LAI]], 1)</calculatedColumnFormula>
    </tableColumn>
    <tableColumn id="57" xr3:uid="{2126F347-A132-41D6-BE44-F70D309DD940}" name="LAI_End_GDD" dataDxfId="3503">
      <calculatedColumnFormula>_xlfn.XLOOKUP(CropNorms_Cauliflower[[#This Row],[LAI_End_BBCH]], CropPhenology_Cauliflower[Sub_Stage], CropPhenology_Cauliflower[End_GDD], "Not Found")</calculatedColumnFormula>
    </tableColumn>
    <tableColumn id="58" xr3:uid="{6A593E72-C817-4369-9638-6898F4C27A13}" name="RUE_Max" dataDxfId="3502">
      <calculatedColumnFormula array="1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5831555-2F4D-4E1D-86A9-DB590AB31B6F}" name="RUE_Asymptote_Frac" dataDxfId="3501">
      <calculatedColumnFormula array="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B6CAB26-9014-40C4-BE25-C626A98E8FC7}" name="RUE_LAI_Half_Sat" dataDxfId="3500">
      <calculatedColumnFormula array="1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D808D6E5-7AE0-45B3-BE4E-BEFBCE65DA4A}" name="RUE_Daily_Delta_Max" dataDxfId="3499">
      <calculatedColumnFormula array="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E43C72CF-7713-45A6-8155-B5AB7FB07CFA}" name="HI" dataDxfId="3498"/>
    <tableColumn id="63" xr3:uid="{8E59EAC3-9FAB-4558-930C-9A8708CB3B41}" name="DM:FM" dataDxfId="3497"/>
    <tableColumn id="64" xr3:uid="{114988CA-D9BB-4CF4-953B-FE9FF4B16309}" name="Yield_t/ha" dataDxfId="3496"/>
    <tableColumn id="65" xr3:uid="{928C789D-F9EB-4112-BF50-013C2923BF44}" name="Yield_Type" dataDxfId="3495"/>
    <tableColumn id="66" xr3:uid="{122FC505-4AC7-4F01-96A1-C7FC2C3E1F2C}" name="LAI_Start_BBCH" dataDxfId="3494">
      <calculatedColumnFormula array="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5453EAD-E595-4264-AFEC-A67EEBEBED88}" name="LAI_Max_BBCH" dataDxfId="3493">
      <calculatedColumnFormula array="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1029F23-713E-476D-9E18-940E953AA32D}" name="LAI_End_BBCH" dataDxfId="3492">
      <calculatedColumnFormula array="1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3C701431-8481-46C1-9E18-D57D9DBBBA3E}" name="Fruiting_Start_BBCH" dataDxfId="3491">
      <calculatedColumnFormula array="1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2FEAFE9-32F1-4E3C-A5F0-589DD64D7ABD}" name="N_Deficiency_kg/ha" dataDxfId="3490"/>
    <tableColumn id="71" xr3:uid="{E0C91472-88C9-4D32-BA58-0DA2E1674563}" name="P_Deficiency_kg/ha" dataDxfId="3489"/>
    <tableColumn id="72" xr3:uid="{D5B737A0-AA6B-47C8-B54C-040B9973D863}" name="K_deficiency_kg/ha" dataDxfId="3488"/>
    <tableColumn id="73" xr3:uid="{1BFE9C3C-8A2B-4087-825D-9DD815C9D284}" name="Sowing_Start_Season" dataDxfId="3487"/>
    <tableColumn id="74" xr3:uid="{97D4ACA0-B4B3-4A76-8051-BBD9329D001A}" name="Sowing_End_Season" dataDxfId="3486"/>
    <tableColumn id="75" xr3:uid="{6594359A-8A50-40F0-BD71-20954CEFCE15}" name="Sand" dataDxfId="3485"/>
    <tableColumn id="76" xr3:uid="{3EDF8B3E-561B-41F0-A027-DAD8479AD75A}" name="Loamy Sand" dataDxfId="3484"/>
    <tableColumn id="77" xr3:uid="{446BCFDD-55D6-4DC5-833B-3982CEC585A1}" name="Sandy Loam" dataDxfId="3483"/>
    <tableColumn id="78" xr3:uid="{1021069C-0BD9-40B0-8C32-84D62B9A4290}" name="Loam" dataDxfId="3482"/>
    <tableColumn id="79" xr3:uid="{108D8FBA-038F-4FA5-8D36-15C357E514FC}" name="Silt Loam" dataDxfId="3481"/>
    <tableColumn id="80" xr3:uid="{23FF62C5-F226-4971-AB16-934E83B59345}" name="Clay Loam" dataDxfId="3480"/>
    <tableColumn id="81" xr3:uid="{7485CC63-BF27-4FF9-80E9-C328F8A2DE20}" name="Silt" dataDxfId="3479"/>
    <tableColumn id="82" xr3:uid="{0C058F29-4D04-4C48-9115-9B7D95B8015C}" name="Sandy Clay" dataDxfId="3478"/>
    <tableColumn id="83" xr3:uid="{7C198776-9BAC-417E-8D60-44F2F1FF9B4C}" name="Silty Clay Loam" dataDxfId="3477"/>
    <tableColumn id="84" xr3:uid="{3E904BBB-AFEC-4F0B-B384-F21E9CF47651}" name="Silty Clay" dataDxfId="3476"/>
    <tableColumn id="85" xr3:uid="{95320CE7-5A23-44D1-8E36-916156581FA4}" name="Clay" dataDxfId="3475"/>
    <tableColumn id="86" xr3:uid="{47041B42-3B46-422D-B016-538891EB1333}" name="Sandy Clay Loam" dataDxfId="347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0DE81D9-1FF2-48ED-AD9F-261D8BDC0B5C}" name="CropNorms_ChickpeaKabuli" displayName="CropNorms_ChickpeaKabuli" ref="B85:CL88" totalsRowShown="0" headerRowDxfId="3473" dataDxfId="3471" headerRowBorderDxfId="3472" tableBorderDxfId="3470">
  <tableColumns count="89">
    <tableColumn id="1" xr3:uid="{301C28A7-B095-4FFC-A4E1-D435EE32B014}" name="Crop_Name" dataDxfId="3469"/>
    <tableColumn id="2" xr3:uid="{94709C99-4084-4AFD-9380-41960423C62D}" name="Variety_Name" dataDxfId="3468"/>
    <tableColumn id="3" xr3:uid="{2D7908E0-DA08-4316-B94A-BDEA374038F1}" name="Variety_Type" dataDxfId="3467"/>
    <tableColumn id="4" xr3:uid="{6AA9CF2C-C7B0-43DE-A3A3-A3FE847070A2}" name="Height_Class" dataDxfId="3466"/>
    <tableColumn id="5" xr3:uid="{6FAE627E-9CDB-48CB-8CF2-693E79DAAB72}" name="Height_cm" dataDxfId="3465"/>
    <tableColumn id="6" xr3:uid="{3154BC55-380F-4974-8BB6-89EFFDC718DD}" name="Nutrient_Content" dataDxfId="3464"/>
    <tableColumn id="7" xr3:uid="{8C300EA4-5DE2-422C-BB59-7F7961ACEA1B}" name="Common_Disease_Tolerance" dataDxfId="3463"/>
    <tableColumn id="8" xr3:uid="{8703339E-117A-44C8-B72D-F68417C42ABD}" name="Common_Pest_Tolerance" dataDxfId="3462"/>
    <tableColumn id="9" xr3:uid="{23060748-B9AE-4359-A5A3-23BA5C741FC4}" name="Environmental_Resilience" dataDxfId="3461"/>
    <tableColumn id="10" xr3:uid="{5D682D1F-3BDA-4C20-8852-209E3D59EC7E}" name="Category" dataDxfId="3460"/>
    <tableColumn id="11" xr3:uid="{24B493B5-41FF-428B-89FA-2D40E2B7646A}" name="Country" dataDxfId="3459"/>
    <tableColumn id="12" xr3:uid="{63A6BFAD-63FD-4E91-92AE-A6FB3F8F2B75}" name="Season" dataDxfId="3458"/>
    <tableColumn id="13" xr3:uid="{D77A61A9-E24B-4F5E-8772-0123F4120A1F}" name="PAR" dataDxfId="3457"/>
    <tableColumn id="14" xr3:uid="{D3F07DEF-72FB-42BB-AD95-BEFC0739074F}" name="Region" dataDxfId="3456"/>
    <tableColumn id="15" xr3:uid="{6F2C0CAE-07A1-4C2D-B8F9-2F70E2C7F2C3}" name="Seed_Weight_mg" dataDxfId="3455"/>
    <tableColumn id="16" xr3:uid="{E9FD8BF7-198F-47C2-A919-2C418FA8BAD1}" name="Crop_Min_Temp" dataDxfId="3454"/>
    <tableColumn id="17" xr3:uid="{C3587F13-8B37-4758-B470-36EB8EDF447D}" name="Base_Temp" dataDxfId="3453"/>
    <tableColumn id="18" xr3:uid="{BF317C3C-77E7-4234-A5B8-AECEC2CF8B55}" name="Opt._Temp" dataDxfId="3452"/>
    <tableColumn id="19" xr3:uid="{9DD419FA-DA6E-4698-AB05-CCA98610CA8D}" name="Upper_Temp" dataDxfId="3451"/>
    <tableColumn id="89" xr3:uid="{5CB2A792-7E6A-4657-92E4-25906BA2723B}" name="Loss / Degree" dataDxfId="3450"/>
    <tableColumn id="20" xr3:uid="{B430F00F-0B58-4607-800A-B9DB0CC21D9B}" name="Min_Days" dataDxfId="3449"/>
    <tableColumn id="21" xr3:uid="{1679BCA9-2F92-4C2D-BDF6-72289AC63CB4}" name="Max_Days" dataDxfId="3448"/>
    <tableColumn id="22" xr3:uid="{4A399DAD-DD7F-4A1E-AAEA-7EAE810F2A88}" name="Ripening_S_GDD" dataDxfId="3447">
      <calculatedColumnFormula>_xlfn.XLOOKUP("Ripening", CropPhenology_ChickpeaKabuli[Main_Stage], CropPhenology_ChickpeaKabuli[Start_GDD], "Not Found")</calculatedColumnFormula>
    </tableColumn>
    <tableColumn id="23" xr3:uid="{556466AA-78AF-4006-82EE-E2BDB17D7C46}" name="Ripening_E_GDD" dataDxfId="3446">
      <calculatedColumnFormula array="1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calculatedColumnFormula>
    </tableColumn>
    <tableColumn id="24" xr3:uid="{A42933A4-BB05-4C8C-94A6-778C59DC3DC0}" name="Avg. Daily GDD" dataDxfId="3445">
      <calculatedColumnFormula>MIN(Y86/V86,MAX(X86/W86,R86,(X86/W86+Y86/V86)/2))</calculatedColumnFormula>
    </tableColumn>
    <tableColumn id="25" xr3:uid="{1C06EB52-8B0F-4170-A44E-5A37840CF8AC}" name="Days_to_Ripening" dataDxfId="3444">
      <calculatedColumnFormula>Y86/Z86</calculatedColumnFormula>
    </tableColumn>
    <tableColumn id="26" xr3:uid="{EFB7CB6E-7D8D-4E93-B9B5-8FFB8B34E25D}" name="Sunshine" dataDxfId="3443"/>
    <tableColumn id="27" xr3:uid="{F234F338-0CF9-44CA-8B9F-F3334E72C2AB}" name="Soil_Temp_Min" dataDxfId="3442"/>
    <tableColumn id="28" xr3:uid="{882150B1-3E39-4DB2-AB51-A91460D05DD6}" name="VPA_Max" dataDxfId="3441"/>
    <tableColumn id="29" xr3:uid="{CB8AF7F8-A2DD-4461-9181-72248B798BC9}" name="Humidity_Max" dataDxfId="3440"/>
    <tableColumn id="30" xr3:uid="{316882C2-E347-40C9-83A5-E831A2E4C308}" name="Dew_Point_Min" dataDxfId="3439"/>
    <tableColumn id="31" xr3:uid="{66EC4393-4144-4B1D-A132-AC7372513483}" name="WS_2m_Max" dataDxfId="3438"/>
    <tableColumn id="32" xr3:uid="{F43A2186-0827-4009-A91C-748C401A3101}" name="GDD_Adjust" dataDxfId="3437">
      <calculatedColumnFormula>IFERROR((Y86-X86)/AA86,0)</calculatedColumnFormula>
    </tableColumn>
    <tableColumn id="33" xr3:uid="{C2AB4D9B-200E-402B-B31D-E504A0802A35}" name="pH_Min" dataDxfId="3436"/>
    <tableColumn id="34" xr3:uid="{A6FF4B94-6C82-479D-A4B4-20F894FD8EC2}" name="pH_Max" dataDxfId="3435"/>
    <tableColumn id="87" xr3:uid="{88DA9AE9-ECA2-4C3B-8807-B28E5B57DAC3}" name="ECt" dataDxfId="3434"/>
    <tableColumn id="88" xr3:uid="{227CA742-344C-4B78-B40A-04C82C59C4FD}" name="Slope" dataDxfId="3433"/>
    <tableColumn id="35" xr3:uid="{E8D19B59-EBF8-4B55-AC35-8FD80381354E}" name="CWR_Min" dataDxfId="3432"/>
    <tableColumn id="36" xr3:uid="{0CF9F78C-7FD7-4E3C-AC36-F205D83E836A}" name="CWR_Max" dataDxfId="3431"/>
    <tableColumn id="37" xr3:uid="{00CD4665-D3DA-4C47-A3C6-8E7033247703}" name="Sowing_Depth_cm" dataDxfId="3430"/>
    <tableColumn id="38" xr3:uid="{A83E15EB-3E49-4403-BBC5-9F7BF95E27B6}" name="Root_Depth_cm" dataDxfId="3429"/>
    <tableColumn id="39" xr3:uid="{6244512F-9A44-4E49-BFD2-476F991A8882}" name="Stress_Tolerance_Index" dataDxfId="3428"/>
    <tableColumn id="40" xr3:uid="{956FA7F8-9B3D-462B-8498-9281C9C1B838}" name="Row_Spacing_cm" dataDxfId="3427"/>
    <tableColumn id="41" xr3:uid="{EB5B8FDC-CA2D-4CA9-8D52-DA1822865151}" name="Plant_to_Plant_cm" dataDxfId="3426"/>
    <tableColumn id="42" xr3:uid="{BC19C43D-94E4-427E-925B-42A10D631D5F}" name="Seed_Per_Spot" dataDxfId="3425"/>
    <tableColumn id="43" xr3:uid="{410FBCA6-A875-4489-9913-6750697E7D62}" name="Seed_Rate_m2" dataDxfId="3424">
      <calculatedColumnFormula>IFERROR(10000/(AS86*AR86),0)*AT86</calculatedColumnFormula>
    </tableColumn>
    <tableColumn id="44" xr3:uid="{51E137D7-6E04-4331-8250-60289A4D71E6}" name="Seed_Weight_kg/ha" dataDxfId="3423">
      <calculatedColumnFormula>ROUND((P86/1000000)*AU86*10000,2)</calculatedColumnFormula>
    </tableColumn>
    <tableColumn id="45" xr3:uid="{8F7A0AFA-2DAD-4629-92F4-5EF30BCE8D10}" name="Germination_%" dataDxfId="3422"/>
    <tableColumn id="46" xr3:uid="{2241C728-F210-4B18-BEA3-DE8B86317FDB}" name="Effective_Plants_m2" dataDxfId="3421">
      <calculatedColumnFormula>IFERROR((AU86*AW86/100),0)</calculatedColumnFormula>
    </tableColumn>
    <tableColumn id="47" xr3:uid="{65A95026-CAA3-4EDC-83D7-97A0FDF6ACCD}" name="Tillers_Per_Plant" dataDxfId="3420"/>
    <tableColumn id="48" xr3:uid="{CBD5EB59-2FA7-46D3-BB12-B79B2F1A12D4}" name="Shoots_Per_m2" dataDxfId="3419">
      <calculatedColumnFormula>IFERROR(AX86*AY86,0)</calculatedColumnFormula>
    </tableColumn>
    <tableColumn id="49" xr3:uid="{55570023-E614-444E-865B-F540A3D27AFB}" name="Survival_Ratio" dataDxfId="3418"/>
    <tableColumn id="50" xr3:uid="{85B0D527-8EF0-4903-8314-4FA8C7EF6782}" name="Shoot_Bearing_m2" dataDxfId="3417">
      <calculatedColumnFormula>IFERROR(AZ86*BA86,0)</calculatedColumnFormula>
    </tableColumn>
    <tableColumn id="51" xr3:uid="{AEB5C64B-DFC4-498D-BE01-80FE24023C63}" name="Leaf_Area_Per_Shoot_m2" dataDxfId="3416"/>
    <tableColumn id="52" xr3:uid="{9DA600B6-977D-4F66-9918-2252F82F4BBE}" name="Start_LAI" dataDxfId="3415">
      <calculatedColumnFormula>IFERROR(
  MAX(0.05, MIN(0.5, CropNorms_ChickpeaKabuli[[#This Row],[Leaf_Area_Per_Shoot_m2]] * CropNorms_ChickpeaKabuli[[#This Row],[Shoot_Bearing_m2]] )),
  0.2
)</calculatedColumnFormula>
    </tableColumn>
    <tableColumn id="53" xr3:uid="{97190657-A2F2-4D60-819E-4CCABE6EF2CB}" name="LAI_Start_GDD" dataDxfId="3414">
      <calculatedColumnFormula>_xlfn.XLOOKUP(CropNorms_ChickpeaKabuli[[#This Row],[LAI_Start_BBCH]], CropPhenology_ChickpeaKabuli[Sub_Stage], CropPhenology_ChickpeaKabuli[Start_GDD], "Not Found")</calculatedColumnFormula>
    </tableColumn>
    <tableColumn id="54" xr3:uid="{C6CE3F12-D03E-496F-97B8-A5112073808D}" name="Max_LAI" dataDxfId="3413">
      <calculatedColumnFormula>ROUND(CropNorms_ChickpeaKabuli[[#This Row],[Shoot_Bearing_m2]]*CropNorms_ChickpeaKabuli[[#This Row],[Leaf_Area_Per_Shoot_m2]],2)</calculatedColumnFormula>
    </tableColumn>
    <tableColumn id="55" xr3:uid="{BD219629-CE6E-428E-AEF7-F71371387DF8}" name="LAI_Max_GDD" dataDxfId="3412">
      <calculatedColumnFormula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calculatedColumnFormula>
    </tableColumn>
    <tableColumn id="56" xr3:uid="{6D0AD974-4463-4F1D-BC47-0240B2A666EC}" name="End_LAI" dataDxfId="3411">
      <calculatedColumnFormula>IF(CropNorms_ChickpeaKabuli[[#This Row],[Max_LAI]]&gt;=1.2, 0.85*CropNorms_ChickpeaKabuli[[#This Row],[Max_LAI]], 1)</calculatedColumnFormula>
    </tableColumn>
    <tableColumn id="57" xr3:uid="{C0173B17-7A02-4549-9794-8BAC516AAEB4}" name="LAI_End_GDD" dataDxfId="3410">
      <calculatedColumnFormula>_xlfn.XLOOKUP(CropNorms_ChickpeaKabuli[[#This Row],[LAI_End_BBCH]], CropPhenology_ChickpeaKabuli[Sub_Stage], CropPhenology_ChickpeaKabuli[End_GDD], "Not Found")</calculatedColumnFormula>
    </tableColumn>
    <tableColumn id="58" xr3:uid="{4C35C08B-8B97-48DE-97A3-38F9E73BB5FD}" name="RUE_Max" dataDxfId="3409">
      <calculatedColumnFormula array="1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AA0E050D-CBD6-4BDA-AC10-A8DC3E333023}" name="RUE_Asymptote_Frac" dataDxfId="3408">
      <calculatedColumnFormula array="1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6AAB0B9-F931-4C9B-A7BD-F7BEAD4C1FB5}" name="RUE_LAI_Half_Sat" dataDxfId="3407">
      <calculatedColumnFormula array="1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95D23C3-D88E-4F3B-A391-DE4E8E8E628F}" name="RUE_Daily_Delta_Max" dataDxfId="3406">
      <calculatedColumnFormula array="1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8374C65-9C1F-475C-9EB4-2037490E2554}" name="HI" dataDxfId="3405"/>
    <tableColumn id="63" xr3:uid="{F4A75F89-6EA9-4BFC-B68C-0BAE655F2BFC}" name="DM:FM" dataDxfId="3404"/>
    <tableColumn id="64" xr3:uid="{AAFFE91D-F79D-4A38-9938-3FE7AD2E1A5F}" name="Yield_t/ha" dataDxfId="3403"/>
    <tableColumn id="65" xr3:uid="{DA06C06E-4BAE-4936-993E-1730BE2D2FF3}" name="Yield_Type" dataDxfId="3402"/>
    <tableColumn id="66" xr3:uid="{2D0CC1EA-2604-432A-8AE0-2D7CBAAEEB3B}" name="LAI_Start_BBCH" dataDxfId="3401">
      <calculatedColumnFormula array="1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911F84D-FE02-4F09-8302-7605033674BD}" name="LAI_Max_BBCH" dataDxfId="3400">
      <calculatedColumnFormula array="1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2F36F4F-3F3F-4D1F-98C0-8EB486EC3E81}" name="LAI_End_BBCH" dataDxfId="3399">
      <calculatedColumnFormula array="1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151D170-583A-4DF1-BEB4-74731FC7C21E}" name="Fruiting_Start_BBCH" dataDxfId="3398">
      <calculatedColumnFormula array="1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E6577D09-444D-4BE9-9F02-B26CA5B34CDC}" name="N_Deficiency_kg/ha" dataDxfId="3397"/>
    <tableColumn id="71" xr3:uid="{E230796A-E202-4F5E-8DA6-645F20E21DA6}" name="P_Deficiency_kg/ha" dataDxfId="3396"/>
    <tableColumn id="72" xr3:uid="{3A00A8E4-1FF0-4ECD-8E92-48CE350A9343}" name="K_deficiency_kg/ha" dataDxfId="3395"/>
    <tableColumn id="73" xr3:uid="{A7F1634E-E59D-4D18-9380-CE8A9397F62F}" name="Sowing_Start_Season" dataDxfId="3394"/>
    <tableColumn id="74" xr3:uid="{8C0B400D-35FE-4B7B-BCFA-7C3994212B1C}" name="Sowing_End_Season" dataDxfId="3393"/>
    <tableColumn id="75" xr3:uid="{ECE25642-54A1-41CE-8BD0-F79F19DE8128}" name="Sand" dataDxfId="3392"/>
    <tableColumn id="76" xr3:uid="{B579ABF2-3F79-469A-9B0E-88E3F0DD2191}" name="Loamy Sand" dataDxfId="3391"/>
    <tableColumn id="77" xr3:uid="{0DF403D9-492B-477A-9FC4-32AA01FE553E}" name="Sandy Loam" dataDxfId="3390"/>
    <tableColumn id="78" xr3:uid="{5D856889-FC3A-4451-BBFA-3C56FD0442C2}" name="Loam" dataDxfId="3389"/>
    <tableColumn id="79" xr3:uid="{84F116A4-79AD-4103-B44F-250DACE5CE33}" name="Silt Loam" dataDxfId="3388"/>
    <tableColumn id="80" xr3:uid="{39F051B4-AFBC-42F5-B750-42AA86D976F0}" name="Clay Loam" dataDxfId="3387"/>
    <tableColumn id="81" xr3:uid="{E51635E9-A672-4DF7-B44E-D1181F1781CF}" name="Silt" dataDxfId="3386"/>
    <tableColumn id="82" xr3:uid="{7C9A39D6-762A-4219-AA91-D0CBF2475021}" name="Sandy Clay" dataDxfId="3385"/>
    <tableColumn id="83" xr3:uid="{733A3597-960D-4CF4-A404-7D500608827B}" name="Silty Clay Loam" dataDxfId="3384"/>
    <tableColumn id="84" xr3:uid="{CEB034FA-CED2-45ED-AF17-05633B678661}" name="Silty Clay" dataDxfId="3383"/>
    <tableColumn id="85" xr3:uid="{00205008-B7C8-49E8-BB43-94D1971E30A6}" name="Clay" dataDxfId="3382"/>
    <tableColumn id="86" xr3:uid="{9D22DA98-806F-455A-9843-4B7B227F3C30}" name="Sandy Clay Loam" dataDxfId="338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40C42DC-35FE-4908-933B-DE9E53FD8525}" name="CropNorms_CorianderSeed" displayName="CropNorms_CorianderSeed" ref="B90:CL93" totalsRowShown="0" headerRowDxfId="3380" dataDxfId="3378" headerRowBorderDxfId="3379" tableBorderDxfId="3377">
  <tableColumns count="89">
    <tableColumn id="1" xr3:uid="{A8E68D19-83FE-42AA-828E-F491DF13001E}" name="Crop_Name" dataDxfId="3376"/>
    <tableColumn id="2" xr3:uid="{3EF589F3-2A42-47AC-BBD4-840F76EB42F2}" name="Variety_Name" dataDxfId="3375"/>
    <tableColumn id="3" xr3:uid="{A17F2BCB-C1E1-4D67-AFF3-07D659FC163F}" name="Variety_Type" dataDxfId="3374"/>
    <tableColumn id="4" xr3:uid="{FD77ED7E-800B-4A58-9706-23434DC6C604}" name="Height_Class" dataDxfId="3373"/>
    <tableColumn id="5" xr3:uid="{87D903A5-BEAC-4E56-BDC2-505CF9826570}" name="Height_cm" dataDxfId="3372"/>
    <tableColumn id="6" xr3:uid="{95B49214-B51F-4615-8B2E-56B9B349EB2F}" name="Nutrient_Content" dataDxfId="3371"/>
    <tableColumn id="7" xr3:uid="{D6E2AF2D-E1ED-45FD-8B3E-DE7307124284}" name="Common_Disease_Tolerance" dataDxfId="3370"/>
    <tableColumn id="8" xr3:uid="{E96423F6-B39B-4B08-AF14-EF274973DE9B}" name="Common_Pest_Tolerance" dataDxfId="3369"/>
    <tableColumn id="9" xr3:uid="{EB5ACEE5-F8F0-4102-84AA-0AA84907D198}" name="Environmental_Resilience" dataDxfId="3368"/>
    <tableColumn id="10" xr3:uid="{884AFED6-F22E-491E-8424-E1378EE007B8}" name="Category" dataDxfId="3367"/>
    <tableColumn id="11" xr3:uid="{EA43B8CE-47FF-412E-91A4-0D387337675E}" name="Country" dataDxfId="3366"/>
    <tableColumn id="12" xr3:uid="{FCA21A0B-9894-4188-B559-ADB89CC408AF}" name="Season" dataDxfId="3365"/>
    <tableColumn id="13" xr3:uid="{BB476012-E3F0-4F99-9F96-E44BD0CF5EE7}" name="PAR" dataDxfId="3364"/>
    <tableColumn id="14" xr3:uid="{ADF7C4FD-CEF8-42ED-A3CE-4ADF59156D07}" name="Region" dataDxfId="3363"/>
    <tableColumn id="15" xr3:uid="{6B1B61BD-CC79-4879-9C7C-3853DA1B1C20}" name="Seed_Weight_mg" dataDxfId="3362"/>
    <tableColumn id="16" xr3:uid="{5E4B2ABF-CDC2-454E-9F72-C4A3B5792A7E}" name="Crop_Min_Temp" dataDxfId="3361"/>
    <tableColumn id="17" xr3:uid="{3F3488BE-6D22-4F26-91E7-648FD21EE7A3}" name="Base_Temp" dataDxfId="3360"/>
    <tableColumn id="18" xr3:uid="{C94AB490-30D6-421A-A014-D9AC422DF610}" name="Opt._Temp" dataDxfId="3359"/>
    <tableColumn id="19" xr3:uid="{C9487DE7-86BF-4A13-9DC2-C6CC5FF4B811}" name="Upper_Temp" dataDxfId="3358"/>
    <tableColumn id="89" xr3:uid="{842ADCC5-047A-4D03-9706-37B66BD80BDE}" name="Loss / Degree" dataDxfId="3357"/>
    <tableColumn id="20" xr3:uid="{CE70098B-B9B0-4016-BBC9-4D355AB58B00}" name="Min_Days" dataDxfId="3356"/>
    <tableColumn id="21" xr3:uid="{7FE13B83-2340-433A-B8C6-08AF12340A32}" name="Max_Days" dataDxfId="3355"/>
    <tableColumn id="22" xr3:uid="{DE111AB2-5293-43BD-9883-0904327D34BA}" name="Ripening_S_GDD" dataDxfId="3354">
      <calculatedColumnFormula>_xlfn.XLOOKUP("Ripening", CropPhenology_CorianderSeed[Main_Stage], CropPhenology_CorianderSeed[Start_GDD], "Not Found")</calculatedColumnFormula>
    </tableColumn>
    <tableColumn id="23" xr3:uid="{C5D9160D-E4D4-43D6-AC38-8CE6C49FFCE4}" name="Ripening_E_GDD" dataDxfId="3353">
      <calculatedColumnFormula array="1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calculatedColumnFormula>
    </tableColumn>
    <tableColumn id="24" xr3:uid="{4899968D-E26E-4B9D-8FC6-DDD21F30AF24}" name="Avg. Daily GDD" dataDxfId="3352">
      <calculatedColumnFormula>MIN(Y91/V91,MAX(X91/W91,R91,(X91/W91+Y91/V91)/2))</calculatedColumnFormula>
    </tableColumn>
    <tableColumn id="25" xr3:uid="{451FA397-AA81-4C71-85A9-1B17D74B2515}" name="Days_to_Ripening" dataDxfId="3351">
      <calculatedColumnFormula>Y91/Z91</calculatedColumnFormula>
    </tableColumn>
    <tableColumn id="26" xr3:uid="{AC4D5B41-4DC9-4A4C-9FD4-DBCBC2DF85F8}" name="Sunshine" dataDxfId="3350"/>
    <tableColumn id="27" xr3:uid="{A4D45159-B866-435C-AE4C-047EE723035D}" name="Soil_Temp_Min" dataDxfId="3349"/>
    <tableColumn id="28" xr3:uid="{0929CACA-3CEE-4DD6-A2D9-5AC62C5060C4}" name="VPA_Max" dataDxfId="3348"/>
    <tableColumn id="29" xr3:uid="{57BE3D20-7D0D-4A49-ABA1-A008D01EB05A}" name="Humidity_Max" dataDxfId="3347"/>
    <tableColumn id="30" xr3:uid="{171A1F8B-4905-4349-B01D-326523F7C6FB}" name="Dew_Point_Min" dataDxfId="3346"/>
    <tableColumn id="31" xr3:uid="{C71C353F-317E-44FC-A326-AB57C6C591E6}" name="WS_2m_Max" dataDxfId="3345"/>
    <tableColumn id="32" xr3:uid="{9BC9FA5E-0C15-48A2-AE5C-8BC3498DAFF5}" name="GDD_Adjust" dataDxfId="3344">
      <calculatedColumnFormula>IFERROR((Y91-X91)/AA91,0)</calculatedColumnFormula>
    </tableColumn>
    <tableColumn id="33" xr3:uid="{F619500F-3E62-4D7F-B8F6-609E4EDF5CCF}" name="pH_Min" dataDxfId="3343"/>
    <tableColumn id="34" xr3:uid="{0301FCDB-A540-4152-B15F-7105606220D2}" name="pH_Max" dataDxfId="3342"/>
    <tableColumn id="87" xr3:uid="{3A9A354A-1800-4F74-9B53-234692A8F6C5}" name="ECt" dataDxfId="3341"/>
    <tableColumn id="88" xr3:uid="{5BCDFB5A-9912-47BE-B800-4E0BA2284FE2}" name="Slope" dataDxfId="3340"/>
    <tableColumn id="35" xr3:uid="{18DD9606-1B74-4C6D-85A2-B66DE122DF41}" name="CWR_Min" dataDxfId="3339"/>
    <tableColumn id="36" xr3:uid="{D59B5713-3936-4C2C-9BC9-A85079CCB4AD}" name="CWR_Max" dataDxfId="3338"/>
    <tableColumn id="37" xr3:uid="{787CFF10-A98B-478B-8575-A166B990B9B7}" name="Sowing_Depth_cm" dataDxfId="3337"/>
    <tableColumn id="38" xr3:uid="{949ECC66-88FB-4F9D-8C24-FEFF70A138AC}" name="Root_Depth_cm" dataDxfId="3336"/>
    <tableColumn id="39" xr3:uid="{AABD4205-F323-4921-9E5B-91F1AFB9E1FC}" name="Stress_Tolerance_Index" dataDxfId="3335"/>
    <tableColumn id="40" xr3:uid="{76678326-73FC-4378-A01A-E80BDD69B5B8}" name="Row_Spacing_cm" dataDxfId="3334"/>
    <tableColumn id="41" xr3:uid="{303612C2-ADA7-4486-B9F2-A6C2E8509FC7}" name="Plant_to_Plant_cm" dataDxfId="3333"/>
    <tableColumn id="42" xr3:uid="{0CD7B23B-6A7F-49DB-898F-AF38F13BDA0C}" name="Seed_Per_Spot" dataDxfId="3332"/>
    <tableColumn id="43" xr3:uid="{C6A443A9-AB86-47E2-BC4E-6C24FB9BDAD1}" name="Seed_Rate_m2" dataDxfId="3331">
      <calculatedColumnFormula>IFERROR(10000/(AS91*AR91),0)*AT91</calculatedColumnFormula>
    </tableColumn>
    <tableColumn id="44" xr3:uid="{36D3703A-C5D3-4385-B173-66C6C2B37FCB}" name="Seed_Weight_kg/ha" dataDxfId="3330">
      <calculatedColumnFormula>ROUND((P91/1000000)*AU91*10000,2)</calculatedColumnFormula>
    </tableColumn>
    <tableColumn id="45" xr3:uid="{35F8C44B-027D-403E-8803-19A15EF7196F}" name="Germination_%" dataDxfId="3329"/>
    <tableColumn id="46" xr3:uid="{AC0FC3D0-DFC9-41B7-8A8D-92BC5350CE26}" name="Effective_Plants_m2" dataDxfId="3328">
      <calculatedColumnFormula>IFERROR((AU91*AW91/100),0)</calculatedColumnFormula>
    </tableColumn>
    <tableColumn id="47" xr3:uid="{36E2B844-BED7-4322-98F4-951A6B27C799}" name="Tillers_Per_Plant" dataDxfId="3327"/>
    <tableColumn id="48" xr3:uid="{A9C80E5F-0E34-44D9-BAB4-749F930DA8E0}" name="Shoots_Per_m2" dataDxfId="3326">
      <calculatedColumnFormula>IFERROR(AX91*AY91,0)</calculatedColumnFormula>
    </tableColumn>
    <tableColumn id="49" xr3:uid="{DB857B53-439B-4377-97B8-90B70DB7F021}" name="Survival_Ratio" dataDxfId="3325"/>
    <tableColumn id="50" xr3:uid="{53D5BB08-0BBA-49C8-8F5A-0C2D5F388789}" name="Shoot_Bearing_m2" dataDxfId="3324">
      <calculatedColumnFormula>IFERROR(AZ91*BA91,0)</calculatedColumnFormula>
    </tableColumn>
    <tableColumn id="51" xr3:uid="{63C78B17-ED5E-45A1-B419-1A654EE14DF1}" name="Leaf_Area_Per_Shoot_m2" dataDxfId="3323"/>
    <tableColumn id="52" xr3:uid="{F085EB4D-057B-4F5D-B8B7-11A660A92085}" name="Start_LAI" dataDxfId="3322">
      <calculatedColumnFormula>IFERROR(
  MAX(0.05, MIN(0.5, CropNorms_CorianderSeed[[#This Row],[Leaf_Area_Per_Shoot_m2]] * CropNorms_CorianderSeed[[#This Row],[Shoot_Bearing_m2]] )),
  0.2
)</calculatedColumnFormula>
    </tableColumn>
    <tableColumn id="53" xr3:uid="{A0FA7D81-D8B0-41BB-B53C-E4F109E06FA2}" name="LAI_Start_GDD" dataDxfId="3321">
      <calculatedColumnFormula>_xlfn.XLOOKUP(CropNorms_CorianderSeed[[#This Row],[LAI_Start_BBCH]], CropPhenology_CorianderSeed[Sub_Stage], CropPhenology_CorianderSeed[Start_GDD], "Not Found")</calculatedColumnFormula>
    </tableColumn>
    <tableColumn id="54" xr3:uid="{97AE4A6F-6F60-4077-B652-A57DD7DD10D3}" name="Max_LAI" dataDxfId="3320">
      <calculatedColumnFormula>ROUND(CropNorms_CorianderSeed[[#This Row],[Shoot_Bearing_m2]]*CropNorms_CorianderSeed[[#This Row],[Leaf_Area_Per_Shoot_m2]],2)</calculatedColumnFormula>
    </tableColumn>
    <tableColumn id="55" xr3:uid="{63524DAB-1CC8-4DAC-A891-44F92BFC01C1}" name="LAI_Max_GDD" dataDxfId="3319">
      <calculatedColumnFormula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calculatedColumnFormula>
    </tableColumn>
    <tableColumn id="56" xr3:uid="{97DE0DD6-D29B-428C-BBFB-00E2B770E3C4}" name="End_LAI" dataDxfId="3318">
      <calculatedColumnFormula>IF(CropNorms_CorianderSeed[[#This Row],[Max_LAI]]&gt;=1.2, 0.85*CropNorms_CorianderSeed[[#This Row],[Max_LAI]], 1)</calculatedColumnFormula>
    </tableColumn>
    <tableColumn id="57" xr3:uid="{D0E39F3C-809E-4B15-AB73-66A36DBF1DA5}" name="LAI_End_GDD" dataDxfId="3317">
      <calculatedColumnFormula>_xlfn.XLOOKUP(CropNorms_CorianderSeed[[#This Row],[LAI_End_BBCH]], CropPhenology_CorianderSeed[Sub_Stage], CropPhenology_CorianderSeed[End_GDD], "Not Found")</calculatedColumnFormula>
    </tableColumn>
    <tableColumn id="58" xr3:uid="{D7BE64C7-D7F0-4786-B5C1-108CD83A4153}" name="RUE_Max" dataDxfId="3316">
      <calculatedColumnFormula array="1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DEDF0E6-1FBB-4D1A-8B09-49C8DF7FCBA1}" name="RUE_Asymptote_Frac" dataDxfId="3315">
      <calculatedColumnFormula array="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91693EA-0A77-49D2-B8DE-61E6156E2F87}" name="RUE_LAI_Half_Sat" dataDxfId="3314">
      <calculatedColumnFormula array="1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EE56E572-47C0-467A-B356-C3AEA61F2B71}" name="RUE_Daily_Delta_Max" dataDxfId="3313">
      <calculatedColumnFormula array="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4BC4E9D-6FFE-490D-A135-387E1D9E3A1E}" name="HI" dataDxfId="3312"/>
    <tableColumn id="63" xr3:uid="{0A1A736A-CEBB-43CA-8FAE-07325AED8CFF}" name="DM:FM" dataDxfId="3311"/>
    <tableColumn id="64" xr3:uid="{300D2A39-45B7-448D-90B0-128743087082}" name="Yield_t/ha" dataDxfId="3310"/>
    <tableColumn id="65" xr3:uid="{E170761F-8748-4FD7-8C28-00A010BC880F}" name="Yield_Type" dataDxfId="3309"/>
    <tableColumn id="66" xr3:uid="{1405B134-987D-4F8B-A213-D74F4843F348}" name="LAI_Start_BBCH" dataDxfId="3308">
      <calculatedColumnFormula array="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C39DD8A-DEBC-409F-84CE-D60144A9E9E7}" name="LAI_Max_BBCH" dataDxfId="3307">
      <calculatedColumnFormula array="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1C8A0973-29CB-418D-9E47-21556E84491D}" name="LAI_End_BBCH" dataDxfId="3306">
      <calculatedColumnFormula array="1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7A363C0-CC45-4655-AC04-2FC41AFA85AC}" name="Fruiting_Start_BBCH" dataDxfId="3305">
      <calculatedColumnFormula array="1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0051B5D-FC2C-45DA-8425-333A0080BB5D}" name="N_Deficiency_kg/ha" dataDxfId="3304"/>
    <tableColumn id="71" xr3:uid="{58B09F7D-25AD-4634-A067-5E109C10D79D}" name="P_Deficiency_kg/ha" dataDxfId="3303"/>
    <tableColumn id="72" xr3:uid="{EE01D792-903D-47A1-9092-538394D73D08}" name="K_deficiency_kg/ha" dataDxfId="3302"/>
    <tableColumn id="73" xr3:uid="{5499F8A5-322B-46E3-B359-8387598E9ED9}" name="Sowing_Start_Season" dataDxfId="3301"/>
    <tableColumn id="74" xr3:uid="{9952D2C2-BE44-4AD5-991E-D59EA9B27592}" name="Sowing_End_Season" dataDxfId="3300"/>
    <tableColumn id="75" xr3:uid="{E6CDFBB8-DCF1-4177-858D-7CB100F903BE}" name="Sand" dataDxfId="3299"/>
    <tableColumn id="76" xr3:uid="{2DA52F8E-F2EB-43A2-AB94-AB1ED37575D7}" name="Loamy Sand" dataDxfId="3298"/>
    <tableColumn id="77" xr3:uid="{62F57FB8-D810-4481-B4FF-C129EF053EB9}" name="Sandy Loam" dataDxfId="3297"/>
    <tableColumn id="78" xr3:uid="{4355D3D9-40F2-41E9-9642-2955BDAF8853}" name="Loam" dataDxfId="3296"/>
    <tableColumn id="79" xr3:uid="{834EB4A9-E462-4C62-8F6A-E669B12FFE21}" name="Silt Loam" dataDxfId="3295"/>
    <tableColumn id="80" xr3:uid="{E66E1252-13C8-4B0E-B470-25B82C6696D4}" name="Clay Loam" dataDxfId="3294"/>
    <tableColumn id="81" xr3:uid="{B12D504B-5C8E-4A4B-837E-B116F994D59C}" name="Silt" dataDxfId="3293"/>
    <tableColumn id="82" xr3:uid="{20E37AA9-7946-44E9-B047-D044B3CA2B90}" name="Sandy Clay" dataDxfId="3292"/>
    <tableColumn id="83" xr3:uid="{92D4C08B-C68B-4607-B21A-E7748812A7B1}" name="Silty Clay Loam" dataDxfId="3291"/>
    <tableColumn id="84" xr3:uid="{29CB9576-4983-498E-94DF-E4D85E80DAFF}" name="Silty Clay" dataDxfId="3290"/>
    <tableColumn id="85" xr3:uid="{5A49D8B5-FD58-4B9A-8ADE-DFB5FE893A35}" name="Clay" dataDxfId="3289"/>
    <tableColumn id="86" xr3:uid="{97FBA8A8-575E-4BB0-99BA-14EFBB4F5798}" name="Sandy Clay Loam" dataDxfId="328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8D1CB5A-FA80-4EE1-A5CF-5025C465B8C5}" name="CropNorms_Cotton" displayName="CropNorms_Cotton" ref="B95:CL121" totalsRowShown="0" headerRowDxfId="3287" dataDxfId="3285" headerRowBorderDxfId="3286" tableBorderDxfId="3284">
  <tableColumns count="89">
    <tableColumn id="1" xr3:uid="{622495E4-CB96-4398-9F0C-2B909067C0AF}" name="Crop_Name" dataDxfId="3283"/>
    <tableColumn id="2" xr3:uid="{CCA0637C-C143-4510-B000-0EF037BCAC97}" name="Variety_Name" dataDxfId="3282"/>
    <tableColumn id="3" xr3:uid="{35FB9EBC-40F0-421D-BA50-076DC4474456}" name="Variety_Type" dataDxfId="3281"/>
    <tableColumn id="4" xr3:uid="{179FDBCA-B6DF-4A9D-A486-4657DC4B3203}" name="Height_Class" dataDxfId="3280"/>
    <tableColumn id="5" xr3:uid="{16FC3E4F-36B7-4122-A62A-72D7ECB2AFC9}" name="Height_cm" dataDxfId="3279"/>
    <tableColumn id="6" xr3:uid="{FED834BC-A4C5-42F9-83A0-8FCE266E8D58}" name="Nutrient_Content" dataDxfId="3278"/>
    <tableColumn id="7" xr3:uid="{C3EFB11E-2994-4947-B19D-7EA7C1C66ECE}" name="Common_Disease_Tolerance" dataDxfId="3277"/>
    <tableColumn id="8" xr3:uid="{9E8ED4CA-A414-4E8A-94C6-A44DAB35D825}" name="Common_Pest_Tolerance" dataDxfId="3276"/>
    <tableColumn id="9" xr3:uid="{88B0819C-9D6A-4EB5-8881-09E84AE574A4}" name="Environmental_Resilience" dataDxfId="3275"/>
    <tableColumn id="10" xr3:uid="{E2A3BC18-C49A-44BD-8EF5-9A09311C99E1}" name="Category" dataDxfId="3274"/>
    <tableColumn id="11" xr3:uid="{E71DD98B-6628-4310-8D09-E69F15A8E8E5}" name="Country" dataDxfId="3273"/>
    <tableColumn id="12" xr3:uid="{EF478FFC-AD4E-4896-87AF-2DAB9AB85699}" name="Season" dataDxfId="3272"/>
    <tableColumn id="13" xr3:uid="{F8D03DCB-4EED-4427-A531-8E81A6E1CA16}" name="PAR" dataDxfId="3271"/>
    <tableColumn id="14" xr3:uid="{8AEF6260-EB19-4385-B349-2A716627175E}" name="Region" dataDxfId="3270"/>
    <tableColumn id="15" xr3:uid="{BE6CA223-D225-4626-9D78-E8A8094FBF79}" name="Seed_Weight_mg" dataDxfId="3269"/>
    <tableColumn id="16" xr3:uid="{69DDCD0E-97B8-4521-9F99-24A30AF7D18D}" name="Crop_Min_Temp" dataDxfId="3268"/>
    <tableColumn id="17" xr3:uid="{CAA8F345-90B0-4866-AEB5-847628D52394}" name="Base_Temp" dataDxfId="3267"/>
    <tableColumn id="18" xr3:uid="{07EEFF14-4537-41AA-A1DA-5592C35BF5A5}" name="Opt._Temp" dataDxfId="3266"/>
    <tableColumn id="19" xr3:uid="{1411F606-FA7B-457E-8D68-1A9E2883B89A}" name="Upper_Temp" dataDxfId="3265"/>
    <tableColumn id="89" xr3:uid="{611CA7EA-A210-40A2-986B-297228C3F0E3}" name="Loss / Degree" dataDxfId="3264"/>
    <tableColumn id="20" xr3:uid="{6C3150B8-82B6-4F7E-966A-99B8A8B4FBEB}" name="Min_Days" dataDxfId="3263"/>
    <tableColumn id="21" xr3:uid="{20758B90-8151-49FC-A88F-685EBB3FEBA5}" name="Max_Days" dataDxfId="3262"/>
    <tableColumn id="22" xr3:uid="{A93EBD7D-7157-4A4E-AA12-72310CC61529}" name="Ripening_S_GDD" dataDxfId="3261">
      <calculatedColumnFormula>_xlfn.XLOOKUP("Ripening", CropPhenology_Cotton[Main_Stage], CropPhenology_Cotton[Start_GDD], "Not Found")</calculatedColumnFormula>
    </tableColumn>
    <tableColumn id="23" xr3:uid="{0088438A-EB2C-4AE3-962A-9936F4D26E68}" name="Ripening_E_GDD" dataDxfId="3260">
      <calculatedColumnFormula array="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calculatedColumnFormula>
    </tableColumn>
    <tableColumn id="24" xr3:uid="{BE503B22-7A93-4401-B5AB-DAC02D0E1F2C}" name="Avg. Daily GDD" dataDxfId="3259">
      <calculatedColumnFormula>MIN(Y96/V96,MAX(X96/W96,R96,(X96/W96+Y96/V96)/2))</calculatedColumnFormula>
    </tableColumn>
    <tableColumn id="25" xr3:uid="{CA93B087-C2A4-4861-8C21-B857FFEBE290}" name="Days_to_Ripening" dataDxfId="3258">
      <calculatedColumnFormula>Y96/Z96</calculatedColumnFormula>
    </tableColumn>
    <tableColumn id="26" xr3:uid="{0711AE2D-DD6B-4532-BB03-4309F63832EE}" name="Sunshine" dataDxfId="3257"/>
    <tableColumn id="27" xr3:uid="{59EDC6DA-EB43-4179-91C3-83CDC108A7DF}" name="Soil_Temp_Min" dataDxfId="3256"/>
    <tableColumn id="28" xr3:uid="{6D4700A0-3F62-414F-AEAA-B2035C496CC5}" name="VPA_Max" dataDxfId="3255"/>
    <tableColumn id="29" xr3:uid="{41CF82E2-7A62-4832-9E3E-FE738DCBD11A}" name="Humidity_Max" dataDxfId="3254"/>
    <tableColumn id="30" xr3:uid="{F0B45C4D-F947-4ADA-AA46-2D5C7003F1FC}" name="Dew_Point_Min" dataDxfId="3253"/>
    <tableColumn id="31" xr3:uid="{FD5F5457-EBEE-464E-88B5-CD99D22AC169}" name="WS_2m_Max" dataDxfId="3252"/>
    <tableColumn id="32" xr3:uid="{2D3E9620-C379-4BE5-A863-BAAF267A2121}" name="GDD_Adjust" dataDxfId="3251">
      <calculatedColumnFormula>IFERROR((Y96-X96)/AA96,0)</calculatedColumnFormula>
    </tableColumn>
    <tableColumn id="33" xr3:uid="{A3DA6DF5-9410-4F22-BE4D-E23D0AD6059A}" name="pH_Min" dataDxfId="3250"/>
    <tableColumn id="34" xr3:uid="{A0CFDA1E-B26F-4D2F-8630-932B39D475B7}" name="pH_Max" dataDxfId="3249"/>
    <tableColumn id="87" xr3:uid="{5534BD45-902D-447E-AF17-6706B4135250}" name="ECt" dataDxfId="3248"/>
    <tableColumn id="88" xr3:uid="{C80F1E7A-B0CE-425C-9D93-A4C414ECB72F}" name="Slope" dataDxfId="3247"/>
    <tableColumn id="35" xr3:uid="{6AD488A7-6A27-48D4-88E2-B1D17E960955}" name="CWR_Min" dataDxfId="3246"/>
    <tableColumn id="36" xr3:uid="{F2226801-FC14-4A69-85F4-185BE5F795C2}" name="CWR_Max" dataDxfId="3245"/>
    <tableColumn id="37" xr3:uid="{8C60609E-492B-47F6-90F6-BA3BCFA84577}" name="Sowing_Depth_cm" dataDxfId="3244"/>
    <tableColumn id="38" xr3:uid="{8920B6F2-0C5E-4EBA-BCD2-430167C91D10}" name="Root_Depth_cm" dataDxfId="3243"/>
    <tableColumn id="39" xr3:uid="{004961C3-F412-46C9-82E1-429918470101}" name="Stress_Tolerance_Index" dataDxfId="3242"/>
    <tableColumn id="40" xr3:uid="{C640681F-3E6D-4970-A372-80F0AF5B584F}" name="Row_Spacing_cm" dataDxfId="3241"/>
    <tableColumn id="41" xr3:uid="{F5BB72C1-733C-48BC-A741-92012E37E2E7}" name="Plant_to_Plant_cm" dataDxfId="3240"/>
    <tableColumn id="42" xr3:uid="{C2EA33CB-2DF5-4263-A883-E251680A83FA}" name="Seed_Per_Spot" dataDxfId="3239"/>
    <tableColumn id="43" xr3:uid="{9D6AC9CA-5849-46E3-8B62-06D638F431E9}" name="Seed_Rate_m2" dataDxfId="3238">
      <calculatedColumnFormula>IFERROR(10000/(AS96*AR96),0)*AT96</calculatedColumnFormula>
    </tableColumn>
    <tableColumn id="44" xr3:uid="{469DC88C-00EB-4C06-B731-49808AD8BA20}" name="Seed_Weight_kg/ha" dataDxfId="3237">
      <calculatedColumnFormula>ROUND((P96/1000000)*AU96*10000,2)</calculatedColumnFormula>
    </tableColumn>
    <tableColumn id="45" xr3:uid="{A42463DC-6B8F-4D37-AD28-4B79175F74D0}" name="Germination_%" dataDxfId="3236"/>
    <tableColumn id="46" xr3:uid="{8EA0C7BC-E588-4DBA-9357-498807D4B898}" name="Effective_Plants_m2" dataDxfId="3235">
      <calculatedColumnFormula>IFERROR((AU96*AW96/100),0)</calculatedColumnFormula>
    </tableColumn>
    <tableColumn id="47" xr3:uid="{3756D674-6921-4912-A4CF-688048365065}" name="Tillers_Per_Plant" dataDxfId="3234"/>
    <tableColumn id="48" xr3:uid="{4CF0BF9D-30E1-4C89-84ED-559A887588FB}" name="Shoots_Per_m2" dataDxfId="3233">
      <calculatedColumnFormula>IFERROR(AX96*AY96,0)</calculatedColumnFormula>
    </tableColumn>
    <tableColumn id="49" xr3:uid="{D6F1AEC2-2646-4DB9-82C2-B27F7DB3C122}" name="Survival_Ratio" dataDxfId="3232"/>
    <tableColumn id="50" xr3:uid="{47FC60C8-B2CF-40A7-BDE0-A1BBAA28396F}" name="Shoot_Bearing_m2" dataDxfId="3231">
      <calculatedColumnFormula>IFERROR(AZ96*BA96,0)</calculatedColumnFormula>
    </tableColumn>
    <tableColumn id="51" xr3:uid="{49ACDDB6-D2B5-42C5-8C0A-BD22B7CF27B9}" name="Leaf_Area_Per_Shoot_m2" dataDxfId="3230"/>
    <tableColumn id="52" xr3:uid="{603ABB19-4DFB-4D9A-BDCE-8A3DC6A34034}" name="Start_LAI" dataDxfId="3229">
      <calculatedColumnFormula>IFERROR(
  MAX(0.05, MIN(0.5, CropNorms_Cotton[[#This Row],[Leaf_Area_Per_Shoot_m2]] * CropNorms_Cotton[[#This Row],[Shoot_Bearing_m2]] )),
  0.2
)</calculatedColumnFormula>
    </tableColumn>
    <tableColumn id="53" xr3:uid="{8E8E64CC-A28F-442C-8D67-D52EE8A47425}" name="LAI_Start_GDD" dataDxfId="3228">
      <calculatedColumnFormula>_xlfn.XLOOKUP(CropNorms_Cotton[[#This Row],[LAI_Start_BBCH]], CropPhenology_Cotton[Sub_Stage], CropPhenology_Cotton[Start_GDD], "Not Found")</calculatedColumnFormula>
    </tableColumn>
    <tableColumn id="54" xr3:uid="{BEBEA636-A5B0-4ECC-8866-793B83A6E133}" name="Max_LAI" dataDxfId="3227">
      <calculatedColumnFormula>ROUND(CropNorms_Cotton[[#This Row],[Shoot_Bearing_m2]]*CropNorms_Cotton[[#This Row],[Leaf_Area_Per_Shoot_m2]],2)</calculatedColumnFormula>
    </tableColumn>
    <tableColumn id="55" xr3:uid="{3E771F6D-92EE-4E8B-B17C-8770233CE228}" name="LAI_Max_GDD" dataDxfId="3226">
      <calculatedColumnFormula>AVERAGE(
  _xlfn.XLOOKUP(CropNorms_Cotton[[#This Row],[LAI_Max_BBCH]], CropPhenology_Cotton[Sub_Stage], CropPhenology_Cotton[Start_GDD]),
  _xlfn.XLOOKUP(CropNorms_Cotton[[#This Row],[LAI_Max_BBCH]], CropPhenology_Cotton[Sub_Stage], CropPhenology_Cotton[End_GDD])
)</calculatedColumnFormula>
    </tableColumn>
    <tableColumn id="56" xr3:uid="{9419870A-673F-4C1F-A0D9-E5640CC9592C}" name="End_LAI" dataDxfId="3225">
      <calculatedColumnFormula>IF(CropNorms_Cotton[[#This Row],[Max_LAI]]&gt;=1.2, 0.85*CropNorms_Cotton[[#This Row],[Max_LAI]], 1)</calculatedColumnFormula>
    </tableColumn>
    <tableColumn id="57" xr3:uid="{591EEF2D-7FC8-4FAD-8F56-3082DA5BCC2E}" name="LAI_End_GDD" dataDxfId="3224">
      <calculatedColumnFormula>_xlfn.XLOOKUP(CropNorms_Cotton[[#This Row],[LAI_End_BBCH]], CropPhenology_Cotton[Sub_Stage], CropPhenology_Cotton[End_GDD], "Not Found")</calculatedColumnFormula>
    </tableColumn>
    <tableColumn id="58" xr3:uid="{E49193DE-793D-4465-9F95-C22DFDB99A2D}" name="RUE_Max" dataDxfId="3223">
      <calculatedColumnFormula array="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EAA26A1-4F5D-4A43-B0BC-0B223052B4C3}" name="RUE_Asymptote_Frac" dataDxfId="3222">
      <calculatedColumnFormula array="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64A7CB6-2846-498A-B620-749C70E15007}" name="RUE_LAI_Half_Sat" dataDxfId="3221">
      <calculatedColumnFormula array="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368841D-C3BD-4CCC-80C4-5914509D23DA}" name="RUE_Daily_Delta_Max" dataDxfId="3220">
      <calculatedColumnFormula array="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3B013D28-6DB4-468C-9581-77B687DF636E}" name="HI" dataDxfId="3219"/>
    <tableColumn id="63" xr3:uid="{75BE5C1C-F36B-4232-AE29-5E8ED9E4C5AF}" name="DM:FM" dataDxfId="3218"/>
    <tableColumn id="64" xr3:uid="{DC86E992-3B6C-4ADB-B300-CDA734057252}" name="Yield_t/ha" dataDxfId="3217"/>
    <tableColumn id="65" xr3:uid="{503C3F27-0786-4E31-9BC0-EAFCDEF2AAA3}" name="Yield_Type" dataDxfId="3216"/>
    <tableColumn id="66" xr3:uid="{6C443594-76C5-4657-9601-169C229AE172}" name="LAI_Start_BBCH" dataDxfId="3215">
      <calculatedColumnFormula array="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913044E2-FA1F-456F-8ED5-FADBE8A3533D}" name="LAI_Max_BBCH" dataDxfId="3214">
      <calculatedColumnFormula array="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D82CB857-965C-4645-ABC2-12DF61080252}" name="LAI_End_BBCH" dataDxfId="3213">
      <calculatedColumnFormula array="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53D6297-685F-491E-A9E6-54B71A59D58D}" name="Fruiting_Start_BBCH" dataDxfId="3212">
      <calculatedColumnFormula array="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EEC3E92-55F4-4810-8E43-A22184AE0E61}" name="N_Deficiency_kg/ha" dataDxfId="3211"/>
    <tableColumn id="71" xr3:uid="{5EBFD7BD-C9DD-4CFD-8690-3FE73580D840}" name="P_Deficiency_kg/ha" dataDxfId="3210"/>
    <tableColumn id="72" xr3:uid="{373A69B4-D5BB-48FC-8E5A-FEEB9A25CF5C}" name="K_deficiency_kg/ha" dataDxfId="3209"/>
    <tableColumn id="73" xr3:uid="{7E84D4D2-9C39-4C1E-918C-4878ED63D6F2}" name="Sowing_Start_Season" dataDxfId="3208"/>
    <tableColumn id="74" xr3:uid="{A2078DF0-FD6B-4C0F-8D52-314EC3E03FE2}" name="Sowing_End_Season" dataDxfId="3207"/>
    <tableColumn id="75" xr3:uid="{77AE38CB-C6B8-435A-B8A3-9696A9CCAAF6}" name="Sand" dataDxfId="3206"/>
    <tableColumn id="76" xr3:uid="{D3A3AF1A-543A-4CB7-AE1A-C6934EFEBD4C}" name="Loamy Sand" dataDxfId="3205"/>
    <tableColumn id="77" xr3:uid="{6859F11C-CC2C-4505-A914-09909C8F791B}" name="Sandy Loam" dataDxfId="3204"/>
    <tableColumn id="78" xr3:uid="{9D693B49-4F38-4E17-8936-C732E57F7B0E}" name="Loam" dataDxfId="3203"/>
    <tableColumn id="79" xr3:uid="{748AEC24-A273-4166-80A9-637AFA747D31}" name="Silt Loam" dataDxfId="3202"/>
    <tableColumn id="80" xr3:uid="{CD250A61-375B-41B6-8992-3FC7DCD05355}" name="Clay Loam" dataDxfId="3201"/>
    <tableColumn id="81" xr3:uid="{5A98DF83-E013-4379-A1BB-01709D38F9FE}" name="Silt" dataDxfId="3200"/>
    <tableColumn id="82" xr3:uid="{0E7DDE37-373F-4D21-B52F-EEE16FBE4D75}" name="Sandy Clay" dataDxfId="3199"/>
    <tableColumn id="83" xr3:uid="{05357CE8-B3BE-4E5C-80FF-9872C4313BDC}" name="Silty Clay Loam" dataDxfId="3198"/>
    <tableColumn id="84" xr3:uid="{92BD5243-5D4D-4CD1-B311-1118CEF6FB14}" name="Silty Clay" dataDxfId="3197"/>
    <tableColumn id="85" xr3:uid="{5D1E3EC5-9893-4AC1-BC1C-5D391A7D1496}" name="Clay" dataDxfId="3196"/>
    <tableColumn id="86" xr3:uid="{3593FBCA-FB9F-4D63-95A6-D8857E1E49D9}" name="Sandy Clay Loam" dataDxfId="319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86F6F73-9D03-4605-9027-0C4104D9455B}" name="CropNorms_Cucumber" displayName="CropNorms_Cucumber" ref="B123:CL141" totalsRowShown="0" headerRowDxfId="3194" dataDxfId="3192" headerRowBorderDxfId="3193" tableBorderDxfId="3191">
  <tableColumns count="89">
    <tableColumn id="1" xr3:uid="{613E6319-9AE9-4F7D-B07D-6A0BB5FF110C}" name="Crop_Name" dataDxfId="3190"/>
    <tableColumn id="2" xr3:uid="{DCF96602-6174-497D-9793-B4227B2130D1}" name="Variety_Name" dataDxfId="3189"/>
    <tableColumn id="3" xr3:uid="{7624381F-A90E-44A2-AE92-6DEE33852B87}" name="Variety_Type" dataDxfId="3188"/>
    <tableColumn id="4" xr3:uid="{5605C289-8673-4F89-BB59-7993E2B431FA}" name="Height_Class" dataDxfId="3187"/>
    <tableColumn id="5" xr3:uid="{A245D198-3CA5-4DBE-9163-9F8C4EE5CDEF}" name="Height_cm" dataDxfId="3186"/>
    <tableColumn id="6" xr3:uid="{E177B885-EE07-422D-B49B-10B7D149470A}" name="Nutrient_Content" dataDxfId="3185"/>
    <tableColumn id="7" xr3:uid="{78F77FB1-07EE-42EB-831D-EF9AA83FB4D3}" name="Common_Disease_Tolerance" dataDxfId="3184"/>
    <tableColumn id="8" xr3:uid="{42538CA9-02C9-4FD9-9373-AAC6D534043E}" name="Common_Pest_Tolerance" dataDxfId="3183"/>
    <tableColumn id="9" xr3:uid="{7EEE578D-BE38-4D7F-B8BF-77A032E4B948}" name="Environmental_Resilience" dataDxfId="3182"/>
    <tableColumn id="10" xr3:uid="{70FAF4AC-B7C9-4422-AF72-C89D4456DFF3}" name="Category" dataDxfId="3181"/>
    <tableColumn id="11" xr3:uid="{11C379AA-6D14-49AA-9B49-843813E21854}" name="Country" dataDxfId="3180"/>
    <tableColumn id="12" xr3:uid="{6E7EDA4C-C0F3-4F9C-A51C-193E8B036105}" name="Season" dataDxfId="3179"/>
    <tableColumn id="13" xr3:uid="{9A735F1B-3247-4624-B8F7-29BC4C5C30C5}" name="PAR" dataDxfId="3178"/>
    <tableColumn id="14" xr3:uid="{692DE40A-2581-4D0D-A15D-C0AF6D517C08}" name="Region" dataDxfId="3177"/>
    <tableColumn id="15" xr3:uid="{F5D9259E-A9DF-47DC-A7B5-5C1D10A8D9F0}" name="Seed_Weight_mg" dataDxfId="3176"/>
    <tableColumn id="16" xr3:uid="{58043C71-351E-45D9-AA5F-1827BC4DDB77}" name="Crop_Min_Temp" dataDxfId="3175"/>
    <tableColumn id="17" xr3:uid="{44B44DEA-B7D8-458B-9203-EC1FBFDA7E41}" name="Base_Temp" dataDxfId="3174"/>
    <tableColumn id="18" xr3:uid="{C9280629-910B-4170-BA70-CC4CF957E682}" name="Opt._Temp" dataDxfId="3173"/>
    <tableColumn id="19" xr3:uid="{212DC23C-2A47-4E5F-8264-E9DB4D063B84}" name="Upper_Temp" dataDxfId="3172"/>
    <tableColumn id="89" xr3:uid="{90D93DE5-6CC7-48FE-8FCA-3FC6194A66C3}" name="Loss / Degree" dataDxfId="3171"/>
    <tableColumn id="20" xr3:uid="{EBDC697E-13B4-4975-BB53-3667085B7FDC}" name="Min_Days" dataDxfId="3170"/>
    <tableColumn id="21" xr3:uid="{41A13226-AC69-4FEF-A0AD-757ACF50B889}" name="Max_Days" dataDxfId="3169"/>
    <tableColumn id="22" xr3:uid="{637AE59B-D542-456E-B037-1BB70698CF02}" name="Ripening_S_GDD" dataDxfId="3168">
      <calculatedColumnFormula>_xlfn.XLOOKUP("Ripening", CropPhenology_Cucumber[Main_Stage], CropPhenology_Cucumber[Start_GDD], "Not Found")</calculatedColumnFormula>
    </tableColumn>
    <tableColumn id="23" xr3:uid="{BFA30976-9426-49C2-AD0D-AD82724D67F2}" name="Ripening_E_GDD" dataDxfId="3167">
      <calculatedColumnFormula array="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calculatedColumnFormula>
    </tableColumn>
    <tableColumn id="24" xr3:uid="{946FC4DB-DFE7-40C9-9121-AF139D7C6E33}" name="Avg. Daily GDD" dataDxfId="3166">
      <calculatedColumnFormula>MIN(Y124/V124,MAX(X124/W124,R124,(X124/W124+Y124/V124)/2))</calculatedColumnFormula>
    </tableColumn>
    <tableColumn id="25" xr3:uid="{C7FFF05E-7EE6-4310-A388-87F584ACEA0D}" name="Days_to_Ripening" dataDxfId="3165">
      <calculatedColumnFormula>Y124/Z124</calculatedColumnFormula>
    </tableColumn>
    <tableColumn id="26" xr3:uid="{730AE02B-6E71-4FDC-BBF7-195BF2C839D8}" name="Sunshine" dataDxfId="3164"/>
    <tableColumn id="27" xr3:uid="{52918E10-3D90-4AF5-8D07-61A1A528DE0A}" name="Soil_Temp_Min" dataDxfId="3163"/>
    <tableColumn id="28" xr3:uid="{6398F199-4E92-4155-A220-91E23E113840}" name="VPA_Max" dataDxfId="3162"/>
    <tableColumn id="29" xr3:uid="{7F59025E-E1E1-428B-9BBB-EFEAAED27378}" name="Humidity_Max" dataDxfId="3161"/>
    <tableColumn id="30" xr3:uid="{0EFEDEEB-6648-4558-9B83-15D257DE4F40}" name="Dew_Point_Min" dataDxfId="3160"/>
    <tableColumn id="31" xr3:uid="{F7BB8B21-A0B4-4520-B5AD-E771FD7B969B}" name="WS_2m_Max" dataDxfId="3159"/>
    <tableColumn id="32" xr3:uid="{764DFD5F-7504-4811-BA40-13BD26D1C403}" name="GDD_Adjust" dataDxfId="3158">
      <calculatedColumnFormula>IFERROR((Y124-X124)/AA124,0)</calculatedColumnFormula>
    </tableColumn>
    <tableColumn id="33" xr3:uid="{C46BDF8E-293F-48D1-8D0F-AFD724BD5885}" name="pH_Min" dataDxfId="3157"/>
    <tableColumn id="34" xr3:uid="{08487FC3-022A-4756-BBB4-C4B133ADE326}" name="pH_Max" dataDxfId="3156"/>
    <tableColumn id="87" xr3:uid="{752B019A-9E22-4003-9551-B2663C2000DA}" name="ECt" dataDxfId="3155"/>
    <tableColumn id="88" xr3:uid="{4194443D-9A64-41C1-AFDE-1C100A8419CD}" name="Slope" dataDxfId="3154"/>
    <tableColumn id="35" xr3:uid="{B94D6632-DB97-42AB-A4BB-666BBE31B356}" name="CWR_Min" dataDxfId="3153"/>
    <tableColumn id="36" xr3:uid="{E6DA6BED-0A0F-4D1E-A457-12C3A165A76E}" name="CWR_Max" dataDxfId="3152"/>
    <tableColumn id="37" xr3:uid="{AB2B10E4-B047-4973-B014-FDA2598455BB}" name="Sowing_Depth_cm" dataDxfId="3151"/>
    <tableColumn id="38" xr3:uid="{7B0262CB-E419-41AB-86FF-352C071344B6}" name="Root_Depth_cm" dataDxfId="3150"/>
    <tableColumn id="39" xr3:uid="{19DBF390-FAA3-4629-901D-23982B939D4B}" name="Stress_Tolerance_Index" dataDxfId="3149"/>
    <tableColumn id="40" xr3:uid="{8C1CDAC7-79F4-4073-BE6F-45722AA12188}" name="Row_Spacing_cm" dataDxfId="3148"/>
    <tableColumn id="41" xr3:uid="{7C274415-07D0-4C40-802B-5021ABB45C87}" name="Plant_to_Plant_cm" dataDxfId="3147"/>
    <tableColumn id="42" xr3:uid="{2D2E393E-24EB-4F70-99B6-87F1E93E8559}" name="Seed_Per_Spot" dataDxfId="3146"/>
    <tableColumn id="43" xr3:uid="{580A8932-79C9-4D94-BCBD-18D0037A4538}" name="Seed_Rate_m2" dataDxfId="3145">
      <calculatedColumnFormula>IFERROR(10000/(AS124*AR124),0)*AT124</calculatedColumnFormula>
    </tableColumn>
    <tableColumn id="44" xr3:uid="{DC3D4588-8EC7-4AE4-A8DD-A2FF43F61943}" name="Seed_Weight_kg/ha" dataDxfId="3144">
      <calculatedColumnFormula>ROUND((P124/1000000)*AU124*10000,2)</calculatedColumnFormula>
    </tableColumn>
    <tableColumn id="45" xr3:uid="{7C1B1DF5-2989-4DD6-9699-DFFB36448FFC}" name="Germination_%" dataDxfId="3143"/>
    <tableColumn id="46" xr3:uid="{8FC3CF24-010E-43F4-A761-A146483507BC}" name="Effective_Plants_m2" dataDxfId="3142">
      <calculatedColumnFormula>IFERROR((AU124*AW124/100),0)</calculatedColumnFormula>
    </tableColumn>
    <tableColumn id="47" xr3:uid="{DE6111E7-8D73-40C2-92E3-1F3A9B655742}" name="Tillers_Per_Plant" dataDxfId="3141"/>
    <tableColumn id="48" xr3:uid="{0B2A0666-4321-4EB7-A652-218A83D4C277}" name="Shoots_Per_m2" dataDxfId="3140">
      <calculatedColumnFormula>IFERROR(AX124*AY124,0)</calculatedColumnFormula>
    </tableColumn>
    <tableColumn id="49" xr3:uid="{CBB80A7D-3F46-480F-A6AE-3ED1BAE4FE55}" name="Survival_Ratio" dataDxfId="3139"/>
    <tableColumn id="50" xr3:uid="{74F408D7-7225-4C98-8629-DCE741CF2B58}" name="Shoot_Bearing_m2" dataDxfId="3138">
      <calculatedColumnFormula>IFERROR(AZ124*BA124,0)</calculatedColumnFormula>
    </tableColumn>
    <tableColumn id="51" xr3:uid="{B66807D9-B90D-433F-9D11-86EEF742FBF7}" name="Leaf_Area_Per_Shoot_m2" dataDxfId="3137"/>
    <tableColumn id="52" xr3:uid="{13856909-143A-4BE9-885A-D47C5816E828}" name="Start_LAI" dataDxfId="3136">
      <calculatedColumnFormula>IFERROR(
  MAX(0.05, MIN(0.5, CropNorms_Cucumber[[#This Row],[Leaf_Area_Per_Shoot_m2]] * CropNorms_Cucumber[[#This Row],[Shoot_Bearing_m2]] )),
  0.2
)</calculatedColumnFormula>
    </tableColumn>
    <tableColumn id="53" xr3:uid="{BEB050E2-0591-457F-81A0-36CE18C6C461}" name="LAI_Start_GDD" dataDxfId="3135">
      <calculatedColumnFormula>_xlfn.XLOOKUP(CropNorms_Cucumber[[#This Row],[LAI_Start_BBCH]], CropPhenology_Cucumber[Sub_Stage], CropPhenology_Cucumber[Start_GDD], "Not Found")</calculatedColumnFormula>
    </tableColumn>
    <tableColumn id="54" xr3:uid="{DF05D6BC-2B14-4F95-9FB6-820B2E8004D7}" name="Max_LAI" dataDxfId="3134">
      <calculatedColumnFormula>ROUND(CropNorms_Cucumber[[#This Row],[Shoot_Bearing_m2]]*CropNorms_Cucumber[[#This Row],[Leaf_Area_Per_Shoot_m2]],2)</calculatedColumnFormula>
    </tableColumn>
    <tableColumn id="55" xr3:uid="{5BC506B1-6EC9-4BC3-9523-9F64B2331C96}" name="LAI_Max_GDD" dataDxfId="3133">
      <calculatedColumnFormula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calculatedColumnFormula>
    </tableColumn>
    <tableColumn id="56" xr3:uid="{A5F4A73F-7BC9-419C-BB4C-ACEF35C0B018}" name="End_LAI" dataDxfId="3132">
      <calculatedColumnFormula>IF(CropNorms_Cucumber[[#This Row],[Max_LAI]]&gt;=1.2, 0.85*CropNorms_Cucumber[[#This Row],[Max_LAI]], 1)</calculatedColumnFormula>
    </tableColumn>
    <tableColumn id="57" xr3:uid="{DECED8A6-4010-48B6-AB6A-7BEA8063EE2B}" name="LAI_End_GDD" dataDxfId="3131">
      <calculatedColumnFormula>_xlfn.XLOOKUP(CropNorms_Cucumber[[#This Row],[LAI_End_BBCH]], CropPhenology_Cucumber[Sub_Stage], CropPhenology_Cucumber[End_GDD], "Not Found")</calculatedColumnFormula>
    </tableColumn>
    <tableColumn id="58" xr3:uid="{D6F5AF39-12A6-4970-B5B9-6DB566DF7111}" name="RUE_Max" dataDxfId="3130">
      <calculatedColumnFormula array="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640D683-06EA-43D0-A488-DD524D02000A}" name="RUE_Asymptote_Frac" dataDxfId="3129">
      <calculatedColumnFormula array="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3669ABD-2604-4CC0-BAFD-66880BD9D95C}" name="RUE_LAI_Half_Sat" dataDxfId="3128">
      <calculatedColumnFormula array="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78EC8CA5-9DF1-43C0-8390-C7597A521609}" name="RUE_Daily_Delta_Max" dataDxfId="3127">
      <calculatedColumnFormula array="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8C21307-C91E-44EB-B853-18808D6488FF}" name="HI" dataDxfId="3126"/>
    <tableColumn id="63" xr3:uid="{2E8D3051-9C7F-4AE2-A3CE-49A01AB497CE}" name="DM:FM" dataDxfId="3125"/>
    <tableColumn id="64" xr3:uid="{3C390964-CE2A-445A-A9D4-B133C576E95F}" name="Yield_t/ha" dataDxfId="3124"/>
    <tableColumn id="65" xr3:uid="{BD5B38FC-DB96-435B-8487-4EF671F964E7}" name="Yield_Type" dataDxfId="3123"/>
    <tableColumn id="66" xr3:uid="{3BC91C1E-E4A6-4153-92D8-2F9114956112}" name="LAI_Start_BBCH" dataDxfId="3122">
      <calculatedColumnFormula array="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BC0C7B7-A619-48F7-84D6-9D64CA9918D7}" name="LAI_Max_BBCH" dataDxfId="3121">
      <calculatedColumnFormula array="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7DF73F3-A170-44B9-9792-9A25FE371FF7}" name="LAI_End_BBCH" dataDxfId="3120">
      <calculatedColumnFormula array="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1022A64-A065-4BD1-9AAE-BC576E17C3F9}" name="Fruiting_Start_BBCH" dataDxfId="3119">
      <calculatedColumnFormula array="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0BFBE66-611F-49BD-9838-77B74477B3C3}" name="N_Deficiency_kg/ha" dataDxfId="3118"/>
    <tableColumn id="71" xr3:uid="{42B493CF-D2E6-4A77-B4BD-B1678468460A}" name="P_Deficiency_kg/ha" dataDxfId="3117"/>
    <tableColumn id="72" xr3:uid="{2703A545-8F0A-41C1-A60F-4CE82FBDCA61}" name="K_deficiency_kg/ha" dataDxfId="3116"/>
    <tableColumn id="73" xr3:uid="{0231295D-318B-41B0-9A9F-E9EDC24D3DA6}" name="Sowing_Start_Season" dataDxfId="3115"/>
    <tableColumn id="74" xr3:uid="{C048C033-6766-4407-B469-5F7456F1C83A}" name="Sowing_End_Season" dataDxfId="3114"/>
    <tableColumn id="75" xr3:uid="{C6532DAC-8EE5-4553-9F55-6A194B1B4BE8}" name="Sand" dataDxfId="3113"/>
    <tableColumn id="76" xr3:uid="{F4EEC8D5-71B5-4DCE-AC1C-20EAF675EAF5}" name="Loamy Sand" dataDxfId="3112"/>
    <tableColumn id="77" xr3:uid="{A4DB8786-8DED-4D64-9EC7-D739D333C1B4}" name="Sandy Loam" dataDxfId="3111"/>
    <tableColumn id="78" xr3:uid="{7BA01C64-95BE-429F-80BA-F44B6B89E8C5}" name="Loam" dataDxfId="3110"/>
    <tableColumn id="79" xr3:uid="{9F55F21C-B16D-4D93-B3B8-52BC9CB764F9}" name="Silt Loam" dataDxfId="3109"/>
    <tableColumn id="80" xr3:uid="{24B830A4-CE00-4BC7-A1AC-6B16D94702B8}" name="Clay Loam" dataDxfId="3108"/>
    <tableColumn id="81" xr3:uid="{9F702E3B-5A89-4E17-B61D-D56B741A2AEF}" name="Silt" dataDxfId="3107"/>
    <tableColumn id="82" xr3:uid="{59DF463D-BAC1-4A72-8A49-D139241CB77F}" name="Sandy Clay" dataDxfId="3106"/>
    <tableColumn id="83" xr3:uid="{556FF095-0E52-4194-8131-C35E0B522B81}" name="Silty Clay Loam" dataDxfId="3105"/>
    <tableColumn id="84" xr3:uid="{5601353F-6756-4B95-8E15-CA35F0AEDDF6}" name="Silty Clay" dataDxfId="3104"/>
    <tableColumn id="85" xr3:uid="{70CC16BB-38F4-4DFA-B56C-1A7F2C7B00E0}" name="Clay" dataDxfId="3103"/>
    <tableColumn id="86" xr3:uid="{38DFCBC3-268D-4667-9828-134D07C28C3C}" name="Sandy Clay Loam" dataDxfId="310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82C4033-C9B8-4F9A-A27D-73D472852BD7}" name="CropNorms_FlaxSeed" displayName="CropNorms_FlaxSeed" ref="B143:CL145" totalsRowShown="0" headerRowDxfId="3101" dataDxfId="3099" headerRowBorderDxfId="3100" tableBorderDxfId="3098">
  <tableColumns count="89">
    <tableColumn id="1" xr3:uid="{72B8B3B4-0679-4F25-86DA-C9373A00153C}" name="Crop_Name" dataDxfId="3097"/>
    <tableColumn id="2" xr3:uid="{BF86E672-3FAF-4A76-8DDF-F779E710C234}" name="Variety_Name" dataDxfId="3096"/>
    <tableColumn id="3" xr3:uid="{EFF601A1-8B1E-46B3-B27C-68DF58BB3F41}" name="Variety_Type" dataDxfId="3095"/>
    <tableColumn id="4" xr3:uid="{F9CA8732-A62D-4D38-87C8-3658B9B63B1E}" name="Height_Class" dataDxfId="3094"/>
    <tableColumn id="5" xr3:uid="{2FB42FAF-8F73-4A9B-AE3A-C01C025D0F4B}" name="Height_cm" dataDxfId="3093"/>
    <tableColumn id="6" xr3:uid="{8538D4C3-E140-4608-99A0-ED9D78F720BF}" name="Nutrient_Content" dataDxfId="3092"/>
    <tableColumn id="7" xr3:uid="{FB2920AD-32A8-49CB-9250-35FCD8E91AE0}" name="Common_Disease_Tolerance" dataDxfId="3091"/>
    <tableColumn id="8" xr3:uid="{EF0F08D3-F212-4D53-AE3A-7E160F57FAAA}" name="Common_Pest_Tolerance" dataDxfId="3090"/>
    <tableColumn id="9" xr3:uid="{2DC68143-767F-43C2-883C-C42C8D25D942}" name="Environmental_Resilience" dataDxfId="3089"/>
    <tableColumn id="10" xr3:uid="{12A8F567-452B-4C13-B08A-7D38EE40F648}" name="Category" dataDxfId="3088"/>
    <tableColumn id="11" xr3:uid="{343754F9-A528-47CA-AE4F-3DD27AA86128}" name="Country" dataDxfId="3087"/>
    <tableColumn id="12" xr3:uid="{C3A6C7C8-8F86-495B-B474-49259DAE8EBF}" name="Season" dataDxfId="3086"/>
    <tableColumn id="13" xr3:uid="{5F658544-2B6B-46D8-867D-82555E35CBED}" name="PAR" dataDxfId="3085"/>
    <tableColumn id="14" xr3:uid="{396DA755-71DF-4143-BBAD-EB88964F435B}" name="Region" dataDxfId="3084"/>
    <tableColumn id="15" xr3:uid="{7B109175-3492-4402-B666-66C7B7EAC114}" name="Seed_Weight_mg" dataDxfId="3083"/>
    <tableColumn id="16" xr3:uid="{0658A817-19FA-469B-BB87-9D61B214EDAF}" name="Crop_Min_Temp" dataDxfId="3082"/>
    <tableColumn id="17" xr3:uid="{A4AC596A-BACF-4896-9ACA-BAE79669EF05}" name="Base_Temp" dataDxfId="3081"/>
    <tableColumn id="18" xr3:uid="{8CC6C4E7-50FF-4827-98A1-889DE399C91B}" name="Opt._Temp" dataDxfId="3080"/>
    <tableColumn id="19" xr3:uid="{704AD888-6EA2-4DFB-B91E-6E920D814B3D}" name="Upper_Temp" dataDxfId="3079"/>
    <tableColumn id="89" xr3:uid="{DEE735BB-6842-4253-8CED-8805862095FA}" name="Loss / Degree" dataDxfId="3078"/>
    <tableColumn id="20" xr3:uid="{CB39F51F-87BC-4319-802C-F55AF007457B}" name="Min_Days" dataDxfId="3077"/>
    <tableColumn id="21" xr3:uid="{C6504018-C865-4F5D-BC22-8DC88989DC3D}" name="Max_Days" dataDxfId="3076"/>
    <tableColumn id="22" xr3:uid="{FBA1FFE9-6B56-4437-BEAE-A9FA404D4132}" name="Ripening_S_GDD" dataDxfId="3075">
      <calculatedColumnFormula>_xlfn.XLOOKUP("Ripening", CropPhenology_FlaxSeed[Main_Stage], CropPhenology_FlaxSeed[Start_GDD], "Not Found")</calculatedColumnFormula>
    </tableColumn>
    <tableColumn id="23" xr3:uid="{6C3B56ED-BBF3-44EF-B3AF-FFD4ACBF6316}" name="Ripening_E_GDD" dataDxfId="3074">
      <calculatedColumnFormula array="1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calculatedColumnFormula>
    </tableColumn>
    <tableColumn id="24" xr3:uid="{9592F926-3241-46C5-BAC6-BC9BCF88C23F}" name="Avg. Daily GDD" dataDxfId="3073">
      <calculatedColumnFormula>MIN(Y144/V144,MAX(X144/W144,R144,(X144/W144+Y144/V144)/2))</calculatedColumnFormula>
    </tableColumn>
    <tableColumn id="25" xr3:uid="{4CB1BDAF-E9ED-49C0-B73C-1E75EFA32765}" name="Days_to_Ripening" dataDxfId="3072">
      <calculatedColumnFormula>Y144/Z144</calculatedColumnFormula>
    </tableColumn>
    <tableColumn id="26" xr3:uid="{5865A3E7-FB36-439B-A72F-3B437243177E}" name="Sunshine" dataDxfId="3071"/>
    <tableColumn id="27" xr3:uid="{D011AC9A-B89E-4879-8F98-B64997318530}" name="Soil_Temp_Min" dataDxfId="3070"/>
    <tableColumn id="28" xr3:uid="{251C4AD0-CFE9-43AB-8070-F38E58CD411D}" name="VPA_Max" dataDxfId="3069"/>
    <tableColumn id="29" xr3:uid="{552E4839-AD11-470E-9FE1-7A2BB02D2C7F}" name="Humidity_Max" dataDxfId="3068"/>
    <tableColumn id="30" xr3:uid="{BC1B89B6-75D3-4A90-BCD4-4D3156B58466}" name="Dew_Point_Min" dataDxfId="3067"/>
    <tableColumn id="31" xr3:uid="{D5837EA9-A640-4910-AF33-0441E8BBD681}" name="WS_2m_Max" dataDxfId="3066"/>
    <tableColumn id="32" xr3:uid="{16DA715A-2DB9-432D-B2B3-7137685D9F86}" name="GDD_Adjust" dataDxfId="3065">
      <calculatedColumnFormula>IFERROR((Y144-X144)/AA144,0)</calculatedColumnFormula>
    </tableColumn>
    <tableColumn id="33" xr3:uid="{A2206819-0DFB-44D5-BB60-D471644ABE08}" name="pH_Min" dataDxfId="3064"/>
    <tableColumn id="34" xr3:uid="{B301DD15-385C-4915-BB2A-1686FE684113}" name="pH_Max" dataDxfId="3063"/>
    <tableColumn id="87" xr3:uid="{CBC67D23-6393-4286-9193-CE9070292350}" name="ECt" dataDxfId="3062"/>
    <tableColumn id="88" xr3:uid="{384A535F-9107-4247-B9F4-D3259D619F3D}" name="Slope" dataDxfId="3061"/>
    <tableColumn id="35" xr3:uid="{333F6EB5-AC12-4D85-AF6B-5DB9567B7AA6}" name="CWR_Min" dataDxfId="3060"/>
    <tableColumn id="36" xr3:uid="{A4AF30D5-3C35-422F-BEFA-0C71AFF72E6F}" name="CWR_Max" dataDxfId="3059"/>
    <tableColumn id="37" xr3:uid="{41906B86-3F68-431A-ADEA-8EFDA3B81929}" name="Sowing_Depth_cm" dataDxfId="3058"/>
    <tableColumn id="38" xr3:uid="{57EEF1EB-2EED-44C1-B13B-D436A6CD5C31}" name="Root_Depth_cm" dataDxfId="3057"/>
    <tableColumn id="39" xr3:uid="{167ADE97-4FB6-4D8C-91CB-721B82DCDF28}" name="Stress_Tolerance_Index" dataDxfId="3056"/>
    <tableColumn id="40" xr3:uid="{456F1F8D-1987-41F0-BF7E-D736D7C72BB8}" name="Row_Spacing_cm" dataDxfId="3055"/>
    <tableColumn id="41" xr3:uid="{4CAE9EDC-4CF5-499E-B350-133DD4B6FD11}" name="Plant_to_Plant_cm" dataDxfId="3054"/>
    <tableColumn id="42" xr3:uid="{60F73250-63FB-43A7-9FC2-437FF33013BF}" name="Seed_Per_Spot" dataDxfId="3053"/>
    <tableColumn id="43" xr3:uid="{28548DBA-EADF-48BB-8330-FA8D1BAD61E7}" name="Seed_Rate_m2" dataDxfId="3052">
      <calculatedColumnFormula>IFERROR(10000/(AS144*AR144),0)*AT144</calculatedColumnFormula>
    </tableColumn>
    <tableColumn id="44" xr3:uid="{5E9B9A8C-3853-4A6E-AC5C-2F0846E77E15}" name="Seed_Weight_kg/ha" dataDxfId="3051">
      <calculatedColumnFormula>ROUND((P144/1000000)*AU144*10000,2)</calculatedColumnFormula>
    </tableColumn>
    <tableColumn id="45" xr3:uid="{9DA2E8D1-25D3-451A-B41B-1F6FFDAB8E17}" name="Germination_%" dataDxfId="3050"/>
    <tableColumn id="46" xr3:uid="{493A8556-0634-414F-B6E9-300B546A5BD6}" name="Effective_Plants_m2" dataDxfId="3049">
      <calculatedColumnFormula>IFERROR((AU144*AW144/100),0)</calculatedColumnFormula>
    </tableColumn>
    <tableColumn id="47" xr3:uid="{2C991860-F9D6-48E2-8B96-DBE517EA85CE}" name="Tillers_Per_Plant" dataDxfId="3048"/>
    <tableColumn id="48" xr3:uid="{86E584CF-0233-449B-A906-B60E64A196D7}" name="Shoots_Per_m2" dataDxfId="3047">
      <calculatedColumnFormula>IFERROR(AX144*AY144,0)</calculatedColumnFormula>
    </tableColumn>
    <tableColumn id="49" xr3:uid="{05415B09-8612-40EA-8BCD-4B2222257677}" name="Survival_Ratio" dataDxfId="3046"/>
    <tableColumn id="50" xr3:uid="{60C6E3B7-4343-475D-BC29-FABA658C48E5}" name="Shoot_Bearing_m2" dataDxfId="3045">
      <calculatedColumnFormula>IFERROR(AZ144*BA144,0)</calculatedColumnFormula>
    </tableColumn>
    <tableColumn id="51" xr3:uid="{049C35A9-1DD8-4E25-B8A5-5CF0F454AD90}" name="Leaf_Area_Per_Shoot_m2" dataDxfId="3044"/>
    <tableColumn id="52" xr3:uid="{4D9FABDC-A5A2-431C-9A56-7810CAB1269D}" name="Start_LAI" dataDxfId="3043">
      <calculatedColumnFormula>IFERROR(
  MAX(0.05, MIN(0.5, CropNorms_FlaxSeed[[#This Row],[Leaf_Area_Per_Shoot_m2]] * CropNorms_FlaxSeed[[#This Row],[Shoot_Bearing_m2]] )),
  0.2
)</calculatedColumnFormula>
    </tableColumn>
    <tableColumn id="53" xr3:uid="{19041D8F-A02B-4689-95DE-68CE4C4A05AE}" name="LAI_Start_GDD" dataDxfId="3042">
      <calculatedColumnFormula>_xlfn.XLOOKUP(CropNorms_FlaxSeed[[#This Row],[LAI_Start_BBCH]], CropPhenology_FlaxSeed[Sub_Stage], CropPhenology_FlaxSeed[Start_GDD], "Not Found")</calculatedColumnFormula>
    </tableColumn>
    <tableColumn id="54" xr3:uid="{1C34FDBF-694C-4A27-9689-F525E7375B4C}" name="Max_LAI" dataDxfId="3041">
      <calculatedColumnFormula>ROUND(CropNorms_FlaxSeed[[#This Row],[Shoot_Bearing_m2]]*CropNorms_FlaxSeed[[#This Row],[Leaf_Area_Per_Shoot_m2]],2)</calculatedColumnFormula>
    </tableColumn>
    <tableColumn id="55" xr3:uid="{F1A4F7BB-F2C6-471F-BB90-CC4847D37655}" name="LAI_Max_GDD" dataDxfId="3040">
      <calculatedColumnFormula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calculatedColumnFormula>
    </tableColumn>
    <tableColumn id="56" xr3:uid="{A0EF69D7-DBF6-4370-A3D8-5AA799A0F488}" name="End_LAI" dataDxfId="3039">
      <calculatedColumnFormula>IF(CropNorms_FlaxSeed[[#This Row],[Max_LAI]]&gt;=1.2, 0.85*CropNorms_FlaxSeed[[#This Row],[Max_LAI]], 1)</calculatedColumnFormula>
    </tableColumn>
    <tableColumn id="57" xr3:uid="{47A599E6-7DF5-4078-9F45-04B66879034F}" name="LAI_End_GDD" dataDxfId="3038">
      <calculatedColumnFormula>_xlfn.XLOOKUP(CropNorms_FlaxSeed[[#This Row],[LAI_End_BBCH]], CropPhenology_FlaxSeed[Sub_Stage], CropPhenology_FlaxSeed[End_GDD], "Not Found")</calculatedColumnFormula>
    </tableColumn>
    <tableColumn id="58" xr3:uid="{2BCEE5D3-E8CC-4114-A5A3-37C6AA458288}" name="RUE_Max" dataDxfId="3037">
      <calculatedColumnFormula array="1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301E496-8F2C-4D31-9AAF-EA6AC0D2B207}" name="RUE_Asymptote_Frac" dataDxfId="3036">
      <calculatedColumnFormula array="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21E6D86-899E-4109-97AE-E03AA2E9F008}" name="RUE_LAI_Half_Sat" dataDxfId="3035">
      <calculatedColumnFormula array="1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9D010B4-B113-42B4-A6A0-B3118524C35C}" name="RUE_Daily_Delta_Max" dataDxfId="3034">
      <calculatedColumnFormula array="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083D86D-09A8-4973-A8E5-3F9079E7D556}" name="HI" dataDxfId="3033"/>
    <tableColumn id="63" xr3:uid="{A8858E61-B010-40B9-BE1F-C9AA7EAE062A}" name="DM:FM" dataDxfId="3032"/>
    <tableColumn id="64" xr3:uid="{EB6A7DE6-A424-4A81-9AF1-BBF4C5655A7C}" name="Yield_t/ha" dataDxfId="3031"/>
    <tableColumn id="65" xr3:uid="{9AAF7A1C-6EB5-47CF-8F25-C7F92B845D2A}" name="Yield_Type" dataDxfId="3030"/>
    <tableColumn id="66" xr3:uid="{62E5AA2F-B8B8-4AA9-B56F-CF5A70C23027}" name="LAI_Start_BBCH" dataDxfId="3029">
      <calculatedColumnFormula array="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5B7349E-422A-414E-ACA8-E7CF4EE21149}" name="LAI_Max_BBCH" dataDxfId="3028">
      <calculatedColumnFormula array="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131EB16-67E9-4E20-9345-246D8885B4F1}" name="LAI_End_BBCH" dataDxfId="3027">
      <calculatedColumnFormula array="1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EC9287E-C8BC-4774-A00B-EBCB6E24FB0E}" name="Fruiting_Start_BBCH" dataDxfId="3026">
      <calculatedColumnFormula array="1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50F87E8B-3165-4B17-B7B3-276BB6723492}" name="N_Deficiency_kg/ha" dataDxfId="3025"/>
    <tableColumn id="71" xr3:uid="{DA3851C5-7DFA-4082-97D8-5573DA0593AF}" name="P_Deficiency_kg/ha" dataDxfId="3024"/>
    <tableColumn id="72" xr3:uid="{8F6E19DC-FA77-4CC6-8005-DDC1A5E9DE74}" name="K_deficiency_kg/ha" dataDxfId="3023"/>
    <tableColumn id="73" xr3:uid="{C76670C7-D90A-44BC-A075-3F7682678708}" name="Sowing_Start_Season" dataDxfId="3022"/>
    <tableColumn id="74" xr3:uid="{DA34277B-0FF3-4A97-AD43-2536BA2CA810}" name="Sowing_End_Season" dataDxfId="3021"/>
    <tableColumn id="75" xr3:uid="{A8FFEDD8-961C-440F-8E7F-0BE066BB3D05}" name="Sand" dataDxfId="3020"/>
    <tableColumn id="76" xr3:uid="{4AB85CB4-648D-4071-8107-E88C0DB86C9D}" name="Loamy Sand" dataDxfId="3019"/>
    <tableColumn id="77" xr3:uid="{2B40C26D-82C3-428A-BF13-A8FF615FF5A0}" name="Sandy Loam" dataDxfId="3018"/>
    <tableColumn id="78" xr3:uid="{0C8F1E0B-8C61-4780-B37D-6779C4C58958}" name="Loam" dataDxfId="3017"/>
    <tableColumn id="79" xr3:uid="{93A09D8E-582D-4736-B19D-9678DD72AB2B}" name="Silt Loam" dataDxfId="3016"/>
    <tableColumn id="80" xr3:uid="{A882CBA1-3057-4976-9DB5-EC33A805882A}" name="Clay Loam" dataDxfId="3015"/>
    <tableColumn id="81" xr3:uid="{2E76C36E-FC8F-4258-95E3-B7AAAF77A2EC}" name="Silt" dataDxfId="3014"/>
    <tableColumn id="82" xr3:uid="{25784BC2-57C8-4503-92FB-3C9B7C7146E2}" name="Sandy Clay" dataDxfId="3013"/>
    <tableColumn id="83" xr3:uid="{56821D6E-01E4-4523-BDD0-C14CAD260DB5}" name="Silty Clay Loam" dataDxfId="3012"/>
    <tableColumn id="84" xr3:uid="{5341A423-EA98-446F-B14B-46E4D4368BE8}" name="Silty Clay" dataDxfId="3011"/>
    <tableColumn id="85" xr3:uid="{241B8D77-A102-4AC1-A888-7F81FCE46B3B}" name="Clay" dataDxfId="3010"/>
    <tableColumn id="86" xr3:uid="{9D8D7B0F-94FB-4019-8FA3-1462163C42F8}" name="Sandy Clay Loam" dataDxfId="300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58F3644-2074-40FB-AD19-7175C3632705}" name="CropNorms_FrenchBeans" displayName="CropNorms_FrenchBeans" ref="B147:CL153" totalsRowShown="0" headerRowDxfId="3008" dataDxfId="3006" headerRowBorderDxfId="3007" tableBorderDxfId="3005">
  <tableColumns count="89">
    <tableColumn id="1" xr3:uid="{196004C1-7254-4963-8BB4-F76A9A37A4CB}" name="Crop_Name" dataDxfId="3004"/>
    <tableColumn id="2" xr3:uid="{39E20DCB-1778-473D-9D18-F7128D61A567}" name="Variety_Name" dataDxfId="3003"/>
    <tableColumn id="3" xr3:uid="{6BBBECA3-77EE-4383-A6DD-B43908F3976D}" name="Variety_Type" dataDxfId="3002"/>
    <tableColumn id="4" xr3:uid="{738AE6C9-7ED3-4BFF-BF51-06A8A8A58B1A}" name="Height_Class" dataDxfId="3001"/>
    <tableColumn id="5" xr3:uid="{2AF16BD7-5D89-43AD-8E14-B161D79DA20E}" name="Height_cm" dataDxfId="3000"/>
    <tableColumn id="6" xr3:uid="{5E00A460-659F-4A55-A27E-0A4729744963}" name="Nutrient_Content" dataDxfId="2999"/>
    <tableColumn id="7" xr3:uid="{ACB680E1-1C7E-4F75-B4CB-2E8226C37BAC}" name="Common_Disease_Tolerance" dataDxfId="2998"/>
    <tableColumn id="8" xr3:uid="{66CB5020-9A09-4A07-9360-0DE01A12B86D}" name="Common_Pest_Tolerance" dataDxfId="2997"/>
    <tableColumn id="9" xr3:uid="{A96E1FF8-6E5F-4941-A045-C3FD004ADD5E}" name="Environmental_Resilience" dataDxfId="2996"/>
    <tableColumn id="10" xr3:uid="{4172B086-466F-40EA-84E0-E7F9905DCFC5}" name="Category" dataDxfId="2995"/>
    <tableColumn id="11" xr3:uid="{98F269F9-D68A-46EB-A68F-38F959E67E15}" name="Country" dataDxfId="2994"/>
    <tableColumn id="12" xr3:uid="{428820E6-A20E-43D9-B57E-D33197A5C23B}" name="Season" dataDxfId="2993"/>
    <tableColumn id="13" xr3:uid="{1D360E1E-0BE7-414F-A822-8C9A07123F7E}" name="PAR" dataDxfId="2992"/>
    <tableColumn id="14" xr3:uid="{2DBDE29B-B97D-4535-8840-6BC9BBFCAE01}" name="Region" dataDxfId="2991"/>
    <tableColumn id="15" xr3:uid="{FC1D2389-5AC8-46FF-B78A-A90621869F5F}" name="Seed_Weight_mg" dataDxfId="2990"/>
    <tableColumn id="16" xr3:uid="{328EC32B-855D-4D4D-9D66-6DFFED8E6921}" name="Crop_Min_Temp" dataDxfId="2989"/>
    <tableColumn id="17" xr3:uid="{AF9F39C2-EB8C-4ADB-AD50-CCFFAFB702B9}" name="Base_Temp" dataDxfId="2988"/>
    <tableColumn id="18" xr3:uid="{4A01DFF6-7B0F-4311-9308-DD6609CF6DEB}" name="Opt._Temp" dataDxfId="2987"/>
    <tableColumn id="19" xr3:uid="{E7CD306D-9255-4EB9-8363-447095C1EB8A}" name="Upper_Temp" dataDxfId="2986"/>
    <tableColumn id="89" xr3:uid="{F1D89C08-CD4E-48E9-8217-28DF58A2DCE2}" name="Loss / Degree" dataDxfId="2985"/>
    <tableColumn id="20" xr3:uid="{BABDCD7E-2268-41D3-94F0-085889077AA4}" name="Min_Days" dataDxfId="2984"/>
    <tableColumn id="21" xr3:uid="{30E4F1EF-BBB7-43A9-8382-DD1208CDD62D}" name="Max_Days" dataDxfId="2983"/>
    <tableColumn id="22" xr3:uid="{417DB1E9-1F70-4A8C-8F04-5DE5A11781C6}" name="Ripening_S_GDD" dataDxfId="2982">
      <calculatedColumnFormula>_xlfn.XLOOKUP("Ripening", CropPhenology_FrenchBeans[Main_Stage], CropPhenology_FrenchBeans[Start_GDD], "Not Found")</calculatedColumnFormula>
    </tableColumn>
    <tableColumn id="23" xr3:uid="{B1269FF3-8282-428F-968B-DAA2548413B8}" name="Ripening_E_GDD" dataDxfId="2981">
      <calculatedColumnFormula array="1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calculatedColumnFormula>
    </tableColumn>
    <tableColumn id="24" xr3:uid="{51BCD9BD-5DDF-4114-9D08-74C75E553EBF}" name="Avg. Daily GDD" dataDxfId="2980">
      <calculatedColumnFormula>MIN(Y148/V148,MAX(X148/W148,R148,(X148/W148+Y148/V148)/2))</calculatedColumnFormula>
    </tableColumn>
    <tableColumn id="25" xr3:uid="{B0F9BB29-5DF2-4EDE-AD8F-A4B580AC30F5}" name="Days_to_Ripening" dataDxfId="2979">
      <calculatedColumnFormula>Y148/Z148</calculatedColumnFormula>
    </tableColumn>
    <tableColumn id="26" xr3:uid="{26E024B4-4AC9-45DD-97B7-175984A5DD7B}" name="Sunshine" dataDxfId="2978"/>
    <tableColumn id="27" xr3:uid="{70CCF5F1-648D-4835-ADA1-76D70D84C578}" name="Soil_Temp_Min" dataDxfId="2977"/>
    <tableColumn id="28" xr3:uid="{4A8CE5D9-5BF8-4D35-813D-F4D54A2E67A5}" name="VPA_Max" dataDxfId="2976"/>
    <tableColumn id="29" xr3:uid="{75FBD9FB-1BAE-4F1D-A014-95D9436BC816}" name="Humidity_Max" dataDxfId="2975"/>
    <tableColumn id="30" xr3:uid="{D76C1FE4-2849-4648-8EA1-18921B5312C8}" name="Dew_Point_Min" dataDxfId="2974"/>
    <tableColumn id="31" xr3:uid="{565D01B2-7692-46B6-A394-1FD5F423145B}" name="WS_2m_Max" dataDxfId="2973"/>
    <tableColumn id="32" xr3:uid="{2A211C6C-BC75-4350-8EDE-CCB95A346DA9}" name="GDD_Adjust" dataDxfId="2972">
      <calculatedColumnFormula>IFERROR((Y148-X148)/AA148,0)</calculatedColumnFormula>
    </tableColumn>
    <tableColumn id="33" xr3:uid="{600B9482-5346-4329-9FB2-8EC2206C9FB9}" name="pH_Min" dataDxfId="2971"/>
    <tableColumn id="34" xr3:uid="{D621B82C-4666-4679-998A-7235F521C24E}" name="pH_Max" dataDxfId="2970"/>
    <tableColumn id="87" xr3:uid="{AD093105-0BC6-4028-A09F-DBD3642A8AF9}" name="ECt" dataDxfId="2969"/>
    <tableColumn id="88" xr3:uid="{2B1AF772-4371-4BC4-B16C-7ABC97DDE0A8}" name="Slope" dataDxfId="2968"/>
    <tableColumn id="35" xr3:uid="{41F7AF07-D121-4E3E-919E-5CC9910BBE41}" name="CWR_Min" dataDxfId="2967"/>
    <tableColumn id="36" xr3:uid="{B8D11C32-4153-4384-9A41-FB60E1758C59}" name="CWR_Max" dataDxfId="2966"/>
    <tableColumn id="37" xr3:uid="{C02AA14C-D91E-45BF-B6A5-DCBA4BAFBA68}" name="Sowing_Depth_cm" dataDxfId="2965"/>
    <tableColumn id="38" xr3:uid="{38EC9480-B310-4624-9428-7D27B96CF297}" name="Root_Depth_cm" dataDxfId="2964"/>
    <tableColumn id="39" xr3:uid="{738DA6B3-BB69-476C-9EA2-F7D4DC20DE90}" name="Stress_Tolerance_Index" dataDxfId="2963"/>
    <tableColumn id="40" xr3:uid="{27FFE060-4AA9-4E3B-ABC5-F1854666E83E}" name="Row_Spacing_cm" dataDxfId="2962"/>
    <tableColumn id="41" xr3:uid="{8E8841A4-7E23-4285-B88E-FE36EB968AE1}" name="Plant_to_Plant_cm" dataDxfId="2961"/>
    <tableColumn id="42" xr3:uid="{93807E18-93C7-4945-A4ED-AC4916F230B9}" name="Seed_Per_Spot" dataDxfId="2960"/>
    <tableColumn id="43" xr3:uid="{6A7AE586-8461-40AC-8D6B-96E3E8E6C636}" name="Seed_Rate_m2" dataDxfId="2959">
      <calculatedColumnFormula>IFERROR(10000/(AS148*AR148),0)*AT148</calculatedColumnFormula>
    </tableColumn>
    <tableColumn id="44" xr3:uid="{5FB2C312-2016-4037-85F4-8E0B8BFEC39E}" name="Seed_Weight_kg/ha" dataDxfId="2958">
      <calculatedColumnFormula>ROUND((P148/1000000)*AU148*10000,2)</calculatedColumnFormula>
    </tableColumn>
    <tableColumn id="45" xr3:uid="{76741047-7F96-4978-A06C-947A80171F37}" name="Germination_%" dataDxfId="2957"/>
    <tableColumn id="46" xr3:uid="{EE2E8A41-1C49-4FAF-A153-D2948D19B999}" name="Effective_Plants_m2" dataDxfId="2956">
      <calculatedColumnFormula>IFERROR((AU148*AW148/100),0)</calculatedColumnFormula>
    </tableColumn>
    <tableColumn id="47" xr3:uid="{10FD39E1-7F07-471D-8370-68705B8395B1}" name="Tillers_Per_Plant" dataDxfId="2955"/>
    <tableColumn id="48" xr3:uid="{CAF35D7C-0473-4668-BC74-5F7AB1F37296}" name="Shoots_Per_m2" dataDxfId="2954">
      <calculatedColumnFormula>IFERROR(AX148*AY148,0)</calculatedColumnFormula>
    </tableColumn>
    <tableColumn id="49" xr3:uid="{11B723B5-249E-445F-A856-B84294715A92}" name="Survival_Ratio" dataDxfId="2953"/>
    <tableColumn id="50" xr3:uid="{51B2EEA8-4818-4B21-BA35-9EC2772F8996}" name="Shoot_Bearing_m2" dataDxfId="2952">
      <calculatedColumnFormula>IFERROR(AZ148*BA148,0)</calculatedColumnFormula>
    </tableColumn>
    <tableColumn id="51" xr3:uid="{D648A1A7-77B9-4C65-8127-2C83E738C933}" name="Leaf_Area_Per_Shoot_m2" dataDxfId="2951"/>
    <tableColumn id="52" xr3:uid="{0603EC37-AD92-474C-96D6-79DA335B832B}" name="Start_LAI" dataDxfId="2950">
      <calculatedColumnFormula>IFERROR(
  MAX(0.05, MIN(0.5, CropNorms_FrenchBeans[[#This Row],[Leaf_Area_Per_Shoot_m2]] * CropNorms_FrenchBeans[[#This Row],[Shoot_Bearing_m2]] )),
  0.2
)</calculatedColumnFormula>
    </tableColumn>
    <tableColumn id="53" xr3:uid="{A63ED36E-0B8F-4AD2-9F17-756773FB3323}" name="LAI_Start_GDD" dataDxfId="2949">
      <calculatedColumnFormula>_xlfn.XLOOKUP(CropNorms_FrenchBeans[[#This Row],[LAI_Start_BBCH]], CropPhenology_FrenchBeans[Sub_Stage], CropPhenology_FrenchBeans[Start_GDD], "Not Found")</calculatedColumnFormula>
    </tableColumn>
    <tableColumn id="54" xr3:uid="{65C80649-D0CD-46DF-A66F-197E02534523}" name="Max_LAI" dataDxfId="2948">
      <calculatedColumnFormula>ROUND(CropNorms_FrenchBeans[[#This Row],[Shoot_Bearing_m2]]*CropNorms_FrenchBeans[[#This Row],[Leaf_Area_Per_Shoot_m2]],2)</calculatedColumnFormula>
    </tableColumn>
    <tableColumn id="55" xr3:uid="{CC0C8B0B-B064-495D-BB09-780EF6DEA30F}" name="LAI_Max_GDD" dataDxfId="2947">
      <calculatedColumnFormula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calculatedColumnFormula>
    </tableColumn>
    <tableColumn id="56" xr3:uid="{35FB1977-41DC-434A-AB62-B29773FB7F06}" name="End_LAI" dataDxfId="2946">
      <calculatedColumnFormula>IF(CropNorms_FrenchBeans[[#This Row],[Max_LAI]]&gt;=1.2, 0.85*CropNorms_FrenchBeans[[#This Row],[Max_LAI]], 1)</calculatedColumnFormula>
    </tableColumn>
    <tableColumn id="57" xr3:uid="{F18F5384-D058-410C-A771-C16962DC3CE4}" name="LAI_End_GDD" dataDxfId="2945">
      <calculatedColumnFormula>_xlfn.XLOOKUP(CropNorms_FrenchBeans[[#This Row],[LAI_End_BBCH]], CropPhenology_FrenchBeans[Sub_Stage], CropPhenology_FrenchBeans[End_GDD], "Not Found")</calculatedColumnFormula>
    </tableColumn>
    <tableColumn id="58" xr3:uid="{6CADBD1C-2C8A-4598-84F4-9047CE2DE110}" name="RUE_Max" dataDxfId="2944">
      <calculatedColumnFormula array="1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CB9BD9BD-B243-49EA-88F4-BD3D27C2D06B}" name="RUE_Asymptote_Frac" dataDxfId="2943">
      <calculatedColumnFormula array="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5719622-EF36-4FBF-899E-AB74FF8AB44D}" name="RUE_LAI_Half_Sat" dataDxfId="2942">
      <calculatedColumnFormula array="1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41A127B-134D-4145-90A6-F6B0AFCE92BF}" name="RUE_Daily_Delta_Max" dataDxfId="2941">
      <calculatedColumnFormula array="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AFD704D-5DB4-401C-813D-D27F48C7E926}" name="HI" dataDxfId="2940"/>
    <tableColumn id="63" xr3:uid="{A6B2D54F-60D6-4383-93E2-C9668164962A}" name="DM:FM" dataDxfId="2939"/>
    <tableColumn id="64" xr3:uid="{879ECEF8-B17E-4969-AB19-F098259AE342}" name="Yield_t/ha" dataDxfId="2938"/>
    <tableColumn id="65" xr3:uid="{035FF51E-E6B3-402C-97BA-AF1C2E2B6216}" name="Yield_Type" dataDxfId="2937"/>
    <tableColumn id="66" xr3:uid="{F4D730F1-9C20-44F6-8082-930CF99E3653}" name="LAI_Start_BBCH" dataDxfId="2936">
      <calculatedColumnFormula array="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53C6D8B-FE12-401B-AB62-5FAC874E44A2}" name="LAI_Max_BBCH" dataDxfId="2935">
      <calculatedColumnFormula array="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30AD310-00FA-4B0D-AACE-0AE048D7ACBD}" name="LAI_End_BBCH" dataDxfId="2934">
      <calculatedColumnFormula array="1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9EF6321-A18E-43FB-8E40-3A0B16BE8A36}" name="Fruiting_Start_BBCH" dataDxfId="2933">
      <calculatedColumnFormula array="1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4DC1182D-AA62-4FEE-AE3E-23AF5A2416BB}" name="N_Deficiency_kg/ha" dataDxfId="2932"/>
    <tableColumn id="71" xr3:uid="{D82C27CA-21FF-405E-8137-B7CD8CDC1AEE}" name="P_Deficiency_kg/ha" dataDxfId="2931"/>
    <tableColumn id="72" xr3:uid="{00D1A0C4-57BE-4E57-8BA9-70979D3DEC43}" name="K_deficiency_kg/ha" dataDxfId="2930"/>
    <tableColumn id="73" xr3:uid="{7F61CB11-D424-4F7A-976C-7060C9B3ECC3}" name="Sowing_Start_Season" dataDxfId="2929"/>
    <tableColumn id="74" xr3:uid="{EB9B21BA-B288-4CFF-B854-A407DABA2069}" name="Sowing_End_Season" dataDxfId="2928"/>
    <tableColumn id="75" xr3:uid="{C11108E9-97A4-43BD-AA8E-CC3504287EC1}" name="Sand" dataDxfId="2927"/>
    <tableColumn id="76" xr3:uid="{2AB268E7-B330-4A6D-BDE7-FEC184F30934}" name="Loamy Sand" dataDxfId="2926"/>
    <tableColumn id="77" xr3:uid="{7C595B0F-DC83-47F9-AC51-4D6F7ACDB17E}" name="Sandy Loam" dataDxfId="2925"/>
    <tableColumn id="78" xr3:uid="{239D08BA-0E29-4BFC-8B5E-850EC77E5E14}" name="Loam" dataDxfId="2924"/>
    <tableColumn id="79" xr3:uid="{50D26B55-6E84-4C20-8B1A-D470D5FFA54D}" name="Silt Loam" dataDxfId="2923"/>
    <tableColumn id="80" xr3:uid="{6DBF9C28-C930-4BB1-8B42-A74251E3EC5F}" name="Clay Loam" dataDxfId="2922"/>
    <tableColumn id="81" xr3:uid="{40F03E3F-C554-4644-856B-B4552C28E7AE}" name="Silt" dataDxfId="2921"/>
    <tableColumn id="82" xr3:uid="{781C6D1C-7BCE-443C-8A27-18F037D5CD02}" name="Sandy Clay" dataDxfId="2920"/>
    <tableColumn id="83" xr3:uid="{7D682A33-DEA3-443B-BECA-0F847E5BEBF4}" name="Silty Clay Loam" dataDxfId="2919"/>
    <tableColumn id="84" xr3:uid="{39DBD6D0-378F-42D5-97CA-380654B7101D}" name="Silty Clay" dataDxfId="2918"/>
    <tableColumn id="85" xr3:uid="{3F37D47C-F642-4A78-93D0-B3E6C437A5B9}" name="Clay" dataDxfId="2917"/>
    <tableColumn id="86" xr3:uid="{2B2ADAD3-8A03-418F-BC3C-3F3B49405F57}" name="Sandy Clay Loam" dataDxfId="291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A43F947-A8C3-491A-BCE5-8A31C1541BB5}" name="CropNorms_KidneyBeans" displayName="CropNorms_KidneyBeans" ref="B155:CL163" totalsRowShown="0" headerRowDxfId="2915" dataDxfId="2913" headerRowBorderDxfId="2914" tableBorderDxfId="2912">
  <tableColumns count="89">
    <tableColumn id="1" xr3:uid="{B784551F-AC75-4F92-A940-6381A534843C}" name="Crop_Name" dataDxfId="2911"/>
    <tableColumn id="2" xr3:uid="{151507D8-3E9F-487F-AE70-8BFC61E370A9}" name="Variety_Name" dataDxfId="2910"/>
    <tableColumn id="3" xr3:uid="{9BE84AD7-C65F-455B-8044-998F64BAEE2E}" name="Variety_Type" dataDxfId="2909"/>
    <tableColumn id="4" xr3:uid="{3501FA78-0DA4-45A5-8F08-9BE024854032}" name="Height_Class" dataDxfId="2908"/>
    <tableColumn id="5" xr3:uid="{D6AFC6AD-6777-482C-A1F3-ABA71C2DEADD}" name="Height_cm" dataDxfId="2907"/>
    <tableColumn id="6" xr3:uid="{56493DEE-F23F-4C68-BC6C-07B6A4BB9DC8}" name="Nutrient_Content" dataDxfId="2906"/>
    <tableColumn id="7" xr3:uid="{C084FBDC-8ED9-435B-914C-66A4D7549472}" name="Common_Disease_Tolerance" dataDxfId="2905"/>
    <tableColumn id="8" xr3:uid="{619A1D03-98C9-4EAD-AB3B-18BBF52F6D87}" name="Common_Pest_Tolerance" dataDxfId="2904"/>
    <tableColumn id="9" xr3:uid="{954C59E5-ADB5-496C-8531-6080A2821B13}" name="Environmental_Resilience" dataDxfId="2903"/>
    <tableColumn id="10" xr3:uid="{916E7F5B-372B-4AAA-A637-DAED468CC5AD}" name="Category" dataDxfId="2902"/>
    <tableColumn id="11" xr3:uid="{9F7E1D79-1DF2-4D23-B387-59D8189F6222}" name="Country" dataDxfId="2901"/>
    <tableColumn id="12" xr3:uid="{8C262BA3-FFF9-4451-837D-4A62B1D3725F}" name="Season" dataDxfId="2900"/>
    <tableColumn id="13" xr3:uid="{BAB7845B-CBE1-4D67-8EFA-39DFF9E79B0C}" name="PAR" dataDxfId="2899"/>
    <tableColumn id="14" xr3:uid="{D74BDB27-0927-47EF-9F6F-F6269E95DEB0}" name="Region" dataDxfId="2898"/>
    <tableColumn id="15" xr3:uid="{4B51473A-AC5D-4AF9-9722-94A9827D1701}" name="Seed_Weight_mg" dataDxfId="2897"/>
    <tableColumn id="16" xr3:uid="{31AF23EB-407D-4757-BE94-9DAF5F41A100}" name="Crop_Min_Temp" dataDxfId="2896"/>
    <tableColumn id="17" xr3:uid="{11CF33B2-D409-422B-9639-7B69E3C17902}" name="Base_Temp" dataDxfId="2895"/>
    <tableColumn id="18" xr3:uid="{B399DB8A-1680-4A1F-9211-1BF0D2377F5D}" name="Opt._Temp" dataDxfId="2894"/>
    <tableColumn id="19" xr3:uid="{27147CB6-360F-4B34-88CB-71D58E851B4D}" name="Upper_Temp" dataDxfId="2893"/>
    <tableColumn id="89" xr3:uid="{9F20DC15-0C00-4198-BC0E-3BA112FA6E27}" name="Loss / Degree" dataDxfId="2892"/>
    <tableColumn id="20" xr3:uid="{9979D227-B8DB-421E-9391-0200266F1BC9}" name="Min_Days" dataDxfId="2891"/>
    <tableColumn id="21" xr3:uid="{3A3B7D23-863B-4E90-B889-A6A75712F1C5}" name="Max_Days" dataDxfId="2890"/>
    <tableColumn id="22" xr3:uid="{FFFC5C8E-C0FF-4D32-AB72-3CDA7FA038DB}" name="Ripening_S_GDD" dataDxfId="2889">
      <calculatedColumnFormula>_xlfn.XLOOKUP("Ripening", CropPhenology_KidneyBeans[Main_Stage], CropPhenology_KidneyBeans[Start_GDD], "Not Found")</calculatedColumnFormula>
    </tableColumn>
    <tableColumn id="23" xr3:uid="{BD8BCB8C-9910-4AFB-BD22-74969FE71A25}" name="Ripening_E_GDD" dataDxfId="2888">
      <calculatedColumnFormula array="1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calculatedColumnFormula>
    </tableColumn>
    <tableColumn id="24" xr3:uid="{7B2BB4B5-6065-42FB-A880-8FB300D4B6B5}" name="Avg. Daily GDD" dataDxfId="2887">
      <calculatedColumnFormula>MIN(Y156/V156,MAX(X156/W156,R156,(X156/W156+Y156/V156)/2))</calculatedColumnFormula>
    </tableColumn>
    <tableColumn id="25" xr3:uid="{C910A2E6-A9F4-4FEE-A734-EC078571686E}" name="Days_to_Ripening" dataDxfId="2886">
      <calculatedColumnFormula>Y156/Z156</calculatedColumnFormula>
    </tableColumn>
    <tableColumn id="26" xr3:uid="{95802D32-42C7-4928-A97C-9F93B555EED8}" name="Sunshine" dataDxfId="2885"/>
    <tableColumn id="27" xr3:uid="{1D4DA340-043C-4B1A-9021-3E3AF2E66DD3}" name="Soil_Temp_Min" dataDxfId="2884"/>
    <tableColumn id="28" xr3:uid="{31A8FDB6-BEF4-4CAB-8E2C-BF02CC93D364}" name="VPA_Max" dataDxfId="2883"/>
    <tableColumn id="29" xr3:uid="{BD43A7CB-F560-4AE2-9060-3F924754E4E9}" name="Humidity_Max" dataDxfId="2882"/>
    <tableColumn id="30" xr3:uid="{E9B5512A-C70D-4208-AEF8-69570574B908}" name="Dew_Point_Min" dataDxfId="2881"/>
    <tableColumn id="31" xr3:uid="{1CC02A6E-881B-488F-9C5E-6612E9D35C0A}" name="WS_2m_Max" dataDxfId="2880"/>
    <tableColumn id="32" xr3:uid="{83203DA7-D5F9-4998-AFC2-E1739D7023A5}" name="GDD_Adjust" dataDxfId="2879">
      <calculatedColumnFormula>IFERROR((Y156-X156)/AA156,0)</calculatedColumnFormula>
    </tableColumn>
    <tableColumn id="33" xr3:uid="{6454D233-F871-4A92-83A3-5DD951517951}" name="pH_Min" dataDxfId="2878"/>
    <tableColumn id="34" xr3:uid="{75AE4CE0-49E0-41FD-83BC-2625EBF3DC5A}" name="pH_Max" dataDxfId="2877"/>
    <tableColumn id="87" xr3:uid="{E33F20C5-11A6-4904-8549-1B2423686DA1}" name="ECt" dataDxfId="2876"/>
    <tableColumn id="88" xr3:uid="{BBF3ECE5-A7C8-49E0-9968-70E43B3BBAB5}" name="Slope" dataDxfId="2875"/>
    <tableColumn id="35" xr3:uid="{66B92D34-BCDD-4E64-B873-16C92900C058}" name="CWR_Min" dataDxfId="2874"/>
    <tableColumn id="36" xr3:uid="{5C87F83C-0670-4334-8188-7914153878CE}" name="CWR_Max" dataDxfId="2873"/>
    <tableColumn id="37" xr3:uid="{B70814AA-492E-4532-A487-FF52576CBA15}" name="Sowing_Depth_cm" dataDxfId="2872"/>
    <tableColumn id="38" xr3:uid="{3ED52C2D-04D0-4CDF-B220-83C41057AC5D}" name="Root_Depth_cm" dataDxfId="2871"/>
    <tableColumn id="39" xr3:uid="{086400EF-E384-4152-8CAA-8F23AA358B37}" name="Stress_Tolerance_Index" dataDxfId="2870"/>
    <tableColumn id="40" xr3:uid="{B53BC958-B439-4F8A-BE84-4D15594D9067}" name="Row_Spacing_cm" dataDxfId="2869"/>
    <tableColumn id="41" xr3:uid="{98EE8C93-8EFD-4864-9165-2FBCA0E9349A}" name="Plant_to_Plant_cm" dataDxfId="2868"/>
    <tableColumn id="42" xr3:uid="{586EE7A1-BC25-4D93-8B27-EE8A858043B2}" name="Seed_Per_Spot" dataDxfId="2867"/>
    <tableColumn id="43" xr3:uid="{D1889D36-DECE-458B-8026-D092ED466349}" name="Seed_Rate_m2" dataDxfId="2866">
      <calculatedColumnFormula>IFERROR(10000/(AS156*AR156),0)*AT156</calculatedColumnFormula>
    </tableColumn>
    <tableColumn id="44" xr3:uid="{5D771C75-D9D1-4601-98FB-E0E37EFED306}" name="Seed_Weight_kg/ha" dataDxfId="2865">
      <calculatedColumnFormula>ROUND((P156/1000000)*AU156*10000,2)</calculatedColumnFormula>
    </tableColumn>
    <tableColumn id="45" xr3:uid="{0099B6F0-F1E7-4936-987C-5C3BEBE1967D}" name="Germination_%" dataDxfId="2864"/>
    <tableColumn id="46" xr3:uid="{A63A7A34-3781-47E4-B0AE-5127E766393D}" name="Effective_Plants_m2" dataDxfId="2863">
      <calculatedColumnFormula>IFERROR((AU156*AW156/100),0)</calculatedColumnFormula>
    </tableColumn>
    <tableColumn id="47" xr3:uid="{00E7DC2F-BA69-44B4-AF85-96D8C45A8C12}" name="Tillers_Per_Plant" dataDxfId="2862"/>
    <tableColumn id="48" xr3:uid="{A73CB0D7-CD52-4EA6-A44D-5038B2597645}" name="Shoots_Per_m2" dataDxfId="2861">
      <calculatedColumnFormula>IFERROR(AX156*AY156,0)</calculatedColumnFormula>
    </tableColumn>
    <tableColumn id="49" xr3:uid="{563CB509-E084-4AA0-B47B-9FE31F57214A}" name="Survival_Ratio" dataDxfId="2860"/>
    <tableColumn id="50" xr3:uid="{4315F199-319D-46EE-B2C1-563A1C8775F8}" name="Shoot_Bearing_m2" dataDxfId="2859">
      <calculatedColumnFormula>IFERROR(AZ156*BA156,0)</calculatedColumnFormula>
    </tableColumn>
    <tableColumn id="51" xr3:uid="{90648A24-95EA-46D7-B345-6BEC70069A25}" name="Leaf_Area_Per_Shoot_m2" dataDxfId="2858"/>
    <tableColumn id="52" xr3:uid="{3F4B40A9-9C95-4531-897D-69AB8F1478E5}" name="Start_LAI" dataDxfId="2857">
      <calculatedColumnFormula>IFERROR(
  MAX(0.05, MIN(0.5, CropNorms_KidneyBeans[[#This Row],[Leaf_Area_Per_Shoot_m2]] * CropNorms_KidneyBeans[[#This Row],[Shoot_Bearing_m2]] )),
  0.2
)</calculatedColumnFormula>
    </tableColumn>
    <tableColumn id="53" xr3:uid="{68F26FA7-49AC-483F-840A-2204FE879C22}" name="LAI_Start_GDD" dataDxfId="2856">
      <calculatedColumnFormula>_xlfn.XLOOKUP(CropNorms_KidneyBeans[[#This Row],[LAI_Start_BBCH]], CropPhenology_KidneyBeans[Sub_Stage], CropPhenology_KidneyBeans[Start_GDD], "Not Found")</calculatedColumnFormula>
    </tableColumn>
    <tableColumn id="54" xr3:uid="{E83812FB-FA51-4164-8D08-87F1F7D54448}" name="Max_LAI" dataDxfId="2855">
      <calculatedColumnFormula>ROUND(CropNorms_KidneyBeans[[#This Row],[Shoot_Bearing_m2]]*CropNorms_KidneyBeans[[#This Row],[Leaf_Area_Per_Shoot_m2]],2)</calculatedColumnFormula>
    </tableColumn>
    <tableColumn id="55" xr3:uid="{F5F406C9-8B5A-4760-BF6C-0890659A6C53}" name="LAI_Max_GDD" dataDxfId="2854">
      <calculatedColumnFormula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calculatedColumnFormula>
    </tableColumn>
    <tableColumn id="56" xr3:uid="{7EEDB97C-01F4-4FD5-8704-3347414AC548}" name="End_LAI" dataDxfId="2853">
      <calculatedColumnFormula>IF(CropNorms_KidneyBeans[[#This Row],[Max_LAI]]&gt;=1.2, 0.85*CropNorms_KidneyBeans[[#This Row],[Max_LAI]], 1)</calculatedColumnFormula>
    </tableColumn>
    <tableColumn id="57" xr3:uid="{5D30A8BB-29B8-445B-A8DD-544079687FC6}" name="LAI_End_GDD" dataDxfId="2852">
      <calculatedColumnFormula>_xlfn.XLOOKUP(CropNorms_KidneyBeans[[#This Row],[LAI_End_BBCH]], CropPhenology_KidneyBeans[Sub_Stage], CropPhenology_KidneyBeans[End_GDD], "Not Found")</calculatedColumnFormula>
    </tableColumn>
    <tableColumn id="58" xr3:uid="{EE5B12CB-2790-4EAA-B112-AC8DC0EC0CC2}" name="RUE_Max" dataDxfId="2851">
      <calculatedColumnFormula array="1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10BDE8E-7942-4A29-AEA1-DE61C156F0F7}" name="RUE_Asymptote_Frac" dataDxfId="2850">
      <calculatedColumnFormula array="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D86F427-0EE2-43DE-9B7D-266B29C186B5}" name="RUE_LAI_Half_Sat" dataDxfId="2849">
      <calculatedColumnFormula array="1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3092E92-CCED-4D1E-9C94-544CFCCF3E73}" name="RUE_Daily_Delta_Max" dataDxfId="2848">
      <calculatedColumnFormula array="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4AA9AA1-5DB0-4042-B4C8-D5CD1A01CB79}" name="HI" dataDxfId="2847"/>
    <tableColumn id="63" xr3:uid="{4EA74784-F5C5-4F2D-BCE0-BE94194D2E7F}" name="DM:FM" dataDxfId="2846"/>
    <tableColumn id="64" xr3:uid="{62DD8079-D4AF-4CB2-94BD-C9BF8EF06DC3}" name="Yield_t/ha" dataDxfId="2845"/>
    <tableColumn id="65" xr3:uid="{84510F88-8259-4AAD-8980-D7BF8789C4FE}" name="Yield_Type" dataDxfId="2844"/>
    <tableColumn id="66" xr3:uid="{355767E5-FFE5-4CA8-BC4D-E9B75959F85D}" name="LAI_Start_BBCH" dataDxfId="2843">
      <calculatedColumnFormula array="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5ACB9F91-10B1-4A30-9F74-D75756C6DE19}" name="LAI_Max_BBCH" dataDxfId="2842">
      <calculatedColumnFormula array="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E8695F79-E362-42F0-8D85-F2F3BAE98C59}" name="LAI_End_BBCH" dataDxfId="2841">
      <calculatedColumnFormula array="1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820CDD8-FA8E-41A0-B9B7-1DF3CAE6C0C9}" name="Fruiting_Start_BBCH" dataDxfId="2840">
      <calculatedColumnFormula array="1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38A64A1-DA50-421F-917D-E4FACA1BD94E}" name="N_Deficiency_kg/ha" dataDxfId="2839"/>
    <tableColumn id="71" xr3:uid="{4AC8A675-D639-4046-B325-E5F188FD17C7}" name="P_Deficiency_kg/ha" dataDxfId="2838"/>
    <tableColumn id="72" xr3:uid="{DECA5757-B72B-4A76-B340-D2513D229C35}" name="K_deficiency_kg/ha" dataDxfId="2837"/>
    <tableColumn id="73" xr3:uid="{D8E8A3F5-9921-45B7-9E95-29E07D1371DA}" name="Sowing_Start_Season" dataDxfId="2836"/>
    <tableColumn id="74" xr3:uid="{38A635E7-2074-43DA-B507-388BF6B35214}" name="Sowing_End_Season" dataDxfId="2835"/>
    <tableColumn id="75" xr3:uid="{B7E47822-852C-4DEB-A442-5EA64C4F40F5}" name="Sand" dataDxfId="2834"/>
    <tableColumn id="76" xr3:uid="{FF45E202-8E6F-4AA9-A17F-07A2C38EAEB4}" name="Loamy Sand" dataDxfId="2833"/>
    <tableColumn id="77" xr3:uid="{71F76FD3-C5F1-49FE-A421-EE3BE1BD7E35}" name="Sandy Loam" dataDxfId="2832"/>
    <tableColumn id="78" xr3:uid="{33D42E7E-A963-4CDE-B168-B98F828FBA95}" name="Loam" dataDxfId="2831"/>
    <tableColumn id="79" xr3:uid="{F0745369-A424-48CA-B342-E3050DA05121}" name="Silt Loam" dataDxfId="2830"/>
    <tableColumn id="80" xr3:uid="{5599915F-522E-40E2-85E5-B0F8FAD1E4B8}" name="Clay Loam" dataDxfId="2829"/>
    <tableColumn id="81" xr3:uid="{6E874B21-16F4-482E-A774-5B1F4232D0D5}" name="Silt" dataDxfId="2828"/>
    <tableColumn id="82" xr3:uid="{A7B37D5E-791C-499E-9AD1-49102AFC70E4}" name="Sandy Clay" dataDxfId="2827"/>
    <tableColumn id="83" xr3:uid="{DD99069F-79E1-4DA5-B34E-39A0229BA0BF}" name="Silty Clay Loam" dataDxfId="2826"/>
    <tableColumn id="84" xr3:uid="{B427471C-8BB3-422F-9A47-BCBE1989AF7A}" name="Silty Clay" dataDxfId="2825"/>
    <tableColumn id="85" xr3:uid="{08ABA17C-F88B-4BAB-ACB0-31621D4264FB}" name="Clay" dataDxfId="2824"/>
    <tableColumn id="86" xr3:uid="{58D2FED6-02F3-4019-92D6-68DAF65AD0E9}" name="Sandy Clay Loam" dataDxfId="282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8CEDE47-64C2-4343-86E0-552E460151CC}" name="CropNorms_Lentil" displayName="CropNorms_Lentil" ref="B165:CL171" totalsRowShown="0" headerRowDxfId="2822" dataDxfId="2820" headerRowBorderDxfId="2821" tableBorderDxfId="2819">
  <tableColumns count="89">
    <tableColumn id="1" xr3:uid="{81D91D2C-C9CA-4849-835C-8064B900E139}" name="Crop_Name" dataDxfId="2818"/>
    <tableColumn id="2" xr3:uid="{FB6A3363-858F-4CF2-8454-85A3F12C3E53}" name="Variety_Name" dataDxfId="2817"/>
    <tableColumn id="3" xr3:uid="{E9166C5B-3EA9-4601-9883-2DBC31BC64C0}" name="Variety_Type" dataDxfId="2816"/>
    <tableColumn id="4" xr3:uid="{8F01502E-9221-48C3-8F93-D729030453B3}" name="Height_Class" dataDxfId="2815"/>
    <tableColumn id="5" xr3:uid="{3D706BA1-5D12-4BBE-A983-13BF22AD676A}" name="Height_cm" dataDxfId="2814"/>
    <tableColumn id="6" xr3:uid="{3C8829BE-D721-455E-BCB7-6D35E6F4AD4E}" name="Nutrient_Content" dataDxfId="2813"/>
    <tableColumn id="7" xr3:uid="{6A555643-53AA-45C7-86C4-D83DA8545833}" name="Common_Disease_Tolerance" dataDxfId="2812"/>
    <tableColumn id="8" xr3:uid="{FA3F489D-B26D-46CC-938B-30903123BB71}" name="Common_Pest_Tolerance" dataDxfId="2811"/>
    <tableColumn id="9" xr3:uid="{D2F3512E-F8E9-4FCE-94F3-EC3C563C982E}" name="Environmental_Resilience" dataDxfId="2810"/>
    <tableColumn id="10" xr3:uid="{FCB0F495-A497-4406-97C0-3B7B71389647}" name="Category" dataDxfId="2809"/>
    <tableColumn id="11" xr3:uid="{63E8F9C8-CABB-4214-9D3C-ACB0D8CEC5D7}" name="Country" dataDxfId="2808"/>
    <tableColumn id="12" xr3:uid="{DD610021-544D-4A09-8ABA-6E722B69C8E4}" name="Season" dataDxfId="2807"/>
    <tableColumn id="13" xr3:uid="{6081B39E-A486-4240-AB35-32A7A84BDA8F}" name="PAR" dataDxfId="2806"/>
    <tableColumn id="14" xr3:uid="{9B1D5DFD-0F69-4147-8AE7-D2B10A5A83BB}" name="Region" dataDxfId="2805"/>
    <tableColumn id="15" xr3:uid="{BEECAB10-E8AC-438D-939E-339443995CF2}" name="Seed_Weight_mg" dataDxfId="2804"/>
    <tableColumn id="16" xr3:uid="{A148A64D-6EB0-409F-BEEC-C8A5CF25978A}" name="Crop_Min_Temp" dataDxfId="2803"/>
    <tableColumn id="17" xr3:uid="{612D33C8-27F4-43BD-904C-D5A29266C48C}" name="Base_Temp" dataDxfId="2802"/>
    <tableColumn id="18" xr3:uid="{9CEFE1BC-F314-4FE1-B501-56DB291CB027}" name="Opt._Temp" dataDxfId="2801"/>
    <tableColumn id="19" xr3:uid="{C0E16C61-5A79-45E4-B23A-DCE36C74070F}" name="Upper_Temp" dataDxfId="2800"/>
    <tableColumn id="89" xr3:uid="{66A18149-7FA1-40F1-84D8-DD956BDCFE6C}" name="Loss / Degree" dataDxfId="2799"/>
    <tableColumn id="20" xr3:uid="{5F0A2F94-6952-4B1C-BACC-6D0220DE3691}" name="Min_Days" dataDxfId="2798"/>
    <tableColumn id="21" xr3:uid="{717D92A6-D6C5-4896-9595-1B909BD10481}" name="Max_Days" dataDxfId="2797"/>
    <tableColumn id="22" xr3:uid="{EEB55090-FD13-4F57-B88C-B3F5674BCA29}" name="Ripening_S_GDD" dataDxfId="2796">
      <calculatedColumnFormula>_xlfn.XLOOKUP("Ripening", CropPhenology_Lentil[Main_Stage], CropPhenology_Lentil[Start_GDD], "Not Found")</calculatedColumnFormula>
    </tableColumn>
    <tableColumn id="23" xr3:uid="{FEF04035-A1CB-4D01-A8A9-A75042D5AC95}" name="Ripening_E_GDD" dataDxfId="2795">
      <calculatedColumnFormula array="1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calculatedColumnFormula>
    </tableColumn>
    <tableColumn id="24" xr3:uid="{BF73263F-B24D-4B61-99D9-148632FA5AA2}" name="Avg. Daily GDD" dataDxfId="2794">
      <calculatedColumnFormula>MIN(Y166/V166,MAX(X166/W166,R166,(X166/W166+Y166/V166)/2))</calculatedColumnFormula>
    </tableColumn>
    <tableColumn id="25" xr3:uid="{EE29CE1E-ABCC-41AD-A015-24D5E2E759A4}" name="Days_to_Ripening" dataDxfId="2793">
      <calculatedColumnFormula>Y166/Z166</calculatedColumnFormula>
    </tableColumn>
    <tableColumn id="26" xr3:uid="{4D09461C-ABA6-4F48-A917-CF524A19765A}" name="Sunshine" dataDxfId="2792"/>
    <tableColumn id="27" xr3:uid="{765A60ED-99B4-4F77-A08E-D45D96F1D22A}" name="Soil_Temp_Min" dataDxfId="2791"/>
    <tableColumn id="28" xr3:uid="{9380CD3E-8173-4CC2-BF5E-7604EFB15EE1}" name="VPA_Max" dataDxfId="2790"/>
    <tableColumn id="29" xr3:uid="{DBFE981C-D036-4903-B648-546E5D425FEC}" name="Humidity_Max" dataDxfId="2789"/>
    <tableColumn id="30" xr3:uid="{DE789818-607D-4A65-AD2B-F97517D622DA}" name="Dew_Point_Min" dataDxfId="2788"/>
    <tableColumn id="31" xr3:uid="{7B723431-AF64-4336-B33B-9B9E216E4872}" name="WS_2m_Max" dataDxfId="2787"/>
    <tableColumn id="32" xr3:uid="{26CA36B4-3AA1-4B5F-8E16-D43ABF86A61D}" name="GDD_Adjust" dataDxfId="2786">
      <calculatedColumnFormula>IFERROR((Y166-X166)/AA166,0)</calculatedColumnFormula>
    </tableColumn>
    <tableColumn id="33" xr3:uid="{78EC4281-51D1-46D1-8656-D756497B4059}" name="pH_Min" dataDxfId="2785"/>
    <tableColumn id="34" xr3:uid="{E37D3517-AD09-4D67-B4DC-F5685C7E3DE9}" name="pH_Max" dataDxfId="2784"/>
    <tableColumn id="87" xr3:uid="{19A6C9CA-4504-4346-848A-7717DE5B0848}" name="ECt" dataDxfId="2783"/>
    <tableColumn id="88" xr3:uid="{15ECC487-A897-40B4-8081-CF8B08FE0797}" name="Slope" dataDxfId="2782"/>
    <tableColumn id="35" xr3:uid="{1048A3F7-92D6-4D52-B18E-0253E934A617}" name="CWR_Min" dataDxfId="2781"/>
    <tableColumn id="36" xr3:uid="{963E3702-D28F-407D-8667-06FB2F6CC230}" name="CWR_Max" dataDxfId="2780"/>
    <tableColumn id="37" xr3:uid="{3686CCC1-A73A-43EF-AB61-86DF3FF04BB4}" name="Sowing_Depth_cm" dataDxfId="2779"/>
    <tableColumn id="38" xr3:uid="{37BAB33A-07D9-49BE-8FBD-5B664D7FC99F}" name="Root_Depth_cm" dataDxfId="2778"/>
    <tableColumn id="39" xr3:uid="{40559461-D802-417D-9315-57EF231D04D5}" name="Stress_Tolerance_Index" dataDxfId="2777"/>
    <tableColumn id="40" xr3:uid="{60F9642E-A081-4495-8E34-A2F10ACB108E}" name="Row_Spacing_cm" dataDxfId="2776"/>
    <tableColumn id="41" xr3:uid="{78B33057-D0F8-4ED8-8180-159955B91A97}" name="Plant_to_Plant_cm" dataDxfId="2775"/>
    <tableColumn id="42" xr3:uid="{9A82B9FE-410C-4435-8112-39987D8A2F73}" name="Seed_Per_Spot" dataDxfId="2774"/>
    <tableColumn id="43" xr3:uid="{83F952B9-E8BE-46FD-8E00-29643649DB7A}" name="Seed_Rate_m2" dataDxfId="2773">
      <calculatedColumnFormula>IFERROR(10000/(AS166*AR166),0)*AT166</calculatedColumnFormula>
    </tableColumn>
    <tableColumn id="44" xr3:uid="{F20D5344-A5EF-43A5-BD2F-729FC00EAD8E}" name="Seed_Weight_kg/ha" dataDxfId="2772">
      <calculatedColumnFormula>ROUND((P166/1000000)*AU166*10000,2)</calculatedColumnFormula>
    </tableColumn>
    <tableColumn id="45" xr3:uid="{763D218F-03D7-4DBD-9684-C9C17F503C7F}" name="Germination_%" dataDxfId="2771"/>
    <tableColumn id="46" xr3:uid="{3BFC7492-D455-4384-99E5-9C2ACD1DB66F}" name="Effective_Plants_m2" dataDxfId="2770">
      <calculatedColumnFormula>IFERROR((AU166*AW166/100),0)</calculatedColumnFormula>
    </tableColumn>
    <tableColumn id="47" xr3:uid="{1FE5514B-0EE5-4301-9BC2-C16D05703562}" name="Tillers_Per_Plant" dataDxfId="2769"/>
    <tableColumn id="48" xr3:uid="{3755F782-2937-422B-85CA-0E68CD2AB0CF}" name="Shoots_Per_m2" dataDxfId="2768">
      <calculatedColumnFormula>IFERROR(AX166*AY166,0)</calculatedColumnFormula>
    </tableColumn>
    <tableColumn id="49" xr3:uid="{2861941A-1F8A-452E-90A4-075E1BFD1E15}" name="Survival_Ratio" dataDxfId="2767"/>
    <tableColumn id="50" xr3:uid="{8A175FE0-8C1F-40C4-80E0-FBA25EE9881A}" name="Shoot_Bearing_m2" dataDxfId="2766">
      <calculatedColumnFormula>IFERROR(AZ166*BA166,0)</calculatedColumnFormula>
    </tableColumn>
    <tableColumn id="51" xr3:uid="{8A07C9BE-8F96-4CFD-BD63-034553D09B86}" name="Leaf_Area_Per_Shoot_m2" dataDxfId="2765"/>
    <tableColumn id="52" xr3:uid="{F0336B18-70B1-4F7E-BEF7-55B47FF35CD9}" name="Start_LAI" dataDxfId="2764">
      <calculatedColumnFormula>IFERROR(
  MAX(0.05, MIN(0.5, CropNorms_Lentil[[#This Row],[Leaf_Area_Per_Shoot_m2]] * CropNorms_Lentil[[#This Row],[Shoot_Bearing_m2]] )),
  0.2
)</calculatedColumnFormula>
    </tableColumn>
    <tableColumn id="53" xr3:uid="{CD60BE51-077A-47AC-B08A-D58E0EA15195}" name="LAI_Start_GDD" dataDxfId="2763">
      <calculatedColumnFormula>_xlfn.XLOOKUP(CropNorms_Lentil[[#This Row],[LAI_Start_BBCH]], CropPhenology_Lentil[Sub_Stage], CropPhenology_Lentil[Start_GDD], "Not Found")</calculatedColumnFormula>
    </tableColumn>
    <tableColumn id="54" xr3:uid="{5F24276D-89A1-4655-8204-5301FE02BADE}" name="Max_LAI" dataDxfId="2762">
      <calculatedColumnFormula>ROUND(CropNorms_Lentil[[#This Row],[Shoot_Bearing_m2]]*CropNorms_Lentil[[#This Row],[Leaf_Area_Per_Shoot_m2]],2)</calculatedColumnFormula>
    </tableColumn>
    <tableColumn id="55" xr3:uid="{7D887B91-C238-4AD4-980A-E267FF4BDC43}" name="LAI_Max_GDD" dataDxfId="2761">
      <calculatedColumnFormula>AVERAGE(
  _xlfn.XLOOKUP(CropNorms_Lentil[[#This Row],[LAI_Max_BBCH]], CropPhenology_Lentil[Sub_Stage], CropPhenology_Lentil[Start_GDD]),
  _xlfn.XLOOKUP(CropNorms_Lentil[[#This Row],[LAI_Max_BBCH]], CropPhenology_Lentil[Sub_Stage], CropPhenology_Lentil[End_GDD])
)</calculatedColumnFormula>
    </tableColumn>
    <tableColumn id="56" xr3:uid="{409B1198-4602-4964-A749-ECD493B55C46}" name="End_LAI" dataDxfId="2760">
      <calculatedColumnFormula>IF(CropNorms_Lentil[[#This Row],[Max_LAI]]&gt;=1.2, 0.85*CropNorms_Lentil[[#This Row],[Max_LAI]], 1)</calculatedColumnFormula>
    </tableColumn>
    <tableColumn id="57" xr3:uid="{B18F6F26-3356-49E7-A39C-41968F1CD91C}" name="LAI_End_GDD" dataDxfId="2759">
      <calculatedColumnFormula>_xlfn.XLOOKUP(CropNorms_Lentil[[#This Row],[LAI_End_BBCH]], CropPhenology_Lentil[Sub_Stage], CropPhenology_Lentil[End_GDD], "Not Found")</calculatedColumnFormula>
    </tableColumn>
    <tableColumn id="58" xr3:uid="{3C1C3604-34C4-4D66-B766-E1F7A7D2DFBA}" name="RUE_Max" dataDxfId="2758">
      <calculatedColumnFormula array="1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9282427-C7B3-4A2A-8DFE-43BEDAE97F2E}" name="RUE_Asymptote_Frac" dataDxfId="2757">
      <calculatedColumnFormula array="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565A699B-5CBB-4536-9887-8B78A05F0C6D}" name="RUE_LAI_Half_Sat" dataDxfId="2756">
      <calculatedColumnFormula array="1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BA49C20-DA80-45AD-9B67-9E5FAE8FA292}" name="RUE_Daily_Delta_Max" dataDxfId="2755">
      <calculatedColumnFormula array="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E179D0ED-4FD2-4400-A298-E8AF1641285D}" name="HI" dataDxfId="2754"/>
    <tableColumn id="63" xr3:uid="{2EE4CD36-A3AC-485E-BA7E-5307AC424630}" name="DM:FM" dataDxfId="2753"/>
    <tableColumn id="64" xr3:uid="{AEF4F1A9-68F6-4775-A1F7-BC4B631DB2F9}" name="Yield_t/ha" dataDxfId="2752"/>
    <tableColumn id="65" xr3:uid="{55DD95BF-9C61-4AC0-A8F0-E6C7BF7E11C5}" name="Yield_Type" dataDxfId="2751"/>
    <tableColumn id="66" xr3:uid="{76810EAD-3C0E-46A7-8319-A91473574E07}" name="LAI_Start_BBCH" dataDxfId="2750">
      <calculatedColumnFormula array="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A54E40E3-7F90-43B1-8A2B-678EF409EFB4}" name="LAI_Max_BBCH" dataDxfId="2749">
      <calculatedColumnFormula array="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6B9D50C-1625-46DC-A9EF-C4FC4E1D0CEF}" name="LAI_End_BBCH" dataDxfId="2748">
      <calculatedColumnFormula array="1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66CB8310-0DFA-4604-B911-4D7623A0CE5F}" name="Fruiting_Start_BBCH" dataDxfId="2747">
      <calculatedColumnFormula array="1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1E6B6A3D-F72C-44D7-890F-F51ACA737075}" name="N_Deficiency_kg/ha" dataDxfId="2746"/>
    <tableColumn id="71" xr3:uid="{C646D350-43B7-4804-AA2D-53335E8A0D1F}" name="P_Deficiency_kg/ha" dataDxfId="2745"/>
    <tableColumn id="72" xr3:uid="{F13F9D91-6CF4-4F04-AA32-D08B91E78B14}" name="K_deficiency_kg/ha" dataDxfId="2744"/>
    <tableColumn id="73" xr3:uid="{16BE1C96-ABFC-40B9-8C07-B400F8B91A67}" name="Sowing_Start_Season" dataDxfId="2743"/>
    <tableColumn id="74" xr3:uid="{CE709B50-5370-48B3-9790-D45C36B74D34}" name="Sowing_End_Season" dataDxfId="2742"/>
    <tableColumn id="75" xr3:uid="{2091A747-920D-443A-9670-C0926D93CBD2}" name="Sand" dataDxfId="2741"/>
    <tableColumn id="76" xr3:uid="{6528BD1E-9919-4D6A-A75A-DE0D5A8DD684}" name="Loamy Sand" dataDxfId="2740"/>
    <tableColumn id="77" xr3:uid="{19E69742-B336-455A-BCC4-CDC6834ADBFB}" name="Sandy Loam" dataDxfId="2739"/>
    <tableColumn id="78" xr3:uid="{B5F805AB-A57D-45F7-8F54-193D486C5F26}" name="Loam" dataDxfId="2738"/>
    <tableColumn id="79" xr3:uid="{8596388D-546D-450E-B085-B766D3E97A28}" name="Silt Loam" dataDxfId="2737"/>
    <tableColumn id="80" xr3:uid="{8407FD0A-DEC5-4024-B551-C73C2D91EEC5}" name="Clay Loam" dataDxfId="2736"/>
    <tableColumn id="81" xr3:uid="{1D9BC4B0-BBC2-46C1-8795-2C04A6A69EC2}" name="Silt" dataDxfId="2735"/>
    <tableColumn id="82" xr3:uid="{A1A73FD8-1203-4EB9-85E2-925833C4B1E8}" name="Sandy Clay" dataDxfId="2734"/>
    <tableColumn id="83" xr3:uid="{D5B04B27-5D96-49EE-8A20-AB3DE0F0BE05}" name="Silty Clay Loam" dataDxfId="2733"/>
    <tableColumn id="84" xr3:uid="{8C11A76A-482C-49BF-9DFE-8307EA47B4A7}" name="Silty Clay" dataDxfId="2732"/>
    <tableColumn id="85" xr3:uid="{989CDB71-9831-44FC-ACCC-BD4689F2EFAA}" name="Clay" dataDxfId="2731"/>
    <tableColumn id="86" xr3:uid="{46463CCC-042F-47F3-AE10-B7AED58E68D3}" name="Sandy Clay Loam" dataDxfId="273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1E9B7FD-2043-4A31-8955-B6F4CC714EFE}" name="CropNorms_Maize" displayName="CropNorms_Maize" ref="B173:CL187" totalsRowShown="0" headerRowDxfId="2729" dataDxfId="2727" headerRowBorderDxfId="2728" tableBorderDxfId="2726">
  <tableColumns count="89">
    <tableColumn id="1" xr3:uid="{0D5E8DB6-0C4F-45D1-83BE-F9689E52AD6B}" name="Crop_Name" dataDxfId="2725"/>
    <tableColumn id="2" xr3:uid="{35B363BC-52B3-4CD2-9FE3-9F6365E484E0}" name="Variety_Name" dataDxfId="2724"/>
    <tableColumn id="3" xr3:uid="{DBB26505-491E-40F3-8F47-AD48BCFC7A67}" name="Variety_Type" dataDxfId="2723"/>
    <tableColumn id="4" xr3:uid="{BC30E8F2-898A-4BD8-8D0C-6FC3C1A5A569}" name="Height_Class" dataDxfId="2722"/>
    <tableColumn id="5" xr3:uid="{94F8C1E8-C4AF-445C-BB6D-D44D2B8CB232}" name="Height_cm" dataDxfId="2721"/>
    <tableColumn id="6" xr3:uid="{EE81F1CC-0AC9-45B0-9973-96FE9D8B435F}" name="Nutrient_Content" dataDxfId="2720"/>
    <tableColumn id="7" xr3:uid="{30CAB224-2192-42A9-A769-36230A3E1D78}" name="Common_Disease_Tolerance" dataDxfId="2719"/>
    <tableColumn id="8" xr3:uid="{FD342971-EC59-4A1D-BD9B-40FEB3768A76}" name="Common_Pest_Tolerance" dataDxfId="2718"/>
    <tableColumn id="9" xr3:uid="{75FB80AC-0122-47F3-8A8B-E384907D6977}" name="Environmental_Resilience" dataDxfId="2717"/>
    <tableColumn id="10" xr3:uid="{4819C04D-0E51-40DA-91DA-039DA75F5EEF}" name="Category" dataDxfId="2716"/>
    <tableColumn id="11" xr3:uid="{6935A619-CE85-42A2-8E38-1E73B7AB5B95}" name="Country" dataDxfId="2715"/>
    <tableColumn id="12" xr3:uid="{DDA7CC90-8E32-42E7-91B3-5A9DE62D64B6}" name="Season" dataDxfId="2714"/>
    <tableColumn id="13" xr3:uid="{2021859A-A57D-49C0-9C71-D63D98CE9498}" name="PAR" dataDxfId="2713"/>
    <tableColumn id="14" xr3:uid="{B91A866E-DAFD-4F37-A678-C13B522C260D}" name="Region" dataDxfId="2712"/>
    <tableColumn id="15" xr3:uid="{D2E87457-E5AF-431E-9B36-835AE0C7284F}" name="Seed_Weight_mg" dataDxfId="2711"/>
    <tableColumn id="16" xr3:uid="{E3D7506F-BD72-4B07-91CC-12B285F63D78}" name="Crop_Min_Temp" dataDxfId="2710"/>
    <tableColumn id="17" xr3:uid="{E78F2057-DD7F-4340-B0F9-8B2AE55B5A84}" name="Base_Temp" dataDxfId="2709"/>
    <tableColumn id="18" xr3:uid="{EC7B3B19-60EC-4C4F-A9EA-5AC80903E96E}" name="Opt._Temp" dataDxfId="2708"/>
    <tableColumn id="19" xr3:uid="{6F846D46-2DC2-49A5-A824-4667C2230B50}" name="Upper_Temp" dataDxfId="2707"/>
    <tableColumn id="89" xr3:uid="{22C1840A-7042-4DDE-94B9-0AFE32A18270}" name="Loss / Degree" dataDxfId="2706"/>
    <tableColumn id="20" xr3:uid="{81AB9C7D-E16E-4024-973E-5C17289570B4}" name="Min_Days" dataDxfId="2705"/>
    <tableColumn id="21" xr3:uid="{2AFAC0D8-F1C5-4979-8533-5E4F539A9003}" name="Max_Days" dataDxfId="2704"/>
    <tableColumn id="22" xr3:uid="{25DAAC05-64AE-4762-AA8A-37525120AE6E}" name="Ripening_S_GDD" dataDxfId="2703">
      <calculatedColumnFormula>_xlfn.XLOOKUP("Ripening", CropPhenology_Maize[Main_Stage], CropPhenology_Maize[Start_GDD], "Not Found")</calculatedColumnFormula>
    </tableColumn>
    <tableColumn id="23" xr3:uid="{F7634F93-B3DF-4611-A9E6-7D91E2E0F4D1}" name="Ripening_E_GDD" dataDxfId="2702">
      <calculatedColumnFormula array="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calculatedColumnFormula>
    </tableColumn>
    <tableColumn id="24" xr3:uid="{126D08CE-0FCD-4847-859C-78FDD6DE88EC}" name="Avg. Daily GDD" dataDxfId="2701">
      <calculatedColumnFormula>MIN(Y174/V174,MAX(X174/W174,R174,(X174/W174+Y174/V174)/2))</calculatedColumnFormula>
    </tableColumn>
    <tableColumn id="25" xr3:uid="{A53BB5BD-BEAE-4909-9FFF-F24DC22436F0}" name="Days_to_Ripening" dataDxfId="2700">
      <calculatedColumnFormula>Y174/Z174</calculatedColumnFormula>
    </tableColumn>
    <tableColumn id="26" xr3:uid="{8B84029C-F915-456C-86B6-0BBE14084122}" name="Sunshine" dataDxfId="2699"/>
    <tableColumn id="27" xr3:uid="{36087AAC-EF09-44AE-B80B-D07077061963}" name="Soil_Temp_Min" dataDxfId="2698"/>
    <tableColumn id="28" xr3:uid="{D48FC880-F2C7-4E09-BCC9-12CBB651402A}" name="VPA_Max" dataDxfId="2697"/>
    <tableColumn id="29" xr3:uid="{279AC1B6-E5E9-425B-B506-D9F8A780489B}" name="Humidity_Max" dataDxfId="2696"/>
    <tableColumn id="30" xr3:uid="{1253193F-E840-43D5-B6C6-84FF9DF53ED6}" name="Dew_Point_Min" dataDxfId="2695"/>
    <tableColumn id="31" xr3:uid="{568FB976-F390-4CED-A559-A7F465A13CCA}" name="WS_2m_Max" dataDxfId="2694"/>
    <tableColumn id="32" xr3:uid="{6A396BF9-5E20-409F-AAB2-54E10DDA95D6}" name="GDD_Adjust" dataDxfId="2693">
      <calculatedColumnFormula>IFERROR((Y174-X174)/AA174,0)</calculatedColumnFormula>
    </tableColumn>
    <tableColumn id="33" xr3:uid="{6BCECCAD-5790-4787-A970-60B146A7BB95}" name="pH_Min" dataDxfId="2692"/>
    <tableColumn id="34" xr3:uid="{621F8DB6-C5F6-42F5-8F60-0ACE008317AB}" name="pH_Max" dataDxfId="2691"/>
    <tableColumn id="87" xr3:uid="{CE1EB5B1-3EE2-4412-8255-35FA1761D151}" name="ECt" dataDxfId="2690"/>
    <tableColumn id="88" xr3:uid="{FF429F05-5EC9-4DF7-8F66-DBCDA5DFCE55}" name="Slope" dataDxfId="2689"/>
    <tableColumn id="35" xr3:uid="{34ABFDFE-7683-4C10-9D31-DAC5D8535CC4}" name="CWR_Min" dataDxfId="2688"/>
    <tableColumn id="36" xr3:uid="{1F9FD7C4-92A7-49D2-9C7B-C4DA9FE649E6}" name="CWR_Max" dataDxfId="2687"/>
    <tableColumn id="37" xr3:uid="{F06EE08E-555E-462C-BB81-735E2A29DA42}" name="Sowing_Depth_cm" dataDxfId="2686"/>
    <tableColumn id="38" xr3:uid="{AD0D6F5A-914D-46B3-BCA4-2DDBC04BAF45}" name="Root_Depth_cm" dataDxfId="2685"/>
    <tableColumn id="39" xr3:uid="{48AFAFE5-7D75-4C64-AD2F-C097FED599F7}" name="Stress_Tolerance_Index" dataDxfId="2684"/>
    <tableColumn id="40" xr3:uid="{63A6F488-F66B-4278-B1FA-1FCAE475A339}" name="Row_Spacing_cm" dataDxfId="2683"/>
    <tableColumn id="41" xr3:uid="{22B41426-316C-48F5-B1BC-566FE120C20A}" name="Plant_to_Plant_cm" dataDxfId="2682"/>
    <tableColumn id="42" xr3:uid="{D8FA2B06-6036-4439-9B79-889EF667FA52}" name="Seed_Per_Spot" dataDxfId="2681"/>
    <tableColumn id="43" xr3:uid="{E646B311-DE0D-474A-973C-F655FBD9ACAF}" name="Seed_Rate_m2" dataDxfId="2680">
      <calculatedColumnFormula>IFERROR(10000/(AS174*AR174),0)*AT174</calculatedColumnFormula>
    </tableColumn>
    <tableColumn id="44" xr3:uid="{90ED9CFA-B1C6-4845-A292-8F4990758B0D}" name="Seed_Weight_kg/ha" dataDxfId="2679">
      <calculatedColumnFormula>ROUND((P174/1000000)*AU174*10000,2)</calculatedColumnFormula>
    </tableColumn>
    <tableColumn id="45" xr3:uid="{12FAFCAE-329E-43DB-BAAF-A161C529D9FE}" name="Germination_%" dataDxfId="2678"/>
    <tableColumn id="46" xr3:uid="{02766290-D883-48F7-9316-4D50EC26A73A}" name="Effective_Plants_m2" dataDxfId="2677">
      <calculatedColumnFormula>IFERROR((AU174*AW174/100),0)</calculatedColumnFormula>
    </tableColumn>
    <tableColumn id="47" xr3:uid="{B35450F6-AC3C-4EB6-8B37-4DFAAEC3DCDE}" name="Tillers_Per_Plant" dataDxfId="2676"/>
    <tableColumn id="48" xr3:uid="{33FD6FE8-2444-4642-9B66-987E01B2436D}" name="Shoots_Per_m2" dataDxfId="2675">
      <calculatedColumnFormula>IFERROR(AX174*AY174,0)</calculatedColumnFormula>
    </tableColumn>
    <tableColumn id="49" xr3:uid="{41252C9B-8CD1-40EB-A120-6B3BCB14C46B}" name="Survival_Ratio" dataDxfId="2674"/>
    <tableColumn id="50" xr3:uid="{505C46C9-83C0-467A-9657-126407CD618D}" name="Shoot_Bearing_m2" dataDxfId="2673">
      <calculatedColumnFormula>IFERROR(AZ174*BA174,0)</calculatedColumnFormula>
    </tableColumn>
    <tableColumn id="51" xr3:uid="{7C049867-21D2-452E-976D-988E6F84F734}" name="Leaf_Area_Per_Shoot_m2" dataDxfId="2672"/>
    <tableColumn id="52" xr3:uid="{A6630FDE-220B-4E83-BC6B-F3FAB8934F29}" name="Start_LAI" dataDxfId="2671">
      <calculatedColumnFormula>IFERROR(
  MAX(0.05, MIN(0.5, CropNorms_Maize[[#This Row],[Leaf_Area_Per_Shoot_m2]] * CropNorms_Maize[[#This Row],[Shoot_Bearing_m2]] )),
  0.2
)</calculatedColumnFormula>
    </tableColumn>
    <tableColumn id="53" xr3:uid="{16C39D74-D109-4C30-BFB1-90F5165191A2}" name="LAI_Start_GDD" dataDxfId="2670">
      <calculatedColumnFormula>_xlfn.XLOOKUP(CropNorms_Maize[[#This Row],[LAI_Start_BBCH]], CropPhenology_Maize[Sub_Stage], CropPhenology_Maize[Start_GDD], "Not Found")</calculatedColumnFormula>
    </tableColumn>
    <tableColumn id="54" xr3:uid="{278D4933-60C7-4043-B19F-A101401C1B6D}" name="Max_LAI" dataDxfId="2669">
      <calculatedColumnFormula>ROUND(CropNorms_Maize[[#This Row],[Shoot_Bearing_m2]]*CropNorms_Maize[[#This Row],[Leaf_Area_Per_Shoot_m2]],2)</calculatedColumnFormula>
    </tableColumn>
    <tableColumn id="55" xr3:uid="{5606A30B-012A-4ECB-A516-20B3817FDA47}" name="LAI_Max_GDD" dataDxfId="2668">
      <calculatedColumnFormula>AVERAGE(
  _xlfn.XLOOKUP(CropNorms_Maize[[#This Row],[LAI_Max_BBCH]], CropPhenology_Maize[Sub_Stage], CropPhenology_Maize[Start_GDD]),
  _xlfn.XLOOKUP(CropNorms_Maize[[#This Row],[LAI_Max_BBCH]], CropPhenology_Maize[Sub_Stage], CropPhenology_Maize[End_GDD])
)</calculatedColumnFormula>
    </tableColumn>
    <tableColumn id="56" xr3:uid="{DBBD993E-34DC-45EA-BC93-6038715A9ECD}" name="End_LAI" dataDxfId="2667">
      <calculatedColumnFormula>IF(CropNorms_Maize[[#This Row],[Max_LAI]]&gt;=1.2, 0.85*CropNorms_Maize[[#This Row],[Max_LAI]], 1)</calculatedColumnFormula>
    </tableColumn>
    <tableColumn id="57" xr3:uid="{D06483C7-45DC-41A4-8C0B-84E7BB7C2A04}" name="LAI_End_GDD" dataDxfId="2666">
      <calculatedColumnFormula>_xlfn.XLOOKUP(CropNorms_Maize[[#This Row],[LAI_End_BBCH]], CropPhenology_Maize[Sub_Stage], CropPhenology_Maize[End_GDD], "Not Found")</calculatedColumnFormula>
    </tableColumn>
    <tableColumn id="58" xr3:uid="{D7E77D11-4D43-44A7-B22E-9CE2CC82D64D}" name="RUE_Max" dataDxfId="2665">
      <calculatedColumnFormula array="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F42E839-660F-43E7-B371-F9142C67113C}" name="RUE_Asymptote_Frac" dataDxfId="2664">
      <calculatedColumnFormula array="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E5D0594-3E03-4543-BE4D-BED133D4DCCD}" name="RUE_LAI_Half_Sat" dataDxfId="2663">
      <calculatedColumnFormula array="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ED4DF14-2813-406B-98C2-25F00ABE352F}" name="RUE_Daily_Delta_Max" dataDxfId="2662">
      <calculatedColumnFormula array="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4D95AD8-98BB-40DB-A3FF-F11B25A5234D}" name="HI" dataDxfId="2661"/>
    <tableColumn id="63" xr3:uid="{28BE7645-7683-4374-A48D-BC2DF8B2307B}" name="DM:FM" dataDxfId="2660"/>
    <tableColumn id="64" xr3:uid="{09D1E3AD-AD9E-4C6E-8680-AC9AC31C3452}" name="Yield_t/ha" dataDxfId="2659"/>
    <tableColumn id="65" xr3:uid="{FCE78C37-2ACA-48DA-A144-774C63BD19A0}" name="Yield_Type" dataDxfId="2658"/>
    <tableColumn id="66" xr3:uid="{E91C5845-674F-4E47-8840-F4709163E517}" name="LAI_Start_BBCH" dataDxfId="2657">
      <calculatedColumnFormula array="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BBDF5B49-77AD-4E0E-BE58-C26F40CD288A}" name="LAI_Max_BBCH" dataDxfId="2656">
      <calculatedColumnFormula array="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5A371BCC-B88E-410B-87F9-8F480A400A8F}" name="LAI_End_BBCH" dataDxfId="2655">
      <calculatedColumnFormula array="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AA88B9A1-957C-4483-A3C1-AA79CAC1A23A}" name="Fruiting_Start_BBCH" dataDxfId="2654">
      <calculatedColumnFormula array="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BA84B3FA-62F3-40D8-BC59-30A7A6FD0B9A}" name="N_Deficiency_kg/ha" dataDxfId="2653"/>
    <tableColumn id="71" xr3:uid="{BC9D118A-838B-415A-BA65-E2F30D3A3044}" name="P_Deficiency_kg/ha" dataDxfId="2652"/>
    <tableColumn id="72" xr3:uid="{B38DC5ED-4BBD-4285-94A7-DF93A86C9BC9}" name="K_deficiency_kg/ha" dataDxfId="2651"/>
    <tableColumn id="73" xr3:uid="{5A15C1E3-4334-4A73-8D2F-C159C3BB8205}" name="Sowing_Start_Season" dataDxfId="2650"/>
    <tableColumn id="74" xr3:uid="{54DC9F80-FAE9-4C81-A875-AB5B5199DC26}" name="Sowing_End_Season" dataDxfId="2649"/>
    <tableColumn id="75" xr3:uid="{DB43D828-21CD-485A-9F7D-487E3161AD93}" name="Sand" dataDxfId="2648"/>
    <tableColumn id="76" xr3:uid="{B904EB24-EF85-41E6-BA8F-A519316E0195}" name="Loamy Sand" dataDxfId="2647"/>
    <tableColumn id="77" xr3:uid="{01D601CC-713E-44D1-9C60-9D41F8FF1748}" name="Sandy Loam" dataDxfId="2646"/>
    <tableColumn id="78" xr3:uid="{F4F8DB48-C737-4101-8FE1-212E5E8F39B0}" name="Loam" dataDxfId="2645"/>
    <tableColumn id="79" xr3:uid="{529EF2D3-D886-4593-A384-67DB62D2EFEF}" name="Silt Loam" dataDxfId="2644"/>
    <tableColumn id="80" xr3:uid="{F8382806-F79D-4205-B7FB-BF2599385368}" name="Clay Loam" dataDxfId="2643"/>
    <tableColumn id="81" xr3:uid="{85D273D2-A5DB-440C-9763-CCB4D3F3D185}" name="Silt" dataDxfId="2642"/>
    <tableColumn id="82" xr3:uid="{5BA19E73-263B-4F39-9174-25A04DF752DE}" name="Sandy Clay" dataDxfId="2641"/>
    <tableColumn id="83" xr3:uid="{9C575F5A-BC6D-4AA1-A51F-78E7A6E418C6}" name="Silty Clay Loam" dataDxfId="2640"/>
    <tableColumn id="84" xr3:uid="{9CF6B4AC-2A5F-4F6A-8A38-5911619F5806}" name="Silty Clay" dataDxfId="2639"/>
    <tableColumn id="85" xr3:uid="{82AF83C8-86C4-4DAA-AC18-82B5F62E830B}" name="Clay" dataDxfId="2638"/>
    <tableColumn id="86" xr3:uid="{850633CC-959E-4D2D-8800-B479FC8BAE90}" name="Sandy Clay Loam" dataDxfId="263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2AD5B88-E1A5-4EB9-AA35-EAEF76466DCA}" name="CropNorms_Mash" displayName="CropNorms_Mash" ref="B189:CL193" totalsRowShown="0" headerRowDxfId="2636" dataDxfId="2634" headerRowBorderDxfId="2635" tableBorderDxfId="2633">
  <tableColumns count="89">
    <tableColumn id="1" xr3:uid="{327FB541-3E4D-4E85-9191-CA6BD7C444D5}" name="Crop_Name" dataDxfId="2632"/>
    <tableColumn id="2" xr3:uid="{D2B91DAB-9C53-4E82-9C56-FB2003B4E876}" name="Variety_Name" dataDxfId="2631"/>
    <tableColumn id="3" xr3:uid="{8F9048B0-28F7-47F6-8900-88BAD0FCC218}" name="Variety_Type" dataDxfId="2630"/>
    <tableColumn id="4" xr3:uid="{C35AD121-E260-47BB-AA36-CDB1B3145743}" name="Height_Class" dataDxfId="2629"/>
    <tableColumn id="5" xr3:uid="{6016E369-96F7-4A4D-BEA9-434982E53F19}" name="Height_cm" dataDxfId="2628"/>
    <tableColumn id="6" xr3:uid="{5D19AAF1-FB90-418F-9D08-8F65D379306D}" name="Nutrient_Content" dataDxfId="2627"/>
    <tableColumn id="7" xr3:uid="{A33ABF42-36F6-4FB9-8711-555EFCAE7747}" name="Common_Disease_Tolerance" dataDxfId="2626"/>
    <tableColumn id="8" xr3:uid="{B7AE319A-6383-455A-8849-2583B3658739}" name="Common_Pest_Tolerance" dataDxfId="2625"/>
    <tableColumn id="9" xr3:uid="{A93E6E59-E280-4CA6-AA02-A523B8FD24F2}" name="Environmental_Resilience" dataDxfId="2624"/>
    <tableColumn id="10" xr3:uid="{A8BDD59A-8D1C-432C-9614-73CE138A758C}" name="Category" dataDxfId="2623"/>
    <tableColumn id="11" xr3:uid="{89951B55-0D0E-4889-B7E8-74966DF939F4}" name="Country" dataDxfId="2622"/>
    <tableColumn id="12" xr3:uid="{EA5AE1DF-3A28-48CD-95DA-FB19B2291D72}" name="Season" dataDxfId="2621"/>
    <tableColumn id="13" xr3:uid="{917A1E7E-E749-496D-9FA3-35A8D3E93A51}" name="PAR" dataDxfId="2620"/>
    <tableColumn id="14" xr3:uid="{D96F8794-D24E-48C9-ABA4-581CCEEA3C60}" name="Region" dataDxfId="2619"/>
    <tableColumn id="15" xr3:uid="{4236648B-D1FA-4967-90CB-B370480DFAA6}" name="Seed_Weight_mg" dataDxfId="2618"/>
    <tableColumn id="16" xr3:uid="{201EA52F-E1C4-4A41-90B3-11801D00B477}" name="Crop_Min_Temp" dataDxfId="2617"/>
    <tableColumn id="17" xr3:uid="{69CBE04F-FE2B-491C-99E2-04E54F263762}" name="Base_Temp" dataDxfId="2616"/>
    <tableColumn id="18" xr3:uid="{C1CF4C51-429D-4196-B4FA-9025029FDE06}" name="Opt._Temp" dataDxfId="2615"/>
    <tableColumn id="19" xr3:uid="{CC931068-98E9-475F-9438-373E1EAC319B}" name="Upper_Temp" dataDxfId="2614"/>
    <tableColumn id="89" xr3:uid="{6CFCDC4A-9CC0-4BFE-AB5F-1624FB40DF25}" name="Loss / Degree" dataDxfId="2613"/>
    <tableColumn id="20" xr3:uid="{2B29A482-4545-478F-853E-F6CB30F723FB}" name="Min_Days" dataDxfId="2612"/>
    <tableColumn id="21" xr3:uid="{8E9A1DA1-BBB5-41C7-820A-1F8ED2AAF437}" name="Max_Days" dataDxfId="2611"/>
    <tableColumn id="22" xr3:uid="{53C18CA4-B283-4599-93C5-ACCDB5648B40}" name="Ripening_S_GDD" dataDxfId="2610">
      <calculatedColumnFormula>_xlfn.XLOOKUP("Ripening", CropPhenology_Mash[Main_Stage], CropPhenology_Mash[Start_GDD], "Not Found")</calculatedColumnFormula>
    </tableColumn>
    <tableColumn id="23" xr3:uid="{23A74937-80C4-4148-99EE-5CE9D02A647E}" name="Ripening_E_GDD" dataDxfId="2609">
      <calculatedColumnFormula array="1">_xlfn.LET(
  _xlpm.stage, "Ripening",
  _xlpm.stages, CropPhenology_Mash[Main_Stage],
  _xlpm.gdd, CropPhenology_Mash[End_GDD],
  _xlpm.matchRows, _xlfn._xlws.FILTER(_xlpm.gdd, _xlpm.stages=_xlpm.stage),
  IFERROR(INDEX(_xlpm.matchRows, ROWS(_xlpm.matchRows)), "Not Found")
)</calculatedColumnFormula>
    </tableColumn>
    <tableColumn id="24" xr3:uid="{4FD50A4A-E254-469B-A16E-13E8E32A97DE}" name="Avg. Daily GDD" dataDxfId="2608">
      <calculatedColumnFormula>MIN(Y190/V190,MAX(X190/W190,R190,(X190/W190+Y190/V190)/2))</calculatedColumnFormula>
    </tableColumn>
    <tableColumn id="25" xr3:uid="{3256BCF7-5288-4831-B344-1C49256434BD}" name="Days_to_Ripening" dataDxfId="2607">
      <calculatedColumnFormula>Y190/Z190</calculatedColumnFormula>
    </tableColumn>
    <tableColumn id="26" xr3:uid="{30465028-2944-4AAA-B4CF-958EB2F9E154}" name="Sunshine" dataDxfId="2606"/>
    <tableColumn id="27" xr3:uid="{96BE719D-F848-43E9-9EED-E96330A78FC0}" name="Soil_Temp_Min" dataDxfId="2605"/>
    <tableColumn id="28" xr3:uid="{A0FBF044-4977-45D7-B1A8-CCDAA714B1EE}" name="VPA_Max" dataDxfId="2604"/>
    <tableColumn id="29" xr3:uid="{BF1B463D-394D-417B-AB4C-20D63AA406A4}" name="Humidity_Max" dataDxfId="2603"/>
    <tableColumn id="30" xr3:uid="{FB1F0E10-38F5-4C6D-A83F-C0F3F11B3BE1}" name="Dew_Point_Min" dataDxfId="2602"/>
    <tableColumn id="31" xr3:uid="{276F6F03-021C-4B34-BAA6-8C7C0261022C}" name="WS_2m_Max" dataDxfId="2601"/>
    <tableColumn id="32" xr3:uid="{F913554E-09B9-4213-83A6-1D8F16346B46}" name="GDD_Adjust" dataDxfId="2600">
      <calculatedColumnFormula>IFERROR((Y190-X190)/AA190,0)</calculatedColumnFormula>
    </tableColumn>
    <tableColumn id="33" xr3:uid="{82163AF7-6166-4E03-880E-F0A38617107E}" name="pH_Min" dataDxfId="2599"/>
    <tableColumn id="34" xr3:uid="{AB1CF2CF-1AFE-4756-9DD7-C1D30B25D216}" name="pH_Max" dataDxfId="2598"/>
    <tableColumn id="87" xr3:uid="{C6593728-42FC-4BA9-86A1-8511B57C6B31}" name="ECt" dataDxfId="2597"/>
    <tableColumn id="88" xr3:uid="{C4C9FEF0-892F-4784-B581-27964193C4FE}" name="Slope" dataDxfId="2596"/>
    <tableColumn id="35" xr3:uid="{44FE0FE0-FDBC-46D1-B560-1B3D74E9F881}" name="CWR_Min" dataDxfId="2595"/>
    <tableColumn id="36" xr3:uid="{DB6106BF-7A51-46A2-A24E-B6E593A922C5}" name="CWR_Max" dataDxfId="2594"/>
    <tableColumn id="37" xr3:uid="{854FAE63-E940-49BD-B43F-A50C840D413B}" name="Sowing_Depth_cm" dataDxfId="2593"/>
    <tableColumn id="38" xr3:uid="{7B766A7C-A553-4094-BE01-934BEBDE8106}" name="Root_Depth_cm" dataDxfId="2592"/>
    <tableColumn id="39" xr3:uid="{903D33A1-76FB-40CF-AD59-68057D851A0E}" name="Stress_Tolerance_Index" dataDxfId="2591"/>
    <tableColumn id="40" xr3:uid="{38DF17B2-A470-4908-BA63-5E431D322327}" name="Row_Spacing_cm" dataDxfId="2590"/>
    <tableColumn id="41" xr3:uid="{1350B9CF-804C-4FB6-A0BE-D045212E6AD4}" name="Plant_to_Plant_cm" dataDxfId="2589"/>
    <tableColumn id="42" xr3:uid="{5A376A9F-889A-4C41-A9A2-AD869123443A}" name="Seed_Per_Spot" dataDxfId="2588"/>
    <tableColumn id="43" xr3:uid="{8E5BB73A-DDAC-47D9-BF1F-890A0E11D2AC}" name="Seed_Rate_m2" dataDxfId="2587">
      <calculatedColumnFormula>IFERROR(10000/(AS190*AR190),0)*AT190</calculatedColumnFormula>
    </tableColumn>
    <tableColumn id="44" xr3:uid="{C4FB9804-B6C7-4AF7-83CD-7CBD8DC9529F}" name="Seed_Weight_kg/ha" dataDxfId="2586">
      <calculatedColumnFormula>ROUND((P190/1000000)*AU190*10000,2)</calculatedColumnFormula>
    </tableColumn>
    <tableColumn id="45" xr3:uid="{87220B96-2DB1-46CA-AC9E-326C9BA5A13F}" name="Germination_%" dataDxfId="2585"/>
    <tableColumn id="46" xr3:uid="{6DEE351D-3DE0-4039-A518-31591624B1CF}" name="Effective_Plants_m2" dataDxfId="2584">
      <calculatedColumnFormula>IFERROR((AU190*AW190/100),0)</calculatedColumnFormula>
    </tableColumn>
    <tableColumn id="47" xr3:uid="{5A882907-1FE7-425E-A118-FE9044824007}" name="Tillers_Per_Plant" dataDxfId="2583"/>
    <tableColumn id="48" xr3:uid="{6D169E81-1B7B-41A9-BCCF-35E518910DD4}" name="Shoots_Per_m2" dataDxfId="2582">
      <calculatedColumnFormula>IFERROR(AX190*AY190,0)</calculatedColumnFormula>
    </tableColumn>
    <tableColumn id="49" xr3:uid="{7AB95D2E-C473-4DB3-926E-74E3B81B5994}" name="Survival_Ratio" dataDxfId="2581"/>
    <tableColumn id="50" xr3:uid="{CC9AAA18-FFB3-470E-8586-F58725DF50BB}" name="Shoot_Bearing_m2" dataDxfId="2580">
      <calculatedColumnFormula>IFERROR(AZ190*BA190,0)</calculatedColumnFormula>
    </tableColumn>
    <tableColumn id="51" xr3:uid="{F37461DB-C2A9-41DE-A7FB-C525A0CA1708}" name="Leaf_Area_Per_Shoot_m2" dataDxfId="2579"/>
    <tableColumn id="52" xr3:uid="{85EC747D-9C54-49AD-8DB2-BA57B75214F8}" name="Start_LAI" dataDxfId="2578">
      <calculatedColumnFormula>IFERROR(
  MAX(0.05, MIN(0.5, CropNorms_Mash[[#This Row],[Leaf_Area_Per_Shoot_m2]] * CropNorms_Mash[[#This Row],[Shoot_Bearing_m2]] )),
  0.2
)</calculatedColumnFormula>
    </tableColumn>
    <tableColumn id="53" xr3:uid="{EAE2B72D-74E6-41C9-AB2E-E153AA7DEFD5}" name="LAI_Start_GDD" dataDxfId="2577">
      <calculatedColumnFormula>_xlfn.XLOOKUP(CropNorms_Mash[[#This Row],[LAI_Start_BBCH]], CropPhenology_Mash[Sub_Stage], CropPhenology_Mash[Start_GDD], "Not Found")</calculatedColumnFormula>
    </tableColumn>
    <tableColumn id="54" xr3:uid="{42542CC0-9F2B-47B6-9C31-D38B11A61061}" name="Max_LAI" dataDxfId="2576">
      <calculatedColumnFormula>ROUND(CropNorms_Mash[[#This Row],[Shoot_Bearing_m2]]*CropNorms_Mash[[#This Row],[Leaf_Area_Per_Shoot_m2]],2)</calculatedColumnFormula>
    </tableColumn>
    <tableColumn id="55" xr3:uid="{8B9922A3-DB4E-452A-9226-6BDAC7A0B792}" name="LAI_Max_GDD" dataDxfId="2575">
      <calculatedColumnFormula>AVERAGE(
  _xlfn.XLOOKUP(CropNorms_Mash[[#This Row],[LAI_Max_BBCH]], CropPhenology_Mash[Sub_Stage], CropPhenology_Mash[Start_GDD]),
  _xlfn.XLOOKUP(CropNorms_Mash[[#This Row],[LAI_Max_BBCH]], CropPhenology_Mash[Sub_Stage], CropPhenology_Mash[End_GDD])
)</calculatedColumnFormula>
    </tableColumn>
    <tableColumn id="56" xr3:uid="{575D1816-C8B4-4C05-B23D-71B085197B67}" name="End_LAI" dataDxfId="2574">
      <calculatedColumnFormula>IF(CropNorms_Mash[[#This Row],[Max_LAI]]&gt;=1.2, 0.85*CropNorms_Mash[[#This Row],[Max_LAI]], 1)</calculatedColumnFormula>
    </tableColumn>
    <tableColumn id="57" xr3:uid="{3C35BEBF-FD42-44EA-B673-FB4C35D15F7E}" name="LAI_End_GDD" dataDxfId="2573">
      <calculatedColumnFormula>_xlfn.XLOOKUP(CropNorms_Mash[[#This Row],[LAI_End_BBCH]], CropPhenology_Mash[Sub_Stage], CropPhenology_Mash[End_GDD], "Not Found")</calculatedColumnFormula>
    </tableColumn>
    <tableColumn id="58" xr3:uid="{B80A6D51-287B-4CF2-86D4-0FFE93426D7F}" name="RUE_Max" dataDxfId="2572">
      <calculatedColumnFormula array="1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3AB78B2-F0EC-4772-83AA-1101E3E778A2}" name="RUE_Asymptote_Frac" dataDxfId="2571">
      <calculatedColumnFormula array="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28BE748-99C8-4184-87BB-9AC1BA9C2CCE}" name="RUE_LAI_Half_Sat" dataDxfId="2570">
      <calculatedColumnFormula array="1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E608E05-CEF0-4D66-9445-D86BB2ACE0A7}" name="RUE_Daily_Delta_Max" dataDxfId="2569">
      <calculatedColumnFormula array="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4974CBF-A14F-475B-AC4E-BDA1CCDBE179}" name="HI" dataDxfId="2568"/>
    <tableColumn id="63" xr3:uid="{CBCF9603-A6E0-4569-B72A-8B040837F603}" name="DM:FM" dataDxfId="2567"/>
    <tableColumn id="64" xr3:uid="{84EEF1BF-A1E9-42D9-96DB-935BC7A7157C}" name="Yield_t/ha" dataDxfId="2566"/>
    <tableColumn id="65" xr3:uid="{017067AB-5F8D-4ADC-8092-A4103F4B96F8}" name="Yield_Type" dataDxfId="2565"/>
    <tableColumn id="66" xr3:uid="{EE962A42-7200-47D4-BFBB-9AD0F3C23B8F}" name="LAI_Start_BBCH" dataDxfId="2564">
      <calculatedColumnFormula array="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800C14D4-5B4F-4A24-A815-ADFCE8425917}" name="LAI_Max_BBCH" dataDxfId="2563">
      <calculatedColumnFormula array="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4F4AF78-FD23-4DC0-BDB3-EAF43E698CC6}" name="LAI_End_BBCH" dataDxfId="2562">
      <calculatedColumnFormula array="1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EE3CAAF-A855-4CD7-99F7-BA8F2E7C8470}" name="Fruiting_Start_BBCH" dataDxfId="2561">
      <calculatedColumnFormula array="1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EF3EA502-5951-4D5E-B1DA-8A90A4FD45DB}" name="N_Deficiency_kg/ha" dataDxfId="2560"/>
    <tableColumn id="71" xr3:uid="{BAC13291-24A0-42F3-AE1F-7B9A1EE534D2}" name="P_Deficiency_kg/ha" dataDxfId="2559"/>
    <tableColumn id="72" xr3:uid="{ADA9CB33-21B1-4022-AFD6-7E868CB05462}" name="K_deficiency_kg/ha" dataDxfId="2558"/>
    <tableColumn id="73" xr3:uid="{5A543DF0-6572-48A9-8D98-C619AF16026F}" name="Sowing_Start_Season" dataDxfId="2557"/>
    <tableColumn id="74" xr3:uid="{78857525-DDC7-44AC-A481-C27EB664587B}" name="Sowing_End_Season" dataDxfId="2556"/>
    <tableColumn id="75" xr3:uid="{E479551B-0DDA-49AD-B5CA-4E0E94E4E9E3}" name="Sand" dataDxfId="2555"/>
    <tableColumn id="76" xr3:uid="{A033FA8F-1AA3-41F7-844A-ACDDC41838B6}" name="Loamy Sand" dataDxfId="2554"/>
    <tableColumn id="77" xr3:uid="{9328AA0F-FBFE-4666-A878-6E1C9778D642}" name="Sandy Loam" dataDxfId="2553"/>
    <tableColumn id="78" xr3:uid="{D7811F72-58D8-4A53-8F66-4B201E6A8D65}" name="Loam" dataDxfId="2552"/>
    <tableColumn id="79" xr3:uid="{415AE7D9-3A7D-47CF-944A-10E22FB7404E}" name="Silt Loam" dataDxfId="2551"/>
    <tableColumn id="80" xr3:uid="{CC6FBED2-B9BA-4BBA-ABBD-501D31050251}" name="Clay Loam" dataDxfId="2550"/>
    <tableColumn id="81" xr3:uid="{D9E693B4-0926-41BB-BE7B-C1E27112B549}" name="Silt" dataDxfId="2549"/>
    <tableColumn id="82" xr3:uid="{B23A7BBB-9D41-439B-AFE0-43CA18222BA3}" name="Sandy Clay" dataDxfId="2548"/>
    <tableColumn id="83" xr3:uid="{FAC12C20-BBDF-4A0E-BA69-AAE8AC74E994}" name="Silty Clay Loam" dataDxfId="2547"/>
    <tableColumn id="84" xr3:uid="{768EE0F8-A80A-41DA-BE99-1AB8D52E5BDC}" name="Silty Clay" dataDxfId="2546"/>
    <tableColumn id="85" xr3:uid="{C37ED81D-AE47-4A4A-A751-DF54B5E0EB75}" name="Clay" dataDxfId="2545"/>
    <tableColumn id="86" xr3:uid="{B927DDEE-8E70-4777-848C-EAF45DC5ACE3}" name="Sandy Clay Loam" dataDxfId="254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B82EF8-A408-43A8-BD1B-299949D557D6}" name="CropNorms_Millet" displayName="CropNorms_Millet" ref="B195:CL203" totalsRowShown="0" headerRowDxfId="2543" dataDxfId="2541" headerRowBorderDxfId="2542" tableBorderDxfId="2540">
  <tableColumns count="89">
    <tableColumn id="1" xr3:uid="{E70083B0-E0F8-4259-B8E3-24FD371F46D8}" name="Crop_Name" dataDxfId="2539"/>
    <tableColumn id="2" xr3:uid="{FB04063F-B010-4115-94E7-40D05CFA1EAB}" name="Variety_Name" dataDxfId="2538"/>
    <tableColumn id="3" xr3:uid="{7BC48D6E-2DE8-45C0-B6AD-7C991653C4C7}" name="Variety_Type" dataDxfId="2537"/>
    <tableColumn id="4" xr3:uid="{699E18DD-53B5-455C-8E0A-5D054D9B8B32}" name="Height_Class" dataDxfId="2536"/>
    <tableColumn id="5" xr3:uid="{D6DAEA12-FC17-46ED-AA11-34A4650B599A}" name="Height_cm" dataDxfId="2535"/>
    <tableColumn id="6" xr3:uid="{92949A68-2B90-44DE-9AE7-E80E3B4463ED}" name="Nutrient_Content" dataDxfId="2534"/>
    <tableColumn id="7" xr3:uid="{11D1436D-4352-446F-BA1F-488520894699}" name="Common_Disease_Tolerance" dataDxfId="2533"/>
    <tableColumn id="8" xr3:uid="{4EC6A1DB-1143-4E5F-B3B5-61B8275555E1}" name="Common_Pest_Tolerance" dataDxfId="2532"/>
    <tableColumn id="9" xr3:uid="{0CD30BFC-C55C-4F5E-AA43-492AAC3879B2}" name="Environmental_Resilience" dataDxfId="2531"/>
    <tableColumn id="10" xr3:uid="{8D5A4E4F-EA2A-41D2-94C4-940121A06899}" name="Category" dataDxfId="2530"/>
    <tableColumn id="11" xr3:uid="{3AF72FD6-B5A2-4B17-9749-043CAC980C07}" name="Country" dataDxfId="2529"/>
    <tableColumn id="12" xr3:uid="{30B94A02-5269-487A-A293-CFA46335B6FC}" name="Season" dataDxfId="2528"/>
    <tableColumn id="13" xr3:uid="{1CB532EF-4B88-4F68-B147-320B0EB8F192}" name="PAR" dataDxfId="2527"/>
    <tableColumn id="14" xr3:uid="{2A5BA9D3-8276-4134-8DC4-6D885CF45C21}" name="Region" dataDxfId="2526"/>
    <tableColumn id="15" xr3:uid="{D5B9EAF5-97D2-416C-ABA5-C2579ED60426}" name="Seed_Weight_mg" dataDxfId="2525"/>
    <tableColumn id="16" xr3:uid="{E418140E-15DE-4768-ACB1-4575B181E76B}" name="Crop_Min_Temp" dataDxfId="2524"/>
    <tableColumn id="17" xr3:uid="{B804EE3C-E4D4-40F3-9E5E-A5F620C850FC}" name="Base_Temp" dataDxfId="2523"/>
    <tableColumn id="18" xr3:uid="{AD968386-CE88-46CB-88B1-5F1C0CC504F1}" name="Opt._Temp" dataDxfId="2522"/>
    <tableColumn id="19" xr3:uid="{D27136DA-211E-4B59-BB0A-3BE7AFB38181}" name="Upper_Temp" dataDxfId="2521"/>
    <tableColumn id="89" xr3:uid="{DB626CD7-F948-4291-A32A-63931EFFCA9B}" name="Loss / Degree" dataDxfId="2520"/>
    <tableColumn id="20" xr3:uid="{9F7B8B4B-C6B7-443C-A50C-20718983CAE0}" name="Min_Days" dataDxfId="2519"/>
    <tableColumn id="21" xr3:uid="{C8D5F91F-68D2-46B6-8B76-CA1191ED84AE}" name="Max_Days" dataDxfId="2518"/>
    <tableColumn id="22" xr3:uid="{E593658E-6713-4DCE-A8F4-92CDC9FFE8EF}" name="Ripening_S_GDD" dataDxfId="2517">
      <calculatedColumnFormula>_xlfn.XLOOKUP("Ripening", CropPhenology_Millet[Main_Stage], CropPhenology_Millet[Start_GDD], "Not Found")</calculatedColumnFormula>
    </tableColumn>
    <tableColumn id="23" xr3:uid="{F6CC4551-A03D-43AE-AC88-D9F006F08771}" name="Ripening_E_GDD" dataDxfId="2516">
      <calculatedColumnFormula array="1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calculatedColumnFormula>
    </tableColumn>
    <tableColumn id="24" xr3:uid="{62AB5374-E02C-4E8A-8DDD-BD7694274727}" name="Avg. Daily GDD" dataDxfId="2515">
      <calculatedColumnFormula>MIN(Y196/V196,MAX(X196/W196,R196,(X196/W196+Y196/V196)/2))</calculatedColumnFormula>
    </tableColumn>
    <tableColumn id="25" xr3:uid="{79BF4BB7-BC7C-49F9-871C-FC529FB91FF7}" name="Days_to_Ripening" dataDxfId="2514">
      <calculatedColumnFormula>Y196/Z196</calculatedColumnFormula>
    </tableColumn>
    <tableColumn id="26" xr3:uid="{E3095869-0AD7-4893-A560-1FC3B64F7F36}" name="Sunshine" dataDxfId="2513"/>
    <tableColumn id="27" xr3:uid="{E926B238-F592-4BC0-8AEF-EC0FCCF08BEB}" name="Soil_Temp_Min" dataDxfId="2512"/>
    <tableColumn id="28" xr3:uid="{81DC775A-8826-4551-BFD4-508ECB93A903}" name="VPA_Max" dataDxfId="2511"/>
    <tableColumn id="29" xr3:uid="{B92C1BCE-6E41-4DD2-A034-B21BDC487843}" name="Humidity_Max" dataDxfId="2510"/>
    <tableColumn id="30" xr3:uid="{496ABF3D-7EAA-45CB-9732-1C02F22F9F5B}" name="Dew_Point_Min" dataDxfId="2509"/>
    <tableColumn id="31" xr3:uid="{9A0547EE-76A7-4CD7-85A0-042E608782DE}" name="WS_2m_Max" dataDxfId="2508"/>
    <tableColumn id="32" xr3:uid="{1BB90737-6D40-4F08-8396-12F3D4B36647}" name="GDD_Adjust" dataDxfId="2507">
      <calculatedColumnFormula>IFERROR((Y196-X196)/AA196,0)</calculatedColumnFormula>
    </tableColumn>
    <tableColumn id="33" xr3:uid="{DCE92DEB-810B-4F8F-B32D-FED636F30F20}" name="pH_Min" dataDxfId="2506"/>
    <tableColumn id="34" xr3:uid="{AE658E7E-BC2B-46A2-946A-49E292804BBA}" name="pH_Max" dataDxfId="2505"/>
    <tableColumn id="87" xr3:uid="{02A732C6-49BD-4B64-90D2-E2933BC2E417}" name="ECt" dataDxfId="2504"/>
    <tableColumn id="88" xr3:uid="{89BFBC8F-F0A0-4C1F-9CD9-A00E647CC0D9}" name="Slope" dataDxfId="2503"/>
    <tableColumn id="35" xr3:uid="{D040288D-EB72-4BA0-92D4-16E30019BC9F}" name="CWR_Min" dataDxfId="2502"/>
    <tableColumn id="36" xr3:uid="{62A3D01B-5689-463E-8383-EF3E57EA04E0}" name="CWR_Max" dataDxfId="2501"/>
    <tableColumn id="37" xr3:uid="{2AD7D9D9-BCD2-4FD2-8B3B-FD0B5B1B4121}" name="Sowing_Depth_cm" dataDxfId="2500"/>
    <tableColumn id="38" xr3:uid="{9F137F8F-A655-4DD3-B9B3-7D0BF5169472}" name="Root_Depth_cm" dataDxfId="2499"/>
    <tableColumn id="39" xr3:uid="{63F5D76D-5B3B-4A7B-80AE-69BE46BBC515}" name="Stress_Tolerance_Index" dataDxfId="2498"/>
    <tableColumn id="40" xr3:uid="{CCDEBE3F-CAEF-4E22-AF59-00FC2901E866}" name="Row_Spacing_cm" dataDxfId="2497"/>
    <tableColumn id="41" xr3:uid="{10E3FB44-8945-4B1A-ABC2-7CDB1101DA1E}" name="Plant_to_Plant_cm" dataDxfId="2496"/>
    <tableColumn id="42" xr3:uid="{91370AE0-CD52-4787-8E9A-C2CCB1614F6B}" name="Seed_Per_Spot" dataDxfId="2495"/>
    <tableColumn id="43" xr3:uid="{BF948B6F-B43F-48EA-B0BF-FFB64C6BD36D}" name="Seed_Rate_m2" dataDxfId="2494">
      <calculatedColumnFormula>IFERROR(10000/(AS196*AR196),0)*AT196</calculatedColumnFormula>
    </tableColumn>
    <tableColumn id="44" xr3:uid="{86D80F20-380D-411B-964D-62196E106521}" name="Seed_Weight_kg/ha" dataDxfId="2493">
      <calculatedColumnFormula>ROUND((P196/1000000)*AU196*10000,2)</calculatedColumnFormula>
    </tableColumn>
    <tableColumn id="45" xr3:uid="{EC49CC75-A863-4FD6-96AF-9611C337B072}" name="Germination_%" dataDxfId="2492"/>
    <tableColumn id="46" xr3:uid="{56B8401B-86D2-405F-B596-7D95650AE61C}" name="Effective_Plants_m2" dataDxfId="2491">
      <calculatedColumnFormula>IFERROR((AU196*AW196/100),0)</calculatedColumnFormula>
    </tableColumn>
    <tableColumn id="47" xr3:uid="{9C69D507-1ECB-40E2-AD85-03729F068A68}" name="Tillers_Per_Plant" dataDxfId="2490"/>
    <tableColumn id="48" xr3:uid="{B8B0A85F-5BD4-4253-B1C1-68F0BCE0FD88}" name="Shoots_Per_m2" dataDxfId="2489">
      <calculatedColumnFormula>IFERROR(AX196*AY196,0)</calculatedColumnFormula>
    </tableColumn>
    <tableColumn id="49" xr3:uid="{ADB62501-493E-41A3-8DD8-E5C05E6BF0E2}" name="Survival_Ratio" dataDxfId="2488"/>
    <tableColumn id="50" xr3:uid="{468C6889-B66F-48FD-A04A-EEDCCDCB33F6}" name="Shoot_Bearing_m2" dataDxfId="2487">
      <calculatedColumnFormula>IFERROR(AZ196*BA196,0)</calculatedColumnFormula>
    </tableColumn>
    <tableColumn id="51" xr3:uid="{F292DDAB-CEF8-49C7-A998-4D671B386D6C}" name="Leaf_Area_Per_Shoot_m2" dataDxfId="2486"/>
    <tableColumn id="52" xr3:uid="{E2F24772-3FCC-4CFC-ABC8-D0319983B134}" name="Start_LAI" dataDxfId="2485">
      <calculatedColumnFormula>IFERROR(
  MAX(0.05, MIN(0.5, CropNorms_Millet[[#This Row],[Leaf_Area_Per_Shoot_m2]] * CropNorms_Millet[[#This Row],[Shoot_Bearing_m2]] )),
  0.2
)</calculatedColumnFormula>
    </tableColumn>
    <tableColumn id="53" xr3:uid="{DB0A2794-982A-4033-8D48-68E32F174699}" name="LAI_Start_GDD" dataDxfId="2484">
      <calculatedColumnFormula>_xlfn.XLOOKUP(CropNorms_Millet[[#This Row],[LAI_Start_BBCH]], CropPhenology_Millet[Sub_Stage], CropPhenology_Millet[Start_GDD], "Not Found")</calculatedColumnFormula>
    </tableColumn>
    <tableColumn id="54" xr3:uid="{CCA721F5-A40F-4219-884B-422E593708A3}" name="Max_LAI" dataDxfId="2483">
      <calculatedColumnFormula>ROUND(CropNorms_Millet[[#This Row],[Shoot_Bearing_m2]]*CropNorms_Millet[[#This Row],[Leaf_Area_Per_Shoot_m2]],2)</calculatedColumnFormula>
    </tableColumn>
    <tableColumn id="55" xr3:uid="{5C14D7B3-9A07-4F5F-AA5F-C547B9AAA2CF}" name="LAI_Max_GDD" dataDxfId="2482">
      <calculatedColumnFormula>AVERAGE(
  _xlfn.XLOOKUP(CropNorms_Millet[[#This Row],[LAI_Max_BBCH]], CropPhenology_Millet[Sub_Stage], CropPhenology_Millet[Start_GDD]),
  _xlfn.XLOOKUP(CropNorms_Millet[[#This Row],[LAI_Max_BBCH]], CropPhenology_Millet[Sub_Stage], CropPhenology_Millet[End_GDD])
)</calculatedColumnFormula>
    </tableColumn>
    <tableColumn id="56" xr3:uid="{6B6F4A45-AAF2-4CDD-96D3-47448FFC0F65}" name="End_LAI" dataDxfId="2481">
      <calculatedColumnFormula>IF(CropNorms_Millet[[#This Row],[Max_LAI]]&gt;=1.2, 0.85*CropNorms_Millet[[#This Row],[Max_LAI]], 1)</calculatedColumnFormula>
    </tableColumn>
    <tableColumn id="57" xr3:uid="{E8DD1B55-16D1-4F3E-B254-58BDC3469445}" name="LAI_End_GDD" dataDxfId="2480">
      <calculatedColumnFormula>_xlfn.XLOOKUP(CropNorms_Millet[[#This Row],[LAI_End_BBCH]], CropPhenology_Millet[Sub_Stage], CropPhenology_Millet[End_GDD], "Not Found")</calculatedColumnFormula>
    </tableColumn>
    <tableColumn id="58" xr3:uid="{B1BDCB19-90F1-49A5-9823-8A2263E3DBF5}" name="RUE_Max" dataDxfId="2479">
      <calculatedColumnFormula array="1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0DA4E601-481C-4C90-9530-AC8BEEFD4B91}" name="RUE_Asymptote_Frac" dataDxfId="2478">
      <calculatedColumnFormula array="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053933C-216C-44BC-A2ED-E6394ADA9308}" name="RUE_LAI_Half_Sat" dataDxfId="2477">
      <calculatedColumnFormula array="1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C0B5A5EF-9CC2-4D06-845A-2F264F51892B}" name="RUE_Daily_Delta_Max" dataDxfId="2476">
      <calculatedColumnFormula array="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CD6711D6-F0C9-4128-9F15-C81CF5FC39D1}" name="HI" dataDxfId="2475"/>
    <tableColumn id="63" xr3:uid="{86930D17-F8F3-4EFC-B393-3BA4673995E6}" name="DM:FM" dataDxfId="2474"/>
    <tableColumn id="64" xr3:uid="{997056F1-1751-4620-821B-B54F6618AF4A}" name="Yield_t/ha" dataDxfId="2473"/>
    <tableColumn id="65" xr3:uid="{1006B5A7-E634-4869-B56A-2C8371AC282C}" name="Yield_Type" dataDxfId="2472"/>
    <tableColumn id="66" xr3:uid="{2EC6935B-5ECF-4043-A844-7CAC28C212CA}" name="LAI_Start_BBCH" dataDxfId="2471">
      <calculatedColumnFormula array="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044ED4E-BC87-47F7-9810-66830A8B275E}" name="LAI_Max_BBCH" dataDxfId="2470">
      <calculatedColumnFormula array="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ECE1035-B57D-417C-A9B5-BAE8EF4D9786}" name="LAI_End_BBCH" dataDxfId="2469">
      <calculatedColumnFormula array="1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A1DF7AB2-6285-4976-9D4A-835F6F3EE207}" name="Fruiting_Start_BBCH" dataDxfId="2468">
      <calculatedColumnFormula array="1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AE18518-0816-4D45-995F-191B63BBDBC5}" name="N_Deficiency_kg/ha" dataDxfId="2467"/>
    <tableColumn id="71" xr3:uid="{925679E1-1798-4ABB-B421-BC7FD62472B3}" name="P_Deficiency_kg/ha" dataDxfId="2466"/>
    <tableColumn id="72" xr3:uid="{544F1F06-FCE8-455D-B4F7-BDA1589525BB}" name="K_deficiency_kg/ha" dataDxfId="2465"/>
    <tableColumn id="73" xr3:uid="{461B7EC3-B768-4BC3-875D-E8FD09C67757}" name="Sowing_Start_Season" dataDxfId="2464"/>
    <tableColumn id="74" xr3:uid="{3DE2850C-8055-4F0D-8D69-5ABE884EED3C}" name="Sowing_End_Season" dataDxfId="2463"/>
    <tableColumn id="75" xr3:uid="{10190950-1E94-4C18-98FA-72A67604E369}" name="Sand" dataDxfId="2462"/>
    <tableColumn id="76" xr3:uid="{290016C1-540B-401D-BC51-C02E50453FAC}" name="Loamy Sand" dataDxfId="2461"/>
    <tableColumn id="77" xr3:uid="{E86BF5C0-A538-4EC1-AAD0-6C1C8CE88F3D}" name="Sandy Loam" dataDxfId="2460"/>
    <tableColumn id="78" xr3:uid="{6BA79450-2A4B-4368-A20B-CB8217B5ACC2}" name="Loam" dataDxfId="2459"/>
    <tableColumn id="79" xr3:uid="{88F3C323-F321-43F4-9AA7-95DBCCC8C71C}" name="Silt Loam" dataDxfId="2458"/>
    <tableColumn id="80" xr3:uid="{DE559B5D-E738-4D32-B99F-F78902162BF4}" name="Clay Loam" dataDxfId="2457"/>
    <tableColumn id="81" xr3:uid="{56975E05-85F2-4150-8716-6C4DE4DACECF}" name="Silt" dataDxfId="2456"/>
    <tableColumn id="82" xr3:uid="{1CF3BD54-048B-44CD-831C-AB720108FD3C}" name="Sandy Clay" dataDxfId="2455"/>
    <tableColumn id="83" xr3:uid="{21A18C26-CD4C-466F-8A5A-0F0FAD441151}" name="Silty Clay Loam" dataDxfId="2454"/>
    <tableColumn id="84" xr3:uid="{E05C2B10-D163-42C0-9E4C-8C3EA89F2F4F}" name="Silty Clay" dataDxfId="2453"/>
    <tableColumn id="85" xr3:uid="{8AA0289D-B958-423C-9C1F-0CCA5B0AEE14}" name="Clay" dataDxfId="2452"/>
    <tableColumn id="86" xr3:uid="{48B9DF13-7AAF-4097-B35C-6B7A75B2A6B7}" name="Sandy Clay Loam" dataDxfId="245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30C1E8A-0789-4D54-8836-D801ECF8B25A}" name="CropNorms_Mustard" displayName="CropNorms_Mustard" ref="B205:CL210" totalsRowShown="0" headerRowDxfId="2450" dataDxfId="2448" headerRowBorderDxfId="2449" tableBorderDxfId="2447">
  <tableColumns count="89">
    <tableColumn id="1" xr3:uid="{3609F827-E3FE-4710-947B-4AF5D73587E4}" name="Crop_Name" dataDxfId="2446"/>
    <tableColumn id="2" xr3:uid="{616C9835-C1D8-4A1C-93B5-F6606CE78214}" name="Variety_Name" dataDxfId="2445"/>
    <tableColumn id="3" xr3:uid="{13330840-3E5D-4153-85E4-FF1DF4C9CC79}" name="Variety_Type" dataDxfId="2444"/>
    <tableColumn id="4" xr3:uid="{B969A2E6-8313-437D-99D4-A82019ED7725}" name="Height_Class" dataDxfId="2443"/>
    <tableColumn id="5" xr3:uid="{C0B3E99F-130C-4CA8-B0CB-6DCF4B2C5CB3}" name="Height_cm" dataDxfId="2442"/>
    <tableColumn id="6" xr3:uid="{A6EF7671-AA44-4572-AB86-E4230C933B66}" name="Nutrient_Content" dataDxfId="2441"/>
    <tableColumn id="7" xr3:uid="{93CB83AC-E4F0-497D-8CFA-68B80EB4159C}" name="Common_Disease_Tolerance" dataDxfId="2440"/>
    <tableColumn id="8" xr3:uid="{2A6CE513-8465-454D-96C4-C8612C1CE505}" name="Common_Pest_Tolerance" dataDxfId="2439"/>
    <tableColumn id="9" xr3:uid="{5893B2C3-5321-420E-A6F8-981E62D82B8B}" name="Environmental_Resilience" dataDxfId="2438"/>
    <tableColumn id="10" xr3:uid="{AC5073AA-3FA6-486A-AFD7-9C405EE75E50}" name="Category" dataDxfId="2437"/>
    <tableColumn id="11" xr3:uid="{B3E8CC37-E0DB-4067-B895-EC95DEB31AFF}" name="Country" dataDxfId="2436"/>
    <tableColumn id="12" xr3:uid="{A19B9710-9C74-4E76-A80A-A1A25EEE1B85}" name="Season" dataDxfId="2435"/>
    <tableColumn id="13" xr3:uid="{1535D439-42FD-4AB3-9343-0205C4669AA1}" name="PAR" dataDxfId="2434"/>
    <tableColumn id="14" xr3:uid="{43745268-9C2B-415E-8DEE-D083ED37A346}" name="Region" dataDxfId="2433"/>
    <tableColumn id="15" xr3:uid="{05DE7FD8-C852-4081-865D-232408D1C434}" name="Seed_Weight_mg" dataDxfId="2432"/>
    <tableColumn id="16" xr3:uid="{35A568A4-2134-4A2E-B36A-BDCF8F96D902}" name="Crop_Min_Temp" dataDxfId="2431"/>
    <tableColumn id="17" xr3:uid="{AAC21EFF-CBB4-4A70-A7BB-425FD4B3AE28}" name="Base_Temp" dataDxfId="2430"/>
    <tableColumn id="18" xr3:uid="{685F16BB-C156-4D5B-BBC2-E45D9CAB7ACD}" name="Opt._Temp" dataDxfId="2429"/>
    <tableColumn id="19" xr3:uid="{3DC74099-7AC8-4825-83BD-6E6C0436DFE4}" name="Upper_Temp" dataDxfId="2428"/>
    <tableColumn id="89" xr3:uid="{36FF492C-7B83-41CD-8B02-519B21603F11}" name="Loss / Degree" dataDxfId="2427"/>
    <tableColumn id="20" xr3:uid="{AF22D144-4939-46B6-8E06-466B24F300F2}" name="Min_Days" dataDxfId="2426"/>
    <tableColumn id="21" xr3:uid="{40E748F4-F718-4B15-B9DB-130D0D56A7AA}" name="Max_Days" dataDxfId="2425"/>
    <tableColumn id="22" xr3:uid="{A5E35E99-A75D-4A9E-BACA-8576386D3685}" name="Ripening_S_GDD" dataDxfId="2424">
      <calculatedColumnFormula>_xlfn.XLOOKUP("Ripening", CropPhenology_Mustard[Main_Stage], CropPhenology_Mustard[Start_GDD], "Not Found")</calculatedColumnFormula>
    </tableColumn>
    <tableColumn id="23" xr3:uid="{22364171-5A65-4C40-BBDF-FB179AA1A906}" name="Ripening_E_GDD" dataDxfId="2423">
      <calculatedColumnFormula array="1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calculatedColumnFormula>
    </tableColumn>
    <tableColumn id="24" xr3:uid="{FFF230ED-7CA2-4EEC-8BA7-E11600B519F5}" name="Avg. Daily GDD" dataDxfId="2422">
      <calculatedColumnFormula>MIN(Y206/V206,MAX(X206/W206,R206,(X206/W206+Y206/V206)/2))</calculatedColumnFormula>
    </tableColumn>
    <tableColumn id="25" xr3:uid="{7ED8521B-E65E-4464-A911-BBC3DB86EDBE}" name="Days_to_Ripening" dataDxfId="2421">
      <calculatedColumnFormula>Y206/Z206</calculatedColumnFormula>
    </tableColumn>
    <tableColumn id="26" xr3:uid="{20D9E4B8-97FF-4919-B6AB-FF7FDDA451B3}" name="Sunshine" dataDxfId="2420"/>
    <tableColumn id="27" xr3:uid="{1B1433FC-A4A9-4441-951C-88BF57B6A65F}" name="Soil_Temp_Min" dataDxfId="2419"/>
    <tableColumn id="28" xr3:uid="{D5C3BD21-617B-4E3D-ADEA-D55440624617}" name="VPA_Max" dataDxfId="2418"/>
    <tableColumn id="29" xr3:uid="{265E768A-7829-4A47-B55D-E3C997DF094D}" name="Humidity_Max" dataDxfId="2417"/>
    <tableColumn id="30" xr3:uid="{E5FD15DF-88CA-4ECF-8822-F5AB07FB5307}" name="Dew_Point_Min" dataDxfId="2416"/>
    <tableColumn id="31" xr3:uid="{C1F90F94-B58D-40A2-A0A7-4CA62223F9F3}" name="WS_2m_Max" dataDxfId="2415"/>
    <tableColumn id="32" xr3:uid="{CB4350AF-9864-4920-AAEA-512274AB7C80}" name="GDD_Adjust" dataDxfId="2414">
      <calculatedColumnFormula>IFERROR((Y206-X206)/AA206,0)</calculatedColumnFormula>
    </tableColumn>
    <tableColumn id="33" xr3:uid="{2138FC87-5DA7-43E6-8298-66EA4ADB1197}" name="pH_Min" dataDxfId="2413"/>
    <tableColumn id="34" xr3:uid="{5CACB40A-578A-498F-B82F-09689A8FE99A}" name="pH_Max" dataDxfId="2412"/>
    <tableColumn id="87" xr3:uid="{0DEDCC43-6CF9-4E95-ADBC-87A73938FE06}" name="ECt" dataDxfId="2411"/>
    <tableColumn id="88" xr3:uid="{0A8E283F-EEB9-40FF-A54A-9FD774186FD8}" name="Slope" dataDxfId="2410"/>
    <tableColumn id="35" xr3:uid="{30067CB5-19F9-462A-8576-C7EB16B735A4}" name="CWR_Min" dataDxfId="2409"/>
    <tableColumn id="36" xr3:uid="{A54249BD-990B-4045-A9F6-619D08DA4F80}" name="CWR_Max" dataDxfId="2408"/>
    <tableColumn id="37" xr3:uid="{EC20ADB9-C65E-415A-948F-3C4942BAF1AD}" name="Sowing_Depth_cm" dataDxfId="2407"/>
    <tableColumn id="38" xr3:uid="{A6120896-4C7A-40C8-8743-6780ACA25F5E}" name="Root_Depth_cm" dataDxfId="2406"/>
    <tableColumn id="39" xr3:uid="{FCA843A8-4875-4563-86B6-82BE9631F00C}" name="Stress_Tolerance_Index" dataDxfId="2405"/>
    <tableColumn id="40" xr3:uid="{67535670-FC4F-497F-8A78-51EC66A5C789}" name="Row_Spacing_cm" dataDxfId="2404"/>
    <tableColumn id="41" xr3:uid="{CFCBE097-A1DB-431B-B0B7-730858B62E9F}" name="Plant_to_Plant_cm" dataDxfId="2403"/>
    <tableColumn id="42" xr3:uid="{41DFA505-9B91-4A8A-BDAA-28A258351636}" name="Seed_Per_Spot" dataDxfId="2402"/>
    <tableColumn id="43" xr3:uid="{F7CD10BC-CBEB-4F12-944D-3164AC0A6DCD}" name="Seed_Rate_m2" dataDxfId="2401">
      <calculatedColumnFormula>IFERROR(10000/(AS206*AR206),0)*AT206</calculatedColumnFormula>
    </tableColumn>
    <tableColumn id="44" xr3:uid="{920962CD-6B3C-4312-9E80-66EB3CE2F99F}" name="Seed_Weight_kg/ha" dataDxfId="2400">
      <calculatedColumnFormula>ROUND((P206/1000000)*AU206*10000,2)</calculatedColumnFormula>
    </tableColumn>
    <tableColumn id="45" xr3:uid="{5AA033F8-F73A-4F38-A95B-310FFDF17804}" name="Germination_%" dataDxfId="2399"/>
    <tableColumn id="46" xr3:uid="{345F54EB-C0B5-468C-BCAC-C0849061AA39}" name="Effective_Plants_m2" dataDxfId="2398">
      <calculatedColumnFormula>IFERROR((AU206*AW206/100),0)</calculatedColumnFormula>
    </tableColumn>
    <tableColumn id="47" xr3:uid="{2E8C8DD6-D24A-4DE1-BDFC-F4B37E0E7337}" name="Tillers_Per_Plant" dataDxfId="2397"/>
    <tableColumn id="48" xr3:uid="{12278ACC-0852-429A-8CA6-95DB757AE32B}" name="Shoots_Per_m2" dataDxfId="2396">
      <calculatedColumnFormula>IFERROR(AX206*AY206,0)</calculatedColumnFormula>
    </tableColumn>
    <tableColumn id="49" xr3:uid="{A7A546B7-BD6C-43C2-B9A4-A0A0CDA56091}" name="Survival_Ratio" dataDxfId="2395"/>
    <tableColumn id="50" xr3:uid="{A21E519C-382D-46ED-9B87-4867A3A0C545}" name="Shoot_Bearing_m2" dataDxfId="2394">
      <calculatedColumnFormula>IFERROR(AZ206*BA206,0)</calculatedColumnFormula>
    </tableColumn>
    <tableColumn id="51" xr3:uid="{75DEFF6E-0964-484A-BD1B-43F6F5EF4930}" name="Leaf_Area_Per_Shoot_m2" dataDxfId="2393"/>
    <tableColumn id="52" xr3:uid="{AD31AFFA-22DF-4ADD-B686-2E9071C56191}" name="Start_LAI" dataDxfId="2392">
      <calculatedColumnFormula>IFERROR(
  MAX(0.05, MIN(0.5, CropNorms_Mustard[[#This Row],[Leaf_Area_Per_Shoot_m2]] * CropNorms_Mustard[[#This Row],[Shoot_Bearing_m2]] )),
  0.2
)</calculatedColumnFormula>
    </tableColumn>
    <tableColumn id="53" xr3:uid="{E0753B4C-5F78-48DE-B455-F868B99CD19D}" name="LAI_Start_GDD" dataDxfId="2391">
      <calculatedColumnFormula>_xlfn.XLOOKUP(CropNorms_Mustard[[#This Row],[LAI_Start_BBCH]], CropPhenology_Mustard[Sub_Stage], CropPhenology_Mustard[Start_GDD], "Not Found")</calculatedColumnFormula>
    </tableColumn>
    <tableColumn id="54" xr3:uid="{BEC952F0-8B6A-44F5-A5E2-FAD6A0821446}" name="Max_LAI" dataDxfId="2390">
      <calculatedColumnFormula>ROUND(CropNorms_Mustard[[#This Row],[Shoot_Bearing_m2]]*CropNorms_Mustard[[#This Row],[Leaf_Area_Per_Shoot_m2]],2)</calculatedColumnFormula>
    </tableColumn>
    <tableColumn id="55" xr3:uid="{57598995-F36C-4462-B9FC-76CD50EE047F}" name="LAI_Max_GDD" dataDxfId="2389">
      <calculatedColumnFormula>AVERAGE(
  _xlfn.XLOOKUP(CropNorms_Mustard[[#This Row],[LAI_Max_BBCH]], CropPhenology_Mustard[Sub_Stage], CropPhenology_Mustard[Start_GDD]),
  _xlfn.XLOOKUP(CropNorms_Mustard[[#This Row],[LAI_Max_BBCH]], CropPhenology_Mustard[Sub_Stage], CropPhenology_Mustard[End_GDD])
)</calculatedColumnFormula>
    </tableColumn>
    <tableColumn id="56" xr3:uid="{4B398BCE-FF7B-4C74-90F6-1F14FB6CC362}" name="End_LAI" dataDxfId="2388">
      <calculatedColumnFormula>IF(CropNorms_Mustard[[#This Row],[Max_LAI]]&gt;=1.2, 0.85*CropNorms_Mustard[[#This Row],[Max_LAI]], 1)</calculatedColumnFormula>
    </tableColumn>
    <tableColumn id="57" xr3:uid="{5244104C-FE8D-407E-8E15-176A7377C76E}" name="LAI_End_GDD" dataDxfId="2387">
      <calculatedColumnFormula>_xlfn.XLOOKUP(CropNorms_Mustard[[#This Row],[LAI_End_BBCH]], CropPhenology_Mustard[Sub_Stage], CropPhenology_Mustard[End_GDD], "Not Found")</calculatedColumnFormula>
    </tableColumn>
    <tableColumn id="58" xr3:uid="{4FAA1A26-3CF7-4F00-8BC9-F447BB635C35}" name="RUE_Max" dataDxfId="2386">
      <calculatedColumnFormula array="1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756E799-1E06-4E68-A00B-09FBC9F0956F}" name="RUE_Asymptote_Frac" dataDxfId="2385">
      <calculatedColumnFormula array="1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3EE609D-7DE8-43B7-AD43-72EFBC6C5A85}" name="RUE_LAI_Half_Sat" dataDxfId="2384">
      <calculatedColumnFormula array="1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68D9DDB-F797-4D1C-9231-00BC01ABADCD}" name="RUE_Daily_Delta_Max" dataDxfId="2383">
      <calculatedColumnFormula array="1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7AA93A78-C5C0-4312-9756-F30CB2119F02}" name="HI" dataDxfId="2382"/>
    <tableColumn id="63" xr3:uid="{44AADA32-C029-4E86-A8DC-F90C314D1738}" name="DM:FM" dataDxfId="2381"/>
    <tableColumn id="64" xr3:uid="{5AD48949-D821-4E8D-84B6-370D32D3E24F}" name="Yield_t/ha" dataDxfId="2380"/>
    <tableColumn id="65" xr3:uid="{89157D2A-8D8C-4659-93EA-35D27050387F}" name="Yield_Type" dataDxfId="2379"/>
    <tableColumn id="66" xr3:uid="{BAD3F587-4BA5-4253-9513-81112E106DF0}" name="LAI_Start_BBCH" dataDxfId="2378">
      <calculatedColumnFormula array="1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B2D51C6-D7AF-4C3F-8BAC-8C004202A6C7}" name="LAI_Max_BBCH" dataDxfId="2377">
      <calculatedColumnFormula array="1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2111B6C-0BA6-4C24-AE21-5F5D7A853BA8}" name="LAI_End_BBCH" dataDxfId="2376">
      <calculatedColumnFormula array="1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E0BBCD0-7132-4E29-B852-D3506FCEC644}" name="Fruiting_Start_BBCH" dataDxfId="2375">
      <calculatedColumnFormula array="1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4F870D0-1018-415D-9ECC-B9CE0C5500CA}" name="N_Deficiency_kg/ha" dataDxfId="2374"/>
    <tableColumn id="71" xr3:uid="{28112A8F-0B6E-42CD-A02A-2C5B78F7D9DB}" name="P_Deficiency_kg/ha" dataDxfId="2373"/>
    <tableColumn id="72" xr3:uid="{1B3DFEA8-22A8-47DD-B086-692A3D3D5B54}" name="K_deficiency_kg/ha" dataDxfId="2372"/>
    <tableColumn id="73" xr3:uid="{92C239EE-4793-456F-9C24-02ECF5A4F966}" name="Sowing_Start_Season" dataDxfId="2371"/>
    <tableColumn id="74" xr3:uid="{D320ADC9-A627-4034-9858-B4FF9B610DC4}" name="Sowing_End_Season" dataDxfId="2370"/>
    <tableColumn id="75" xr3:uid="{40BF0B2C-85AB-48AB-BFED-23F161C73E80}" name="Sand" dataDxfId="2369"/>
    <tableColumn id="76" xr3:uid="{54E576B5-5CC1-4429-BFE2-FBF58FAFD197}" name="Loamy Sand" dataDxfId="2368"/>
    <tableColumn id="77" xr3:uid="{8D7AB6BC-6599-4D2A-9337-95F765701CD0}" name="Sandy Loam" dataDxfId="2367"/>
    <tableColumn id="78" xr3:uid="{B4CFB9BE-4A1A-450A-89B5-2F3BA547EEE8}" name="Loam" dataDxfId="2366"/>
    <tableColumn id="79" xr3:uid="{16582C3E-7193-457A-A458-DEE6C8A7BED4}" name="Silt Loam" dataDxfId="2365"/>
    <tableColumn id="80" xr3:uid="{D942FF3D-80D1-44D3-8029-26105BB5FE19}" name="Clay Loam" dataDxfId="2364"/>
    <tableColumn id="81" xr3:uid="{C2DAA702-2CD2-4F9A-AF3C-6AFEA4277BAD}" name="Silt" dataDxfId="2363"/>
    <tableColumn id="82" xr3:uid="{56415E69-6D74-4EDA-A78B-9BFA6D92E859}" name="Sandy Clay" dataDxfId="2362"/>
    <tableColumn id="83" xr3:uid="{433F7DAA-E43F-403A-B364-3A53CEBCDB9A}" name="Silty Clay Loam" dataDxfId="2361"/>
    <tableColumn id="84" xr3:uid="{B96D9877-0961-4393-9404-8A1D155071BF}" name="Silty Clay" dataDxfId="2360"/>
    <tableColumn id="85" xr3:uid="{46D966D9-BCF9-4C72-8B41-878B72B084FE}" name="Clay" dataDxfId="2359"/>
    <tableColumn id="86" xr3:uid="{FD47AA4E-97F4-4F35-AC93-7B66042E2A19}" name="Sandy Clay Loam" dataDxfId="235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F21BE14-6025-4300-8EE0-12A4B187CB4A}" name="CropNorms_Oat" displayName="CropNorms_Oat" ref="B212:CL222" totalsRowShown="0" headerRowDxfId="2357" dataDxfId="2355" headerRowBorderDxfId="2356" tableBorderDxfId="2354">
  <tableColumns count="89">
    <tableColumn id="1" xr3:uid="{6459EE07-1FBA-492E-B92B-4CA53DC7FC6B}" name="Crop_Name" dataDxfId="2353"/>
    <tableColumn id="2" xr3:uid="{96C91902-47B6-4663-97C8-75F9AE92ED4B}" name="Variety_Name" dataDxfId="2352"/>
    <tableColumn id="3" xr3:uid="{F001B840-4EFA-49EE-8643-4B2453DD731C}" name="Variety_Type" dataDxfId="2351"/>
    <tableColumn id="4" xr3:uid="{6FAA2405-16D9-4318-A256-531B71D3511A}" name="Height_Class" dataDxfId="2350"/>
    <tableColumn id="5" xr3:uid="{D35E72C8-B3B3-4987-9F74-B19BDC34CEF1}" name="Height_cm" dataDxfId="2349"/>
    <tableColumn id="6" xr3:uid="{75930C74-17AA-4893-94FA-0E995CF6B16F}" name="Nutrient_Content" dataDxfId="2348"/>
    <tableColumn id="7" xr3:uid="{03DB37B0-9FD9-4774-AFBE-C4E524A54591}" name="Common_Disease_Tolerance" dataDxfId="2347"/>
    <tableColumn id="8" xr3:uid="{4F644409-C7F9-4ED1-928E-BCE304A07778}" name="Common_Pest_Tolerance" dataDxfId="2346"/>
    <tableColumn id="9" xr3:uid="{FFDF7143-F30A-4093-846B-886A43E7D1F4}" name="Environmental_Resilience" dataDxfId="2345"/>
    <tableColumn id="10" xr3:uid="{A366021E-5D69-4F06-94EC-0D1577D314C9}" name="Category" dataDxfId="2344"/>
    <tableColumn id="11" xr3:uid="{EF01A69E-5FED-4B08-AF81-BF779A004F2C}" name="Country" dataDxfId="2343"/>
    <tableColumn id="12" xr3:uid="{28ACB07C-F79D-4F2A-A50B-24E0E3F525BD}" name="Season" dataDxfId="2342"/>
    <tableColumn id="13" xr3:uid="{D3705B9A-A971-45D0-B1E2-0E05B0E6C7BD}" name="PAR" dataDxfId="2341"/>
    <tableColumn id="14" xr3:uid="{B334A243-1DC2-4870-8AC0-A8446C77BDEF}" name="Region" dataDxfId="2340"/>
    <tableColumn id="15" xr3:uid="{32D24324-C2D7-4090-86A3-A54DAFD00471}" name="Seed_Weight_mg" dataDxfId="2339"/>
    <tableColumn id="16" xr3:uid="{ED9A9979-81C4-44F6-8362-1EE180741AE9}" name="Crop_Min_Temp" dataDxfId="2338"/>
    <tableColumn id="17" xr3:uid="{B5C145BB-F864-43CB-A4A0-F7148C5EB69E}" name="Base_Temp" dataDxfId="2337"/>
    <tableColumn id="18" xr3:uid="{E0920799-E55A-44D8-BE4D-E5AF8A3B3887}" name="Opt._Temp" dataDxfId="2336"/>
    <tableColumn id="19" xr3:uid="{B12A0E7A-0110-49A4-A0CE-D8973C546EAD}" name="Upper_Temp" dataDxfId="2335"/>
    <tableColumn id="89" xr3:uid="{5AFA1683-C363-4BAB-AC62-80AB0B032050}" name="Loss / Degree" dataDxfId="2334"/>
    <tableColumn id="20" xr3:uid="{625DB519-0E89-444E-AE92-A6AA1A144AD8}" name="Min_Days" dataDxfId="2333"/>
    <tableColumn id="21" xr3:uid="{A9E1892C-8B60-4647-9974-114B88AC9B67}" name="Max_Days" dataDxfId="2332"/>
    <tableColumn id="22" xr3:uid="{BAB2D41E-15A5-4AE2-AAAF-91B5B887EB88}" name="Ripening_S_GDD" dataDxfId="2331">
      <calculatedColumnFormula>_xlfn.XLOOKUP("Ripening", CropPhenology_Oat[Main_Stage], CropPhenology_Oat[Start_GDD], "Not Found")</calculatedColumnFormula>
    </tableColumn>
    <tableColumn id="23" xr3:uid="{49D8147E-84E8-4A05-AA60-AAF7661F7B92}" name="Ripening_E_GDD" dataDxfId="2330">
      <calculatedColumnFormula array="1">_xlfn.LET(
  _xlpm.stage, "Ripening",
  _xlpm.stages, CropPhenology_Oat[Main_Stage],
  _xlpm.gdd, CropPhenology_Oat[End_GDD],
  _xlpm.matchRows, _xlfn._xlws.FILTER(_xlpm.gdd, _xlpm.stages=_xlpm.stage),
  IFERROR(INDEX(_xlpm.matchRows, ROWS(_xlpm.matchRows)), "Not Found")
)</calculatedColumnFormula>
    </tableColumn>
    <tableColumn id="24" xr3:uid="{C17A6700-0CFC-4566-B7AE-395F316413FC}" name="Avg. Daily GDD" dataDxfId="2329">
      <calculatedColumnFormula>MIN(Y213/V213,MAX(X213/W213,R213,(X213/W213+Y213/V213)/2))</calculatedColumnFormula>
    </tableColumn>
    <tableColumn id="25" xr3:uid="{E2C43886-9673-4C23-B6EF-B9A077B5C523}" name="Days_to_Ripening" dataDxfId="2328">
      <calculatedColumnFormula>Y213/Z213</calculatedColumnFormula>
    </tableColumn>
    <tableColumn id="26" xr3:uid="{5EDC93CF-2ACF-4B53-9F5B-424362721D3A}" name="Sunshine" dataDxfId="2327"/>
    <tableColumn id="27" xr3:uid="{9843AFA8-8D5B-4CA3-A922-9AC88F23B5D4}" name="Soil_Temp_Min" dataDxfId="2326"/>
    <tableColumn id="28" xr3:uid="{0F200600-0E10-4C89-B030-789C9B30E49D}" name="VPA_Max" dataDxfId="2325"/>
    <tableColumn id="29" xr3:uid="{2EF5F823-A746-44A9-BD1F-A4E4130A0655}" name="Humidity_Max" dataDxfId="2324"/>
    <tableColumn id="30" xr3:uid="{35DFDA4F-FAF4-4581-8539-57DBFADB8924}" name="Dew_Point_Min" dataDxfId="2323"/>
    <tableColumn id="31" xr3:uid="{030680B5-30A4-40FB-92CA-2F0358DBA2C1}" name="WS_2m_Max" dataDxfId="2322"/>
    <tableColumn id="32" xr3:uid="{69415B9B-1513-4656-BC43-E9FC08269937}" name="GDD_Adjust" dataDxfId="2321">
      <calculatedColumnFormula>IFERROR((Y213-X213)/AA213,0)</calculatedColumnFormula>
    </tableColumn>
    <tableColumn id="33" xr3:uid="{3ED8ABD8-6936-4F08-852B-610F1C4ADF7D}" name="pH_Min" dataDxfId="2320"/>
    <tableColumn id="34" xr3:uid="{98F0F541-AFEE-41F2-B3EF-A9419B3FC946}" name="pH_Max" dataDxfId="2319"/>
    <tableColumn id="87" xr3:uid="{D05FE39E-0323-4AF6-962C-6AF0C1CFC098}" name="ECt" dataDxfId="2318"/>
    <tableColumn id="88" xr3:uid="{3796B1E2-195F-4F7E-B880-44BA63022D84}" name="Slope" dataDxfId="2317"/>
    <tableColumn id="35" xr3:uid="{44A98751-8542-41DA-BA90-6E877705048B}" name="CWR_Min" dataDxfId="2316"/>
    <tableColumn id="36" xr3:uid="{5DD621C1-14E8-4ECD-9F11-3086F420116B}" name="CWR_Max" dataDxfId="2315"/>
    <tableColumn id="37" xr3:uid="{02343D73-4755-45AF-9433-05B698A4C8F6}" name="Sowing_Depth_cm" dataDxfId="2314"/>
    <tableColumn id="38" xr3:uid="{437A5B3F-4CBE-4495-9693-62FDDA91B0E8}" name="Root_Depth_cm" dataDxfId="2313"/>
    <tableColumn id="39" xr3:uid="{39EBCA05-2CB4-4DA4-9EFD-90800A604AEA}" name="Stress_Tolerance_Index" dataDxfId="2312"/>
    <tableColumn id="40" xr3:uid="{AC6BC533-23C3-4B52-8598-466A26F897BC}" name="Row_Spacing_cm" dataDxfId="2311"/>
    <tableColumn id="41" xr3:uid="{1ECE51EC-C613-4036-9594-1153671E13F2}" name="Plant_to_Plant_cm" dataDxfId="2310"/>
    <tableColumn id="42" xr3:uid="{4A1CA895-7A38-4737-9330-650FA1EB900E}" name="Seed_Per_Spot" dataDxfId="2309"/>
    <tableColumn id="43" xr3:uid="{F81A19D1-248D-4370-B457-FF593EAFD5CA}" name="Seed_Rate_m2" dataDxfId="2308">
      <calculatedColumnFormula>IFERROR(10000/(AS213*AR213),0)*AT213</calculatedColumnFormula>
    </tableColumn>
    <tableColumn id="44" xr3:uid="{07FCBF5A-CE6E-4412-A25B-B687EDE96A49}" name="Seed_Weight_kg/ha" dataDxfId="2307">
      <calculatedColumnFormula>ROUND((P213/1000000)*AU213*10000,2)</calculatedColumnFormula>
    </tableColumn>
    <tableColumn id="45" xr3:uid="{51ABF044-633E-465A-B2A7-8E0A8E9427F2}" name="Germination_%" dataDxfId="2306"/>
    <tableColumn id="46" xr3:uid="{A6EEC51C-00B6-4D37-B81D-6C6C886F9D2B}" name="Effective_Plants_m2" dataDxfId="2305">
      <calculatedColumnFormula>IFERROR((AU213*AW213/100),0)</calculatedColumnFormula>
    </tableColumn>
    <tableColumn id="47" xr3:uid="{1BAF1FE2-9390-42AB-A888-E540DE33139E}" name="Tillers_Per_Plant" dataDxfId="2304"/>
    <tableColumn id="48" xr3:uid="{D5D31456-4FAB-4776-BAB5-E14021ED1B60}" name="Shoots_Per_m2" dataDxfId="2303">
      <calculatedColumnFormula>IFERROR(AX213*AY213,0)</calculatedColumnFormula>
    </tableColumn>
    <tableColumn id="49" xr3:uid="{B0F10209-6494-42AA-8B0D-A36729DACF08}" name="Survival_Ratio" dataDxfId="2302"/>
    <tableColumn id="50" xr3:uid="{4BDD686D-F08C-4039-A823-37B8ACBED2BE}" name="Shoot_Bearing_m2" dataDxfId="2301">
      <calculatedColumnFormula>IFERROR(AZ213*BA213,0)</calculatedColumnFormula>
    </tableColumn>
    <tableColumn id="51" xr3:uid="{B338908C-7122-4E20-980B-8AE2E268D294}" name="Leaf_Area_Per_Shoot_m2" dataDxfId="2300"/>
    <tableColumn id="52" xr3:uid="{6B42EB3A-1422-4366-9F53-910DC477DBA4}" name="Start_LAI" dataDxfId="2299">
      <calculatedColumnFormula>IFERROR(
  MAX(0.05, MIN(0.5, CropNorms_Oat[[#This Row],[Leaf_Area_Per_Shoot_m2]] * CropNorms_Oat[[#This Row],[Shoot_Bearing_m2]] )),
  0.2
)</calculatedColumnFormula>
    </tableColumn>
    <tableColumn id="53" xr3:uid="{5E3C2EBF-A0A2-4826-BB30-791E88044F32}" name="LAI_Start_GDD" dataDxfId="2298">
      <calculatedColumnFormula>_xlfn.XLOOKUP(CropNorms_Oat[[#This Row],[LAI_Start_BBCH]], CropPhenology_Oat[Sub_Stage], CropPhenology_Oat[Start_GDD], "Not Found")</calculatedColumnFormula>
    </tableColumn>
    <tableColumn id="54" xr3:uid="{8726D2B5-1C0C-423B-8114-093D4B16387D}" name="Max_LAI" dataDxfId="2297">
      <calculatedColumnFormula>ROUND(CropNorms_Oat[[#This Row],[Shoot_Bearing_m2]]*CropNorms_Oat[[#This Row],[Leaf_Area_Per_Shoot_m2]],2)</calculatedColumnFormula>
    </tableColumn>
    <tableColumn id="55" xr3:uid="{0EB0B5D2-6857-406F-BC6E-5C5165CE438D}" name="LAI_Max_GDD" dataDxfId="2296">
      <calculatedColumnFormula>AVERAGE(
  _xlfn.XLOOKUP(CropNorms_Oat[[#This Row],[LAI_Max_BBCH]], CropPhenology_Oat[Sub_Stage], CropPhenology_Oat[Start_GDD]),
  _xlfn.XLOOKUP(CropNorms_Oat[[#This Row],[LAI_Max_BBCH]], CropPhenology_Oat[Sub_Stage], CropPhenology_Oat[End_GDD])
)</calculatedColumnFormula>
    </tableColumn>
    <tableColumn id="56" xr3:uid="{CC50690D-45E0-4948-8D06-0677A253DA63}" name="End_LAI" dataDxfId="2295">
      <calculatedColumnFormula>IF(CropNorms_Oat[[#This Row],[Max_LAI]]&gt;=1.2, 0.85*CropNorms_Oat[[#This Row],[Max_LAI]], 1)</calculatedColumnFormula>
    </tableColumn>
    <tableColumn id="57" xr3:uid="{67BC85A3-D35A-41BC-8A11-1A5FCED9E19B}" name="LAI_End_GDD" dataDxfId="2294">
      <calculatedColumnFormula>_xlfn.XLOOKUP(CropNorms_Oat[[#This Row],[LAI_End_BBCH]], CropPhenology_Oat[Sub_Stage], CropPhenology_Oat[End_GDD], "Not Found")</calculatedColumnFormula>
    </tableColumn>
    <tableColumn id="58" xr3:uid="{7F3CDEB4-1959-4616-A11A-054641978594}" name="RUE_Max" dataDxfId="2293">
      <calculatedColumnFormula array="1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1BD9FD7-B890-4AEE-AAD7-5FB5766A90D5}" name="RUE_Asymptote_Frac" dataDxfId="2292">
      <calculatedColumnFormula array="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7CAA166-7C6F-47D3-9889-0DAF32233F85}" name="RUE_LAI_Half_Sat" dataDxfId="2291">
      <calculatedColumnFormula array="1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F2459809-B3DA-4D3D-B2FB-745850AEE1ED}" name="RUE_Daily_Delta_Max" dataDxfId="2290">
      <calculatedColumnFormula array="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FAD58D1-15B9-4B5E-B8D2-E57D866BFDA4}" name="HI" dataDxfId="2289"/>
    <tableColumn id="63" xr3:uid="{325437ED-7BB1-417A-96C6-2DBF2CC97083}" name="DM:FM" dataDxfId="2288"/>
    <tableColumn id="64" xr3:uid="{D803E23F-5B00-40ED-9FDF-966342A829E4}" name="Yield_t/ha" dataDxfId="2287"/>
    <tableColumn id="65" xr3:uid="{FB6ED0EB-FF46-4A7B-9251-5417E1D4E1B3}" name="Yield_Type" dataDxfId="2286"/>
    <tableColumn id="66" xr3:uid="{C2EB93DC-D774-47C9-89DB-1F271DD61033}" name="LAI_Start_BBCH" dataDxfId="2285">
      <calculatedColumnFormula array="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852EF2D-5193-47F7-B413-34E8EA1DCBD1}" name="LAI_Max_BBCH" dataDxfId="2284">
      <calculatedColumnFormula array="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B8F9B0F-B533-42D1-B4B8-E703F72AC79A}" name="LAI_End_BBCH" dataDxfId="2283">
      <calculatedColumnFormula array="1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561CFDE-68A5-4A72-99B4-F2011D30FF97}" name="Fruiting_Start_BBCH" dataDxfId="2282">
      <calculatedColumnFormula array="1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D479119C-78D3-4AA2-8254-E9AE4C47A2F5}" name="N_Deficiency_kg/ha" dataDxfId="2281"/>
    <tableColumn id="71" xr3:uid="{57DCBBB9-A806-4DCC-ADB5-BEE78A4F363C}" name="P_Deficiency_kg/ha" dataDxfId="2280"/>
    <tableColumn id="72" xr3:uid="{12BD5914-12F4-48B2-8004-E1A0633238BA}" name="K_deficiency_kg/ha" dataDxfId="2279"/>
    <tableColumn id="73" xr3:uid="{F8668D70-249F-494B-9C0E-147A9FD3DD38}" name="Sowing_Start_Season" dataDxfId="2278"/>
    <tableColumn id="74" xr3:uid="{CCD42C39-2783-4D0C-A8E6-9CE8994782A2}" name="Sowing_End_Season" dataDxfId="2277"/>
    <tableColumn id="75" xr3:uid="{CB55EA64-7ECF-4088-98BE-DB7ED7940D6D}" name="Sand" dataDxfId="2276"/>
    <tableColumn id="76" xr3:uid="{AD424CF6-723E-47DF-8284-21E3179CF012}" name="Loamy Sand" dataDxfId="2275"/>
    <tableColumn id="77" xr3:uid="{D1A6D298-A944-411B-B859-788F92B4FD11}" name="Sandy Loam" dataDxfId="2274"/>
    <tableColumn id="78" xr3:uid="{67728B77-0B58-49B5-9026-FC21FA20B09B}" name="Loam" dataDxfId="2273"/>
    <tableColumn id="79" xr3:uid="{1858E9F2-2E64-4E5B-A68B-DFB434BDB636}" name="Silt Loam" dataDxfId="2272"/>
    <tableColumn id="80" xr3:uid="{D1369793-69CE-460A-B24C-8837EF824221}" name="Clay Loam" dataDxfId="2271"/>
    <tableColumn id="81" xr3:uid="{F698D057-BDDD-4549-B7FE-091ACBD0C9D6}" name="Silt" dataDxfId="2270"/>
    <tableColumn id="82" xr3:uid="{B15EB999-E70F-4E51-B285-881F097D20E5}" name="Sandy Clay" dataDxfId="2269"/>
    <tableColumn id="83" xr3:uid="{13890A19-CB47-4AB9-9A9B-BC58E45E187B}" name="Silty Clay Loam" dataDxfId="2268"/>
    <tableColumn id="84" xr3:uid="{2B0369AE-8C2E-4F98-B8E2-9E1CD77625C7}" name="Silty Clay" dataDxfId="2267"/>
    <tableColumn id="85" xr3:uid="{4F4EEE6D-922F-48E3-A193-E368CBD07CE6}" name="Clay" dataDxfId="2266"/>
    <tableColumn id="86" xr3:uid="{27245741-4BC8-4741-885E-8E2A19297B06}" name="Sandy Clay Loam" dataDxfId="226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F9F917E-99D1-4433-8266-701D2DF9F475}" name="CropNorms_Okra" displayName="CropNorms_Okra" ref="B224:CL229" totalsRowShown="0" headerRowDxfId="2264" dataDxfId="2262" headerRowBorderDxfId="2263" tableBorderDxfId="2261">
  <tableColumns count="89">
    <tableColumn id="1" xr3:uid="{EB53DD00-AB2F-4D4E-9B23-33AC5B4BB82B}" name="Crop_Name" dataDxfId="2260"/>
    <tableColumn id="2" xr3:uid="{026A841A-3CAC-4FF8-AAFD-B592C34298E0}" name="Variety_Name" dataDxfId="2259"/>
    <tableColumn id="3" xr3:uid="{7BB7646B-1035-4C2A-9F9A-EA1044FDFBA3}" name="Variety_Type" dataDxfId="2258"/>
    <tableColumn id="4" xr3:uid="{B9D75429-1E1D-4FE0-9781-344E359D5E26}" name="Height_Class" dataDxfId="2257"/>
    <tableColumn id="5" xr3:uid="{DBA1F37B-B3F6-4D24-BB92-81697256265D}" name="Height_cm" dataDxfId="2256"/>
    <tableColumn id="6" xr3:uid="{05F48EDB-A922-4881-BF8D-DC9704587B24}" name="Nutrient_Content" dataDxfId="2255"/>
    <tableColumn id="7" xr3:uid="{E3D96F42-5C1E-4A2C-9401-A494403080B6}" name="Common_Disease_Tolerance" dataDxfId="2254"/>
    <tableColumn id="8" xr3:uid="{D75B008F-9690-403D-8F71-4A351D3C8145}" name="Common_Pest_Tolerance" dataDxfId="2253"/>
    <tableColumn id="9" xr3:uid="{BDB8E3B9-C47A-40E9-A416-6D951536E792}" name="Environmental_Resilience" dataDxfId="2252"/>
    <tableColumn id="10" xr3:uid="{9CD9B7DD-992D-4F3A-9A9A-9302F64D576E}" name="Category" dataDxfId="2251"/>
    <tableColumn id="11" xr3:uid="{50E1AED7-BC81-4483-891C-26BF982BF4B5}" name="Country" dataDxfId="2250"/>
    <tableColumn id="12" xr3:uid="{03301280-E96D-4E41-9544-41F11679AD53}" name="Season" dataDxfId="2249"/>
    <tableColumn id="13" xr3:uid="{33B7D38D-1C9A-47A7-AAF5-B6B316C70419}" name="PAR" dataDxfId="2248"/>
    <tableColumn id="14" xr3:uid="{64D8ED11-E697-4DBE-9E91-842F1AA5B280}" name="Region" dataDxfId="2247"/>
    <tableColumn id="15" xr3:uid="{9D79E2AF-DBF2-459A-B19A-0A718184F110}" name="Seed_Weight_mg" dataDxfId="2246"/>
    <tableColumn id="16" xr3:uid="{9CEBE44B-C679-40C1-BA98-4887354FF10F}" name="Crop_Min_Temp" dataDxfId="2245"/>
    <tableColumn id="17" xr3:uid="{D203B780-6C7B-48F7-BCD8-2E0BAEA274BB}" name="Base_Temp" dataDxfId="2244"/>
    <tableColumn id="18" xr3:uid="{12C58FE1-D570-4F26-A8D6-42BD61944319}" name="Opt._Temp" dataDxfId="2243"/>
    <tableColumn id="19" xr3:uid="{9B176EA4-1EA6-4433-B746-20ADD3492E2F}" name="Upper_Temp" dataDxfId="2242"/>
    <tableColumn id="89" xr3:uid="{400053F8-8EE2-401B-A019-3FA84E85EC0F}" name="Loss / Degree" dataDxfId="2241"/>
    <tableColumn id="20" xr3:uid="{5753CE42-FCEE-4027-A024-2ACBDA87EBC3}" name="Min_Days" dataDxfId="2240"/>
    <tableColumn id="21" xr3:uid="{1A43E6E5-C97F-4C77-9563-0BBEF5D95A0E}" name="Max_Days" dataDxfId="2239"/>
    <tableColumn id="22" xr3:uid="{E1AA040D-F3A4-4A5F-97EB-8404B09E3DBA}" name="Ripening_S_GDD" dataDxfId="2238">
      <calculatedColumnFormula>_xlfn.XLOOKUP("Ripening", CropPhenology_Okra[Main_Stage], CropPhenology_Okra[Start_GDD], "Not Found")</calculatedColumnFormula>
    </tableColumn>
    <tableColumn id="23" xr3:uid="{6BF79FBD-26C9-4E2A-8446-CDCEA7CF849B}" name="Ripening_E_GDD" dataDxfId="2237">
      <calculatedColumnFormula array="1">_xlfn.LET(
  _xlpm.stage, "Ripening",
  _xlpm.stages, CropPhenology_Okra[Main_Stage],
  _xlpm.gdd, CropPhenology_Okra[End_GDD],
  _xlpm.matchRows, _xlfn._xlws.FILTER(_xlpm.gdd, _xlpm.stages=_xlpm.stage),
  IFERROR(INDEX(_xlpm.matchRows, ROWS(_xlpm.matchRows)), "Not Found")
)</calculatedColumnFormula>
    </tableColumn>
    <tableColumn id="24" xr3:uid="{4E8A5AA0-35BF-49AA-9764-4DC8E3353DE5}" name="Avg. Daily GDD" dataDxfId="2236">
      <calculatedColumnFormula>MIN(Y225/V225,MAX(X225/W225,R225,(X225/W225+Y225/V225)/2))</calculatedColumnFormula>
    </tableColumn>
    <tableColumn id="25" xr3:uid="{C7DFE3EE-0A6D-4165-A37F-BE54202D1611}" name="Days_to_Ripening" dataDxfId="2235">
      <calculatedColumnFormula>Y225/Z225</calculatedColumnFormula>
    </tableColumn>
    <tableColumn id="26" xr3:uid="{8B8C319D-3E07-4A75-9963-6B156D019605}" name="Sunshine" dataDxfId="2234"/>
    <tableColumn id="27" xr3:uid="{E76EE826-1321-40FF-9B69-A4E84543FBFC}" name="Soil_Temp_Min" dataDxfId="2233"/>
    <tableColumn id="28" xr3:uid="{9DACE430-F7EC-4EF6-AF2E-A2D6577D18E0}" name="VPA_Max" dataDxfId="2232"/>
    <tableColumn id="29" xr3:uid="{827DC8EF-199D-4AAB-88B0-74CE8FE9A45E}" name="Humidity_Max" dataDxfId="2231"/>
    <tableColumn id="30" xr3:uid="{BDB9AD3C-16FB-459F-BF63-E6EEB0976461}" name="Dew_Point_Min" dataDxfId="2230"/>
    <tableColumn id="31" xr3:uid="{0BB8C8C2-7CC6-4F5D-A8AE-1B5A743EF82A}" name="WS_2m_Max" dataDxfId="2229"/>
    <tableColumn id="32" xr3:uid="{F0B6AD82-1268-4616-AECD-B9603D09A1D0}" name="GDD_Adjust" dataDxfId="2228">
      <calculatedColumnFormula>IFERROR((Y225-X225)/AA225,0)</calculatedColumnFormula>
    </tableColumn>
    <tableColumn id="33" xr3:uid="{9ABD1DD0-AFDD-4199-9BCC-2B302FE718DB}" name="pH_Min" dataDxfId="2227"/>
    <tableColumn id="34" xr3:uid="{EB1C3A39-632B-49F7-BDBF-CB62629823A3}" name="pH_Max" dataDxfId="2226"/>
    <tableColumn id="87" xr3:uid="{DD8DF374-F4D6-459D-B97B-10B07BA895BC}" name="ECt" dataDxfId="2225"/>
    <tableColumn id="88" xr3:uid="{436C00D8-B06F-4A44-8C25-388FBB2AC5F1}" name="Slope" dataDxfId="2224"/>
    <tableColumn id="35" xr3:uid="{1B462270-8F9C-4A2D-89FA-9387E8E57825}" name="CWR_Min" dataDxfId="2223"/>
    <tableColumn id="36" xr3:uid="{2AA1ADDC-FA9F-41A9-9EB4-91816465E186}" name="CWR_Max" dataDxfId="2222"/>
    <tableColumn id="37" xr3:uid="{EE11B4BC-294F-4944-9B91-B1FFF562B617}" name="Sowing_Depth_cm" dataDxfId="2221"/>
    <tableColumn id="38" xr3:uid="{EE66A09A-77B1-4F7C-910C-7EDC32016EB0}" name="Root_Depth_cm" dataDxfId="2220"/>
    <tableColumn id="39" xr3:uid="{AD2E102E-6C9B-4FF3-A814-424600D84C85}" name="Stress_Tolerance_Index" dataDxfId="2219"/>
    <tableColumn id="40" xr3:uid="{23E6C001-F01B-40D7-B3E1-F08FC535548E}" name="Row_Spacing_cm" dataDxfId="2218"/>
    <tableColumn id="41" xr3:uid="{E81FBE7C-8ABD-40F4-888E-0333C0FE4601}" name="Plant_to_Plant_cm" dataDxfId="2217"/>
    <tableColumn id="42" xr3:uid="{5B2D6DD9-47E3-4CE9-AB11-E03657BE4EC8}" name="Seed_Per_Spot" dataDxfId="2216"/>
    <tableColumn id="43" xr3:uid="{6B4888C7-5F5B-4E32-AF25-2C8DD00DBAD0}" name="Seed_Rate_m2" dataDxfId="2215">
      <calculatedColumnFormula>IFERROR(10000/(AS225*AR225),0)*AT225</calculatedColumnFormula>
    </tableColumn>
    <tableColumn id="44" xr3:uid="{95A5FDE9-2B48-440A-BD45-547CEAC346EB}" name="Seed_Weight_kg/ha" dataDxfId="2214">
      <calculatedColumnFormula>ROUND((P225/1000000)*AU225*10000,2)</calculatedColumnFormula>
    </tableColumn>
    <tableColumn id="45" xr3:uid="{30E22429-8FD7-4E82-9EA7-D1857F0B9135}" name="Germination_%" dataDxfId="2213"/>
    <tableColumn id="46" xr3:uid="{7A9E8CCE-D98D-4544-9E81-6CB9ECFEA3D5}" name="Effective_Plants_m2" dataDxfId="2212">
      <calculatedColumnFormula>IFERROR((AU225*AW225/100),0)</calculatedColumnFormula>
    </tableColumn>
    <tableColumn id="47" xr3:uid="{6CFE229F-5A9D-4B10-BEC0-4E33F259A703}" name="Tillers_Per_Plant" dataDxfId="2211"/>
    <tableColumn id="48" xr3:uid="{916EFD14-F873-485D-9417-56C82C1D3738}" name="Shoots_Per_m2" dataDxfId="2210">
      <calculatedColumnFormula>IFERROR(AX225*AY225,0)</calculatedColumnFormula>
    </tableColumn>
    <tableColumn id="49" xr3:uid="{BAB3A87F-9D69-4500-B0B2-0F4CDFF4BBEC}" name="Survival_Ratio" dataDxfId="2209"/>
    <tableColumn id="50" xr3:uid="{B6567228-04B7-4997-9998-A9DF4EB26AFE}" name="Shoot_Bearing_m2" dataDxfId="2208">
      <calculatedColumnFormula>IFERROR(AZ225*BA225,0)</calculatedColumnFormula>
    </tableColumn>
    <tableColumn id="51" xr3:uid="{68318F2E-0FB4-4AA3-B697-25319549DA61}" name="Leaf_Area_Per_Shoot_m2" dataDxfId="2207"/>
    <tableColumn id="52" xr3:uid="{7DD784CA-6847-4EF6-975C-DCA30C2CC84E}" name="Start_LAI" dataDxfId="2206">
      <calculatedColumnFormula>IFERROR(
  MAX(0.05, MIN(0.5, CropNorms_Okra[[#This Row],[Leaf_Area_Per_Shoot_m2]] * CropNorms_Okra[[#This Row],[Shoot_Bearing_m2]] )),
  0.2
)</calculatedColumnFormula>
    </tableColumn>
    <tableColumn id="53" xr3:uid="{0416D2A9-D625-4FB6-A4C8-E48914DAE4D6}" name="LAI_Start_GDD" dataDxfId="2205">
      <calculatedColumnFormula>_xlfn.XLOOKUP(CropNorms_Okra[[#This Row],[LAI_Start_BBCH]], CropPhenology_Okra[Sub_Stage], CropPhenology_Okra[Start_GDD], "Not Found")</calculatedColumnFormula>
    </tableColumn>
    <tableColumn id="54" xr3:uid="{67FD3571-0E19-4D5E-A7BB-61E7D63C3795}" name="Max_LAI" dataDxfId="2204">
      <calculatedColumnFormula>ROUND(CropNorms_Okra[[#This Row],[Shoot_Bearing_m2]]*CropNorms_Okra[[#This Row],[Leaf_Area_Per_Shoot_m2]],2)</calculatedColumnFormula>
    </tableColumn>
    <tableColumn id="55" xr3:uid="{1FD15570-01A1-439B-91A8-B7C7A22B5DAC}" name="LAI_Max_GDD" dataDxfId="2203">
      <calculatedColumnFormula>AVERAGE(
  _xlfn.XLOOKUP(CropNorms_Okra[[#This Row],[LAI_Max_BBCH]], CropPhenology_Okra[Sub_Stage], CropPhenology_Okra[Start_GDD]),
  _xlfn.XLOOKUP(CropNorms_Okra[[#This Row],[LAI_Max_BBCH]], CropPhenology_Okra[Sub_Stage], CropPhenology_Okra[End_GDD])
)</calculatedColumnFormula>
    </tableColumn>
    <tableColumn id="56" xr3:uid="{02618390-D553-46F3-A130-83DE9A71ABD8}" name="End_LAI" dataDxfId="2202">
      <calculatedColumnFormula>IF(CropNorms_Okra[[#This Row],[Max_LAI]]&gt;=1.2, 0.85*CropNorms_Okra[[#This Row],[Max_LAI]], 1)</calculatedColumnFormula>
    </tableColumn>
    <tableColumn id="57" xr3:uid="{228520B7-BFA1-45C7-932C-A7542DF43A58}" name="LAI_End_GDD" dataDxfId="2201">
      <calculatedColumnFormula>_xlfn.XLOOKUP(CropNorms_Okra[[#This Row],[LAI_End_BBCH]], CropPhenology_Okra[Sub_Stage], CropPhenology_Okra[End_GDD], "Not Found")</calculatedColumnFormula>
    </tableColumn>
    <tableColumn id="58" xr3:uid="{904C7CE2-B97F-4724-A73D-D9AF257E9F65}" name="RUE_Max" dataDxfId="2200">
      <calculatedColumnFormula array="1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2E55A7F-BF8D-4989-9170-7AEE3E3CF49D}" name="RUE_Asymptote_Frac" dataDxfId="2199">
      <calculatedColumnFormula array="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F6F58395-3BE1-47D3-BA36-07C26733A1D2}" name="RUE_LAI_Half_Sat" dataDxfId="2198">
      <calculatedColumnFormula array="1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55E4A0D-F058-4FB4-BC24-20100B868B13}" name="RUE_Daily_Delta_Max" dataDxfId="2197">
      <calculatedColumnFormula array="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D94A9A1-08C6-41F9-9E71-E91B4599B001}" name="HI" dataDxfId="2196"/>
    <tableColumn id="63" xr3:uid="{68D190BD-F965-4402-A6B6-14EDA824F3FB}" name="DM:FM" dataDxfId="2195"/>
    <tableColumn id="64" xr3:uid="{8819EDB0-2875-4767-BF64-2BFE00FB9B77}" name="Yield_t/ha" dataDxfId="2194"/>
    <tableColumn id="65" xr3:uid="{0892A588-3462-4649-AA55-2BDD1A1B5C8E}" name="Yield_Type" dataDxfId="2193"/>
    <tableColumn id="66" xr3:uid="{F2238D89-3E7A-448F-AB5C-40538508D61A}" name="LAI_Start_BBCH" dataDxfId="2192">
      <calculatedColumnFormula array="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B6F7C9E-86F6-4C58-A834-0E486E801CD0}" name="LAI_Max_BBCH" dataDxfId="2191">
      <calculatedColumnFormula array="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1B3BE5B-76A4-4C94-9E92-E5C16C7230C3}" name="LAI_End_BBCH" dataDxfId="2190">
      <calculatedColumnFormula array="1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C904AD4-701F-4C0F-ABB1-E6502BA9D1C2}" name="Fruiting_Start_BBCH" dataDxfId="2189">
      <calculatedColumnFormula array="1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EE9E305-118C-4698-9D26-B3B8ACCDB6C4}" name="N_Deficiency_kg/ha" dataDxfId="2188"/>
    <tableColumn id="71" xr3:uid="{51A87DCA-0445-4488-9B6A-B7CCE64D1B17}" name="P_Deficiency_kg/ha" dataDxfId="2187"/>
    <tableColumn id="72" xr3:uid="{4563A412-66AA-41AF-8E6B-D90BE2500788}" name="K_deficiency_kg/ha" dataDxfId="2186"/>
    <tableColumn id="73" xr3:uid="{004F78BF-750F-4BD7-A453-9C4DAE9DFE5C}" name="Sowing_Start_Season" dataDxfId="2185"/>
    <tableColumn id="74" xr3:uid="{72508368-69A0-45A0-88F6-F835803CC97E}" name="Sowing_End_Season" dataDxfId="2184"/>
    <tableColumn id="75" xr3:uid="{A5E60495-0CB0-420E-8702-A92C53A8AFD8}" name="Sand" dataDxfId="2183"/>
    <tableColumn id="76" xr3:uid="{83BB2398-D91A-45B9-9D57-DB51CD8A41E0}" name="Loamy Sand" dataDxfId="2182"/>
    <tableColumn id="77" xr3:uid="{3419FAEB-ED2B-40A9-A7EA-B52430728AE9}" name="Sandy Loam" dataDxfId="2181"/>
    <tableColumn id="78" xr3:uid="{EB8FADC8-C866-4F22-9654-90C26821F67D}" name="Loam" dataDxfId="2180"/>
    <tableColumn id="79" xr3:uid="{CC1F4BD6-19C0-4C0C-B55E-6E716E6C3592}" name="Silt Loam" dataDxfId="2179"/>
    <tableColumn id="80" xr3:uid="{4684C2E2-5F82-4F09-80C3-C677B929F50A}" name="Clay Loam" dataDxfId="2178"/>
    <tableColumn id="81" xr3:uid="{6896E803-C721-456E-AB56-811BD1B8FF01}" name="Silt" dataDxfId="2177"/>
    <tableColumn id="82" xr3:uid="{5B4D5BF8-0910-4CC7-91D6-774AB2E6116F}" name="Sandy Clay" dataDxfId="2176"/>
    <tableColumn id="83" xr3:uid="{D2A35CE6-DACC-4914-872A-7AF089740CFD}" name="Silty Clay Loam" dataDxfId="2175"/>
    <tableColumn id="84" xr3:uid="{BEA01C2C-D4A4-4911-9C83-2A04B70DBB20}" name="Silty Clay" dataDxfId="2174"/>
    <tableColumn id="85" xr3:uid="{5FEE616B-7796-40CA-8537-B94F77E0D43F}" name="Clay" dataDxfId="2173"/>
    <tableColumn id="86" xr3:uid="{E65B6045-ED2D-4E74-9C5D-742401BBE882}" name="Sandy Clay Loam" dataDxfId="217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5B1C0C1-E1A8-4513-95BD-66E0F24666D2}" name="CropNorms_Onion" displayName="CropNorms_Onion" ref="B231:CL239" totalsRowShown="0" headerRowDxfId="2171" dataDxfId="2169" headerRowBorderDxfId="2170" tableBorderDxfId="2168">
  <tableColumns count="89">
    <tableColumn id="1" xr3:uid="{322790A2-8458-4BBD-85D5-207108854D3A}" name="Crop_Name" dataDxfId="2167"/>
    <tableColumn id="2" xr3:uid="{91607406-57DC-48FB-AE1C-62762EB0A757}" name="Variety_Name" dataDxfId="2166"/>
    <tableColumn id="3" xr3:uid="{FAE9A95A-D435-4509-B9C8-C4ED6F487F47}" name="Variety_Type" dataDxfId="2165"/>
    <tableColumn id="4" xr3:uid="{55C79762-E0E1-4621-B23B-E3A650BDEFB9}" name="Height_Class" dataDxfId="2164"/>
    <tableColumn id="5" xr3:uid="{813A66AC-B86D-4771-A53F-FDB44CCB3C49}" name="Height_cm" dataDxfId="2163"/>
    <tableColumn id="6" xr3:uid="{964ACC6E-7F8C-4C8F-90F9-C9546B472537}" name="Nutrient_Content" dataDxfId="2162"/>
    <tableColumn id="7" xr3:uid="{4F7B757D-3E33-4D7B-B4FF-56B48403989B}" name="Common_Disease_Tolerance" dataDxfId="2161"/>
    <tableColumn id="8" xr3:uid="{26B497D2-B9BB-40DA-973D-A0709B3F12C5}" name="Common_Pest_Tolerance" dataDxfId="2160"/>
    <tableColumn id="9" xr3:uid="{C2D4AB6F-A823-41EB-83F3-EB15B61166E3}" name="Environmental_Resilience" dataDxfId="2159"/>
    <tableColumn id="10" xr3:uid="{20E35EA3-8AE3-4A90-8B5F-957EB7752955}" name="Category" dataDxfId="2158"/>
    <tableColumn id="11" xr3:uid="{60D9344C-2B3E-4E2F-A232-9360DC936C66}" name="Country" dataDxfId="2157"/>
    <tableColumn id="12" xr3:uid="{3252D52A-B408-46D7-9DAC-5CF41765A9DF}" name="Season" dataDxfId="2156"/>
    <tableColumn id="13" xr3:uid="{E7BF84F9-8B70-4858-9BB4-E4FCC6B5D42E}" name="PAR" dataDxfId="2155"/>
    <tableColumn id="14" xr3:uid="{DB1E106D-163B-4A33-BB6A-F928145C94BC}" name="Region" dataDxfId="2154"/>
    <tableColumn id="15" xr3:uid="{65283F30-9D51-4650-BF9D-8E536C08C4E8}" name="Seed_Weight_mg" dataDxfId="2153"/>
    <tableColumn id="16" xr3:uid="{3B3BF4B7-0691-489F-988A-C5E4E4FDA29D}" name="Crop_Min_Temp" dataDxfId="2152"/>
    <tableColumn id="17" xr3:uid="{72A3B31C-627D-40E3-B5B8-7CDF5855FD3F}" name="Base_Temp" dataDxfId="2151"/>
    <tableColumn id="18" xr3:uid="{3FB24545-A948-48BB-9219-E5354781C317}" name="Opt._Temp" dataDxfId="2150"/>
    <tableColumn id="19" xr3:uid="{2594E341-A6E7-449F-BDC8-C94C25B3BAB0}" name="Upper_Temp" dataDxfId="2149"/>
    <tableColumn id="89" xr3:uid="{1B51920A-52BA-459D-931F-F2473B759725}" name="Loss / Degree" dataDxfId="2148"/>
    <tableColumn id="20" xr3:uid="{4C437ECF-DD55-41C5-99D6-C129DB7AD775}" name="Min_Days" dataDxfId="2147"/>
    <tableColumn id="21" xr3:uid="{5F98B89A-BCA6-4200-9E47-FE08ECC0636A}" name="Max_Days" dataDxfId="2146"/>
    <tableColumn id="22" xr3:uid="{AD4E83F1-003E-408D-8D9F-67E1954B2643}" name="Ripening_S_GDD" dataDxfId="2145">
      <calculatedColumnFormula>_xlfn.XLOOKUP("Ripening", CropPhenology_Onion[Main_Stage], CropPhenology_Onion[Start_GDD], "Not Found")</calculatedColumnFormula>
    </tableColumn>
    <tableColumn id="23" xr3:uid="{F9FED6BC-984A-4891-BCE2-3F44B0CAD167}" name="Ripening_E_GDD" dataDxfId="2144">
      <calculatedColumnFormula array="1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calculatedColumnFormula>
    </tableColumn>
    <tableColumn id="24" xr3:uid="{F694CB02-7DA3-42D6-9AEE-94ADCC3E4409}" name="Avg. Daily GDD" dataDxfId="2143">
      <calculatedColumnFormula>MIN(Y232/V232,MAX(X232/W232,R232,(X232/W232+Y232/V232)/2))</calculatedColumnFormula>
    </tableColumn>
    <tableColumn id="25" xr3:uid="{3B758337-DB0F-4C74-8127-D745D0573B00}" name="Days_to_Ripening" dataDxfId="2142">
      <calculatedColumnFormula>Y232/Z232</calculatedColumnFormula>
    </tableColumn>
    <tableColumn id="26" xr3:uid="{C32F1E34-782E-42DA-AE17-9BF371715653}" name="Sunshine" dataDxfId="2141"/>
    <tableColumn id="27" xr3:uid="{1DD1570A-3620-425D-991C-C864B870F52E}" name="Soil_Temp_Min" dataDxfId="2140"/>
    <tableColumn id="28" xr3:uid="{FC647252-191A-4702-AD4F-C0ECE8E9467F}" name="VPA_Max" dataDxfId="2139"/>
    <tableColumn id="29" xr3:uid="{0F7FE1F6-01A3-484E-943C-39D749E224B7}" name="Humidity_Max" dataDxfId="2138"/>
    <tableColumn id="30" xr3:uid="{F1582023-CC05-49AD-9438-0EBFE4C74937}" name="Dew_Point_Min" dataDxfId="2137"/>
    <tableColumn id="31" xr3:uid="{2A25A3C1-0059-4E34-855A-9B6113AC777A}" name="WS_2m_Max" dataDxfId="2136"/>
    <tableColumn id="32" xr3:uid="{D58A6EBE-AA6C-4D23-B90B-AEFAF1C2B3EA}" name="GDD_Adjust" dataDxfId="2135">
      <calculatedColumnFormula>IFERROR((Y232-X232)/AA232,0)</calculatedColumnFormula>
    </tableColumn>
    <tableColumn id="33" xr3:uid="{974DA4B0-32B4-47FF-AE4E-13E68EDE57C2}" name="pH_Min" dataDxfId="2134"/>
    <tableColumn id="34" xr3:uid="{CC9DAAEA-121C-4BEC-ADE6-A01F07DED373}" name="pH_Max" dataDxfId="2133"/>
    <tableColumn id="87" xr3:uid="{7A348CBF-D80C-441A-B8D5-4B08C871FFEB}" name="ECt" dataDxfId="2132"/>
    <tableColumn id="88" xr3:uid="{345C8149-06FA-4073-963F-82CC3A1ADEF4}" name="Slope" dataDxfId="2131"/>
    <tableColumn id="35" xr3:uid="{75143BAE-201B-4720-BFAE-3B742FE0DB4F}" name="CWR_Min" dataDxfId="2130"/>
    <tableColumn id="36" xr3:uid="{BB59F434-6DED-4FAB-83AC-E9179AB0345C}" name="CWR_Max" dataDxfId="2129"/>
    <tableColumn id="37" xr3:uid="{3AFDE523-A160-46CD-B47C-D9938DA3C128}" name="Sowing_Depth_cm" dataDxfId="2128"/>
    <tableColumn id="38" xr3:uid="{98845CE4-2F41-4814-AAB4-F09DCEE29332}" name="Root_Depth_cm" dataDxfId="2127"/>
    <tableColumn id="39" xr3:uid="{C97F1E60-46DA-41F1-9E58-9DE04410EE1D}" name="Stress_Tolerance_Index" dataDxfId="2126"/>
    <tableColumn id="40" xr3:uid="{AFF790F7-A455-45B3-A033-9F829127C60D}" name="Row_Spacing_cm" dataDxfId="2125"/>
    <tableColumn id="41" xr3:uid="{CAB0AFBC-F2DF-43B8-A91D-F26DFE7278F4}" name="Plant_to_Plant_cm" dataDxfId="2124"/>
    <tableColumn id="42" xr3:uid="{8BA1BD5B-1CDB-42B5-883C-C9423FC9AE66}" name="Seed_Per_Spot" dataDxfId="2123"/>
    <tableColumn id="43" xr3:uid="{9446B443-DEB6-4AEC-991B-ADABF6F9B748}" name="Seed_Rate_m2" dataDxfId="2122">
      <calculatedColumnFormula>IFERROR(10000/(AS232*AR232),0)*AT232</calculatedColumnFormula>
    </tableColumn>
    <tableColumn id="44" xr3:uid="{8F506845-838A-40B3-BEB4-7D9EA3E4833B}" name="Seed_Weight_kg/ha" dataDxfId="2121">
      <calculatedColumnFormula>ROUND((P232/1000000)*AU232*10000,2)</calculatedColumnFormula>
    </tableColumn>
    <tableColumn id="45" xr3:uid="{3DED7581-6257-4134-A3C4-52A4DF7D22BB}" name="Germination_%" dataDxfId="2120"/>
    <tableColumn id="46" xr3:uid="{F405E081-149B-4446-B64B-1DA1E29D780A}" name="Effective_Plants_m2" dataDxfId="2119">
      <calculatedColumnFormula>IFERROR((AU232*AW232/100),0)</calculatedColumnFormula>
    </tableColumn>
    <tableColumn id="47" xr3:uid="{C5032839-FECB-4EA8-AAEE-451EE156FBE4}" name="Tillers_Per_Plant" dataDxfId="2118"/>
    <tableColumn id="48" xr3:uid="{9F8E1F01-EC48-4540-B6DE-0185725B4340}" name="Shoots_Per_m2" dataDxfId="2117">
      <calculatedColumnFormula>IFERROR(AX232*AY232,0)</calculatedColumnFormula>
    </tableColumn>
    <tableColumn id="49" xr3:uid="{B94D6ED7-8347-4F20-B526-4213C64DF844}" name="Survival_Ratio" dataDxfId="2116"/>
    <tableColumn id="50" xr3:uid="{058AD3EA-356E-4D63-B81F-B95BBF29D843}" name="Shoot_Bearing_m2" dataDxfId="2115">
      <calculatedColumnFormula>IFERROR(AZ232*BA232,0)</calculatedColumnFormula>
    </tableColumn>
    <tableColumn id="51" xr3:uid="{166CF28B-3468-49C6-8333-1865B5C1D575}" name="Leaf_Area_Per_Shoot_m2" dataDxfId="2114"/>
    <tableColumn id="52" xr3:uid="{02A02871-5E92-48B0-81CD-88990CF7410B}" name="Start_LAI" dataDxfId="2113">
      <calculatedColumnFormula>IFERROR(
  MAX(0.05, MIN(0.5, CropNorms_Onion[[#This Row],[Leaf_Area_Per_Shoot_m2]] * CropNorms_Onion[[#This Row],[Shoot_Bearing_m2]] )),
  0.2
)</calculatedColumnFormula>
    </tableColumn>
    <tableColumn id="53" xr3:uid="{CE00BB56-33C2-48A1-9F1E-FF81AC9E5EDD}" name="LAI_Start_GDD" dataDxfId="2112">
      <calculatedColumnFormula>_xlfn.XLOOKUP(CropNorms_Onion[[#This Row],[LAI_Start_BBCH]], CropPhenology_Onion[Sub_Stage], CropPhenology_Onion[Start_GDD], "Not Found")</calculatedColumnFormula>
    </tableColumn>
    <tableColumn id="54" xr3:uid="{243F413A-CF55-4124-8830-9A18369F3F68}" name="Max_LAI" dataDxfId="2111">
      <calculatedColumnFormula>ROUND(CropNorms_Onion[[#This Row],[Shoot_Bearing_m2]]*CropNorms_Onion[[#This Row],[Leaf_Area_Per_Shoot_m2]],2)</calculatedColumnFormula>
    </tableColumn>
    <tableColumn id="55" xr3:uid="{B362E02D-2816-43C7-8C97-A221BBAA3CC2}" name="LAI_Max_GDD" dataDxfId="2110">
      <calculatedColumnFormula>AVERAGE(
  _xlfn.XLOOKUP(CropNorms_Onion[[#This Row],[LAI_Max_BBCH]], CropPhenology_Onion[Sub_Stage], CropPhenology_Onion[Start_GDD]),
  _xlfn.XLOOKUP(CropNorms_Onion[[#This Row],[LAI_Max_BBCH]], CropPhenology_Onion[Sub_Stage], CropPhenology_Onion[End_GDD])
)</calculatedColumnFormula>
    </tableColumn>
    <tableColumn id="56" xr3:uid="{ACBBF63C-1E29-407E-8CD4-C07C6B0FFF40}" name="End_LAI" dataDxfId="2109">
      <calculatedColumnFormula>IF(CropNorms_Onion[[#This Row],[Max_LAI]]&gt;=1.2, 0.85*CropNorms_Onion[[#This Row],[Max_LAI]], 1)</calculatedColumnFormula>
    </tableColumn>
    <tableColumn id="57" xr3:uid="{9FD09865-1A02-4078-9B97-275AB8E46120}" name="LAI_End_GDD" dataDxfId="2108">
      <calculatedColumnFormula>_xlfn.XLOOKUP(CropNorms_Onion[[#This Row],[LAI_End_BBCH]], CropPhenology_Onion[Sub_Stage], CropPhenology_Onion[End_GDD], "Not Found")</calculatedColumnFormula>
    </tableColumn>
    <tableColumn id="58" xr3:uid="{C99B6F2E-34BC-4B4C-9A9D-71327F30CDFB}" name="RUE_Max" dataDxfId="2107">
      <calculatedColumnFormula array="1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E708B34-5D4A-4E4C-9B8C-09105B577538}" name="RUE_Asymptote_Frac" dataDxfId="2106">
      <calculatedColumnFormula array="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184E1B5-6911-4FBE-8ADC-E4BB13DA8443}" name="RUE_LAI_Half_Sat" dataDxfId="2105">
      <calculatedColumnFormula array="1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C1898D55-D925-48C8-97E4-F5EF0C03078F}" name="RUE_Daily_Delta_Max" dataDxfId="2104">
      <calculatedColumnFormula array="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01D543B-1BDF-4D78-92E1-37944BA1C2CE}" name="HI" dataDxfId="2103"/>
    <tableColumn id="63" xr3:uid="{03CDE418-BEF4-4AC9-94EB-81441AE46C2C}" name="DM:FM" dataDxfId="2102"/>
    <tableColumn id="64" xr3:uid="{B0CAEFC7-F4B5-41B7-83BF-0C0C9E1A8150}" name="Yield_t/ha" dataDxfId="2101"/>
    <tableColumn id="65" xr3:uid="{E0100626-94AD-4BBF-8568-CAD92F9F2476}" name="Yield_Type" dataDxfId="2100"/>
    <tableColumn id="66" xr3:uid="{4A657610-830D-4534-BF2C-6FF14D3C2681}" name="LAI_Start_BBCH" dataDxfId="2099">
      <calculatedColumnFormula array="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F66D9FA-498F-451F-89D5-A48180211DEF}" name="LAI_Max_BBCH" dataDxfId="2098">
      <calculatedColumnFormula array="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0117533-B8E0-4128-9B67-6BF1DC37909C}" name="LAI_End_BBCH" dataDxfId="2097">
      <calculatedColumnFormula array="1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52E6440-1513-4E9E-99ED-E930184515D4}" name="Fruiting_Start_BBCH" dataDxfId="2096">
      <calculatedColumnFormula array="1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36EF3B5-D4D5-4FFE-913F-58476D75A7E2}" name="N_Deficiency_kg/ha" dataDxfId="2095"/>
    <tableColumn id="71" xr3:uid="{B21C2D4C-BE25-4B43-BE6E-E0F0DB72D514}" name="P_Deficiency_kg/ha" dataDxfId="2094"/>
    <tableColumn id="72" xr3:uid="{52435E17-4C36-4A59-A4C1-6232F5A6FC57}" name="K_deficiency_kg/ha" dataDxfId="2093"/>
    <tableColumn id="73" xr3:uid="{A762F24E-6938-45ED-B25A-802ED92FF815}" name="Sowing_Start_Season" dataDxfId="2092"/>
    <tableColumn id="74" xr3:uid="{620CCEF6-E886-40EF-9103-5456914FD2AC}" name="Sowing_End_Season" dataDxfId="2091"/>
    <tableColumn id="75" xr3:uid="{6085F038-DD49-4823-BFF4-DFB00B064E9A}" name="Sand" dataDxfId="2090"/>
    <tableColumn id="76" xr3:uid="{61B7D0D0-EA7A-4285-853E-BB43DA8B2167}" name="Loamy Sand" dataDxfId="2089"/>
    <tableColumn id="77" xr3:uid="{05AE9F0A-A652-49E2-A439-8AACDEF2199B}" name="Sandy Loam" dataDxfId="2088"/>
    <tableColumn id="78" xr3:uid="{73A3C869-08A1-4207-B215-AF1B6DE6CA80}" name="Loam" dataDxfId="2087"/>
    <tableColumn id="79" xr3:uid="{48AC97EC-D164-4448-965E-BD14AA91FEDB}" name="Silt Loam" dataDxfId="2086"/>
    <tableColumn id="80" xr3:uid="{DF68A333-48D3-4684-B30E-916F869273DD}" name="Clay Loam" dataDxfId="2085"/>
    <tableColumn id="81" xr3:uid="{DAE75D25-3B7E-4A7F-A89B-2377D83EBF54}" name="Silt" dataDxfId="2084"/>
    <tableColumn id="82" xr3:uid="{F250D733-0F82-4214-9C58-B26E33BD9C9B}" name="Sandy Clay" dataDxfId="2083"/>
    <tableColumn id="83" xr3:uid="{8372B34D-179E-4986-B854-FE2658004B50}" name="Silty Clay Loam" dataDxfId="2082"/>
    <tableColumn id="84" xr3:uid="{867A4D21-508C-42C1-95AD-9D88999BE178}" name="Silty Clay" dataDxfId="2081"/>
    <tableColumn id="85" xr3:uid="{8428D1E3-DFDF-4119-9FBF-E5D013CA06F7}" name="Clay" dataDxfId="2080"/>
    <tableColumn id="86" xr3:uid="{7DF8CAE0-C9F1-4D0E-B09B-85BAC9E3C462}" name="Sandy Clay Loam" dataDxfId="207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747F095-39C7-45A9-B566-6B512868A030}" name="CropNorms_Pea" displayName="CropNorms_Pea" ref="B241:CL252" totalsRowShown="0" headerRowDxfId="2078" dataDxfId="2076" headerRowBorderDxfId="2077" tableBorderDxfId="2075">
  <tableColumns count="89">
    <tableColumn id="1" xr3:uid="{803C8A9F-8147-4EBC-9D49-0F32F199A6DB}" name="Crop_Name" dataDxfId="2074"/>
    <tableColumn id="2" xr3:uid="{48B36865-D6B5-4203-9E17-F3264E835212}" name="Variety_Name" dataDxfId="2073"/>
    <tableColumn id="3" xr3:uid="{075E784D-A5A5-40EF-9C53-379F8EB2636B}" name="Variety_Type" dataDxfId="2072"/>
    <tableColumn id="4" xr3:uid="{AAAC3BBC-C1E8-44E1-B380-664A2C095029}" name="Height_Class" dataDxfId="2071"/>
    <tableColumn id="5" xr3:uid="{D2F4EE68-2D82-49F7-AE17-8DC95033BDFE}" name="Height_cm" dataDxfId="2070"/>
    <tableColumn id="6" xr3:uid="{A0FF1792-7A86-44B4-92BF-60400F0A4A98}" name="Nutrient_Content" dataDxfId="2069"/>
    <tableColumn id="7" xr3:uid="{BA590E39-6B4C-4E53-A630-CFDF89F46503}" name="Common_Disease_Tolerance" dataDxfId="2068"/>
    <tableColumn id="8" xr3:uid="{A0D7D278-90AF-476C-8349-9C569038A39B}" name="Common_Pest_Tolerance" dataDxfId="2067"/>
    <tableColumn id="9" xr3:uid="{D5F7DAB0-54F3-43E3-89AC-4C3511CAAC23}" name="Environmental_Resilience" dataDxfId="2066"/>
    <tableColumn id="10" xr3:uid="{F7E74E9C-290F-4D59-8220-240DD5B50297}" name="Category" dataDxfId="2065"/>
    <tableColumn id="11" xr3:uid="{D7889A2C-782C-4D75-82F7-A5965DDBFF0D}" name="Country" dataDxfId="2064"/>
    <tableColumn id="12" xr3:uid="{4D43DD66-BC6E-4F20-AA28-F6B1E097F95F}" name="Season" dataDxfId="2063"/>
    <tableColumn id="13" xr3:uid="{8FB7644F-FC35-4306-8568-B5AC02BB839E}" name="PAR" dataDxfId="2062"/>
    <tableColumn id="14" xr3:uid="{223BB9B7-5FE0-412B-A22C-E63EA01164A7}" name="Region" dataDxfId="2061"/>
    <tableColumn id="15" xr3:uid="{A94A0B1A-698F-43F1-99F4-AD1183523543}" name="Seed_Weight_mg" dataDxfId="2060"/>
    <tableColumn id="16" xr3:uid="{1CBD691E-53F2-4E2F-A843-D9C5F0780C54}" name="Crop_Min_Temp" dataDxfId="2059"/>
    <tableColumn id="17" xr3:uid="{FCD36272-4CA1-4A8B-9CD9-5672E5310379}" name="Base_Temp" dataDxfId="2058"/>
    <tableColumn id="18" xr3:uid="{BDD5922E-852A-400D-B411-EFD956DCC0CE}" name="Opt._Temp" dataDxfId="2057"/>
    <tableColumn id="19" xr3:uid="{FB6054D8-920C-4E12-8387-35E931C1C210}" name="Upper_Temp" dataDxfId="2056"/>
    <tableColumn id="89" xr3:uid="{5E62311B-ED07-43F2-99A6-F2CAECE2DA2A}" name="Loss / Degree" dataDxfId="2055"/>
    <tableColumn id="20" xr3:uid="{ADF68E3E-2168-4963-BA5A-60DB7B0CE838}" name="Min_Days" dataDxfId="2054"/>
    <tableColumn id="21" xr3:uid="{ECB05233-4E1B-42DF-AFBB-87A55565B422}" name="Max_Days" dataDxfId="2053"/>
    <tableColumn id="22" xr3:uid="{0110E7DA-A788-4193-8DD5-155E23665F49}" name="Ripening_S_GDD" dataDxfId="2052">
      <calculatedColumnFormula>_xlfn.XLOOKUP("Ripening", CropPhenology_Pea[Main_Stage], CropPhenology_Pea[Start_GDD], "Not Found")</calculatedColumnFormula>
    </tableColumn>
    <tableColumn id="23" xr3:uid="{DC2A0DE9-49BC-4A9F-BDBB-A06B0F46A20C}" name="Ripening_E_GDD" dataDxfId="2051">
      <calculatedColumnFormula array="1">_xlfn.LET(
  _xlpm.stage, "Ripening",
  _xlpm.stages, CropPhenology_Pea[Main_Stage],
  _xlpm.gdd, CropPhenology_Pea[End_GDD],
  _xlpm.matchRows, _xlfn._xlws.FILTER(_xlpm.gdd, _xlpm.stages=_xlpm.stage),
  IFERROR(INDEX(_xlpm.matchRows, ROWS(_xlpm.matchRows)), "Not Found")
)</calculatedColumnFormula>
    </tableColumn>
    <tableColumn id="24" xr3:uid="{1281B897-ED7F-4388-8828-9BC198D33A41}" name="Avg. Daily GDD" dataDxfId="2050">
      <calculatedColumnFormula>MIN(Y242/V242,MAX(X242/W242,R242,(X242/W242+Y242/V242)/2))</calculatedColumnFormula>
    </tableColumn>
    <tableColumn id="25" xr3:uid="{55F24B64-AAFC-4998-9756-131F40DF8C0D}" name="Days_to_Ripening" dataDxfId="2049">
      <calculatedColumnFormula>Y242/Z242</calculatedColumnFormula>
    </tableColumn>
    <tableColumn id="26" xr3:uid="{8FCAD6A3-D2C8-4DCB-92C2-EE5467888C2A}" name="Sunshine" dataDxfId="2048"/>
    <tableColumn id="27" xr3:uid="{ED97A5AE-D752-4D02-870A-5F1ACE86352B}" name="Soil_Temp_Min" dataDxfId="2047"/>
    <tableColumn id="28" xr3:uid="{2811C2A4-4B6A-42BB-B757-3BECB49A22C1}" name="VPA_Max" dataDxfId="2046"/>
    <tableColumn id="29" xr3:uid="{BC6EFFC6-A935-4E98-A144-BEC9DEB883CA}" name="Humidity_Max" dataDxfId="2045"/>
    <tableColumn id="30" xr3:uid="{92C2BCA5-44B8-4302-9E29-21B13CA4DBD8}" name="Dew_Point_Min" dataDxfId="2044"/>
    <tableColumn id="31" xr3:uid="{F6C06C05-9849-472D-BC31-72D39AEEF404}" name="WS_2m_Max" dataDxfId="2043"/>
    <tableColumn id="32" xr3:uid="{F950A7D3-130E-4FB7-9A9D-3D9F6E0CEE78}" name="GDD_Adjust" dataDxfId="2042">
      <calculatedColumnFormula>IFERROR((Y242-X242)/AA242,0)</calculatedColumnFormula>
    </tableColumn>
    <tableColumn id="33" xr3:uid="{6E6B1131-E2AC-4229-9A8C-17A3D9BC71D2}" name="pH_Min" dataDxfId="2041"/>
    <tableColumn id="34" xr3:uid="{6F303504-D7D4-49CB-BDEE-D32548F05718}" name="pH_Max" dataDxfId="2040"/>
    <tableColumn id="87" xr3:uid="{9D6185BF-C4AE-4AD8-BA8F-D80384AAF98D}" name="ECt" dataDxfId="2039"/>
    <tableColumn id="88" xr3:uid="{1F57E55F-C964-48AF-980F-45A938A154C0}" name="Slope" dataDxfId="2038"/>
    <tableColumn id="35" xr3:uid="{AE7C7B78-A45D-487A-B25F-BB901718174B}" name="CWR_Min" dataDxfId="2037"/>
    <tableColumn id="36" xr3:uid="{91966294-CF81-46DB-B195-284DDD5EB606}" name="CWR_Max" dataDxfId="2036"/>
    <tableColumn id="37" xr3:uid="{331542A7-A920-4AB4-988E-71458307C470}" name="Sowing_Depth_cm" dataDxfId="2035"/>
    <tableColumn id="38" xr3:uid="{A5A3C9DC-3CA7-423A-B41E-3F9A68341446}" name="Root_Depth_cm" dataDxfId="2034"/>
    <tableColumn id="39" xr3:uid="{A60840AE-3ED1-42C3-8285-DBF535AD0912}" name="Stress_Tolerance_Index" dataDxfId="2033"/>
    <tableColumn id="40" xr3:uid="{B826D508-2B3C-41B5-95FC-858ED3852330}" name="Row_Spacing_cm" dataDxfId="2032"/>
    <tableColumn id="41" xr3:uid="{E63F755A-B222-49E6-BCFC-92F935C89B7C}" name="Plant_to_Plant_cm" dataDxfId="2031"/>
    <tableColumn id="42" xr3:uid="{DF5D8D54-4BAC-4011-94E4-6060CF7D44A7}" name="Seed_Per_Spot" dataDxfId="2030"/>
    <tableColumn id="43" xr3:uid="{8BB71F02-1090-46D4-A13B-7D19C8ED7549}" name="Seed_Rate_m2" dataDxfId="2029">
      <calculatedColumnFormula>IFERROR(10000/(AS242*AR242),0)*AT242</calculatedColumnFormula>
    </tableColumn>
    <tableColumn id="44" xr3:uid="{3A239C6E-A5D4-48C1-AE17-57FA863A4BA0}" name="Seed_Weight_kg/ha" dataDxfId="2028">
      <calculatedColumnFormula>ROUND((P242/1000000)*AU242*10000,2)</calculatedColumnFormula>
    </tableColumn>
    <tableColumn id="45" xr3:uid="{A066F96A-E503-498B-B866-DAD5FCDFAB02}" name="Germination_%" dataDxfId="2027"/>
    <tableColumn id="46" xr3:uid="{4FE3AC27-66F9-43AD-BD68-DEE56484A435}" name="Effective_Plants_m2" dataDxfId="2026">
      <calculatedColumnFormula>IFERROR((AU242*AW242/100),0)</calculatedColumnFormula>
    </tableColumn>
    <tableColumn id="47" xr3:uid="{13C6DD5E-A91C-481D-A497-ADD499D5D7ED}" name="Tillers_Per_Plant" dataDxfId="2025"/>
    <tableColumn id="48" xr3:uid="{E84430BB-B464-408D-B050-7F75912E36CE}" name="Shoots_Per_m2" dataDxfId="2024">
      <calculatedColumnFormula>IFERROR(AX242*AY242,0)</calculatedColumnFormula>
    </tableColumn>
    <tableColumn id="49" xr3:uid="{EE5C6832-8344-4A38-A2F0-8148358AD3A9}" name="Survival_Ratio" dataDxfId="2023"/>
    <tableColumn id="50" xr3:uid="{6D3B5A73-0FC5-40F1-8034-62FF153F6B96}" name="Shoot_Bearing_m2" dataDxfId="2022">
      <calculatedColumnFormula>IFERROR(AZ242*BA242,0)</calculatedColumnFormula>
    </tableColumn>
    <tableColumn id="51" xr3:uid="{81BCB0C6-A6BD-4AC5-B4CE-1C346596F4B5}" name="Leaf_Area_Per_Shoot_m2" dataDxfId="2021"/>
    <tableColumn id="52" xr3:uid="{000132FB-85E3-4B1D-8D67-CBE6D8BAC368}" name="Start_LAI" dataDxfId="2020">
      <calculatedColumnFormula>IFERROR(
  MAX(0.05, MIN(0.5, CropNorms_Pea[[#This Row],[Leaf_Area_Per_Shoot_m2]] * CropNorms_Pea[[#This Row],[Shoot_Bearing_m2]] )),
  0.2
)</calculatedColumnFormula>
    </tableColumn>
    <tableColumn id="53" xr3:uid="{39827C61-D926-43B4-8887-739040EB23B7}" name="LAI_Start_GDD" dataDxfId="2019">
      <calculatedColumnFormula>_xlfn.XLOOKUP(CropNorms_Pea[[#This Row],[LAI_Start_BBCH]], CropPhenology_Pea[Sub_Stage], CropPhenology_Pea[Start_GDD], "Not Found")</calculatedColumnFormula>
    </tableColumn>
    <tableColumn id="54" xr3:uid="{C8E21B37-55FB-419C-911B-128138D56B7A}" name="Max_LAI" dataDxfId="2018">
      <calculatedColumnFormula>ROUND(CropNorms_Pea[[#This Row],[Shoot_Bearing_m2]]*CropNorms_Pea[[#This Row],[Leaf_Area_Per_Shoot_m2]],2)</calculatedColumnFormula>
    </tableColumn>
    <tableColumn id="55" xr3:uid="{EB8B95B8-1A74-4C02-A39B-3D58CCDA5A04}" name="LAI_Max_GDD" dataDxfId="2017">
      <calculatedColumnFormula>AVERAGE(
  _xlfn.XLOOKUP(CropNorms_Pea[[#This Row],[LAI_Max_BBCH]], CropPhenology_Pea[Sub_Stage], CropPhenology_Pea[Start_GDD]),
  _xlfn.XLOOKUP(CropNorms_Pea[[#This Row],[LAI_Max_BBCH]], CropPhenology_Pea[Sub_Stage], CropPhenology_Pea[End_GDD])
)</calculatedColumnFormula>
    </tableColumn>
    <tableColumn id="56" xr3:uid="{7EDD57E7-5006-4C11-9566-683CC3D136D7}" name="End_LAI" dataDxfId="2016">
      <calculatedColumnFormula>IF(CropNorms_Pea[[#This Row],[Max_LAI]]&gt;=1.2, 0.85*CropNorms_Pea[[#This Row],[Max_LAI]], 1)</calculatedColumnFormula>
    </tableColumn>
    <tableColumn id="57" xr3:uid="{2AEA9FFA-82F0-446B-908D-854BB4FC54F2}" name="LAI_End_GDD" dataDxfId="2015">
      <calculatedColumnFormula>_xlfn.XLOOKUP(CropNorms_Pea[[#This Row],[LAI_End_BBCH]], CropPhenology_Pea[Sub_Stage], CropPhenology_Pea[End_GDD], "Not Found")</calculatedColumnFormula>
    </tableColumn>
    <tableColumn id="58" xr3:uid="{92ECD19A-6F4B-41A2-B14F-D0D8EC1976BF}" name="RUE_Max" dataDxfId="2014">
      <calculatedColumnFormula array="1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7D747B3-A737-48A1-90DD-B94DAF3B8002}" name="RUE_Asymptote_Frac" dataDxfId="2013">
      <calculatedColumnFormula array="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FAAF281-993D-4221-BF72-F2E414B14298}" name="RUE_LAI_Half_Sat" dataDxfId="2012">
      <calculatedColumnFormula array="1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C5452E5-BD9D-4ED7-BCBF-2A50FBF991C5}" name="RUE_Daily_Delta_Max" dataDxfId="2011">
      <calculatedColumnFormula array="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B541484-B66C-40C7-A9F0-AC6FE009BF6D}" name="HI" dataDxfId="2010"/>
    <tableColumn id="63" xr3:uid="{F5B3C419-FD33-4953-8339-362C402B6065}" name="DM:FM" dataDxfId="2009"/>
    <tableColumn id="64" xr3:uid="{01CA8FA1-9780-4E3D-B28C-B9561ADF3771}" name="Yield_t/ha" dataDxfId="2008"/>
    <tableColumn id="65" xr3:uid="{F1F67108-ABEC-4C4E-AB19-44A208F176A4}" name="Yield_Type" dataDxfId="2007"/>
    <tableColumn id="66" xr3:uid="{890624BD-0288-4546-B9D2-B3975BDF321B}" name="LAI_Start_BBCH" dataDxfId="2006">
      <calculatedColumnFormula array="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CC4E5BD-9C3D-473F-A5CC-F0237093205B}" name="LAI_Max_BBCH" dataDxfId="2005">
      <calculatedColumnFormula array="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97A652A-D287-49A5-80D9-DBC6E22DBBD3}" name="LAI_End_BBCH" dataDxfId="2004">
      <calculatedColumnFormula array="1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7C08788-27BE-4DAA-AC01-6A486A2ED799}" name="Fruiting_Start_BBCH" dataDxfId="2003">
      <calculatedColumnFormula array="1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FB538424-EE7A-436A-9436-643AA3C3822A}" name="N_Deficiency_kg/ha" dataDxfId="2002"/>
    <tableColumn id="71" xr3:uid="{72190622-6861-41FA-9A07-C5D388C6A62F}" name="P_Deficiency_kg/ha" dataDxfId="2001"/>
    <tableColumn id="72" xr3:uid="{B03EEC1A-6FE4-496A-AB19-3556A3CA8866}" name="K_deficiency_kg/ha" dataDxfId="2000"/>
    <tableColumn id="73" xr3:uid="{37A22A3B-6216-464B-AB45-169AD1CF0D44}" name="Sowing_Start_Season" dataDxfId="1999"/>
    <tableColumn id="74" xr3:uid="{7864F6A3-2CF0-4303-BBB8-0470D5CE1208}" name="Sowing_End_Season" dataDxfId="1998"/>
    <tableColumn id="75" xr3:uid="{3FA670E5-B045-4DD3-B0D6-9E64CDBE3851}" name="Sand" dataDxfId="1997"/>
    <tableColumn id="76" xr3:uid="{EA65D5AF-23FA-4CBC-977D-2619CFFF8879}" name="Loamy Sand" dataDxfId="1996"/>
    <tableColumn id="77" xr3:uid="{65DEB356-87D2-458D-A54E-DE33C672CF26}" name="Sandy Loam" dataDxfId="1995"/>
    <tableColumn id="78" xr3:uid="{1EA10104-5223-4815-8400-859251F14817}" name="Loam" dataDxfId="1994"/>
    <tableColumn id="79" xr3:uid="{AFC8CB91-EA08-4E5B-BE5F-F89815E7E779}" name="Silt Loam" dataDxfId="1993"/>
    <tableColumn id="80" xr3:uid="{C0DA3C31-682A-412B-8656-9E1524EE160C}" name="Clay Loam" dataDxfId="1992"/>
    <tableColumn id="81" xr3:uid="{4BA13C95-488A-4F8E-A8D7-DC796F71F6DD}" name="Silt" dataDxfId="1991"/>
    <tableColumn id="82" xr3:uid="{7ADE86F6-9628-4257-BC86-2B72707C6ECD}" name="Sandy Clay" dataDxfId="1990"/>
    <tableColumn id="83" xr3:uid="{1B4A4929-690C-4ABD-B37C-BC889EC992C2}" name="Silty Clay Loam" dataDxfId="1989"/>
    <tableColumn id="84" xr3:uid="{EE5172D0-A45E-4265-8B8F-38B19B1EFA24}" name="Silty Clay" dataDxfId="1988"/>
    <tableColumn id="85" xr3:uid="{CEF8E8CB-8C88-4299-A6AD-83C0D3278788}" name="Clay" dataDxfId="1987"/>
    <tableColumn id="86" xr3:uid="{3B4AB858-8317-4697-BF7F-23E01C531629}" name="Sandy Clay Loam" dataDxfId="198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ABDBB72-6249-4E1F-B13C-76760BC923ED}" name="CropNorms_Peanut" displayName="CropNorms_Peanut" ref="B254:CL269" totalsRowShown="0" headerRowDxfId="1985" dataDxfId="1983" headerRowBorderDxfId="1984" tableBorderDxfId="1982">
  <tableColumns count="89">
    <tableColumn id="1" xr3:uid="{B2D55E82-D06F-4280-A9FA-54DFE39D6755}" name="Crop_Name" dataDxfId="1981"/>
    <tableColumn id="2" xr3:uid="{F34CBA0E-C04B-4668-BADE-11B076CF949F}" name="Variety_Name" dataDxfId="1980"/>
    <tableColumn id="3" xr3:uid="{99FEFBDB-9995-4B77-A606-85EEADCB21FE}" name="Variety_Type" dataDxfId="1979"/>
    <tableColumn id="4" xr3:uid="{074665A0-9646-4B6E-9356-A5A8DB19CFFF}" name="Height_Class" dataDxfId="1978"/>
    <tableColumn id="5" xr3:uid="{BF9C2067-7E01-4744-B0EE-4CE011909EFA}" name="Height_cm" dataDxfId="1977"/>
    <tableColumn id="6" xr3:uid="{5D16BEEE-9A3D-46AF-8348-E0E865BB456E}" name="Nutrient_Content" dataDxfId="1976"/>
    <tableColumn id="7" xr3:uid="{2CD96CC3-7F1A-4433-ACEA-69047365ECB1}" name="Common_Disease_Tolerance" dataDxfId="1975"/>
    <tableColumn id="8" xr3:uid="{43277353-1B1D-4926-AA21-4E95239B39B1}" name="Common_Pest_Tolerance" dataDxfId="1974"/>
    <tableColumn id="9" xr3:uid="{5117F859-C635-485F-8E7D-D3C831607EBE}" name="Environmental_Resilience" dataDxfId="1973"/>
    <tableColumn id="10" xr3:uid="{629E9F69-2AD3-4412-AF07-028433CF3DA6}" name="Category" dataDxfId="1972"/>
    <tableColumn id="11" xr3:uid="{DE8A436C-4814-459F-A643-83F2629E7D68}" name="Country" dataDxfId="1971"/>
    <tableColumn id="12" xr3:uid="{7BCCB191-CE10-42E3-832B-012D302D2A18}" name="Season" dataDxfId="1970"/>
    <tableColumn id="13" xr3:uid="{51DB2C75-AFCA-4D5B-81C9-C46F2846377A}" name="PAR" dataDxfId="1969"/>
    <tableColumn id="14" xr3:uid="{A4F554E4-4F94-4DC2-8087-00F871932A40}" name="Region" dataDxfId="1968"/>
    <tableColumn id="15" xr3:uid="{AA244E8F-E08A-4CD4-8672-491B489A2BCE}" name="Seed_Weight_mg" dataDxfId="1967"/>
    <tableColumn id="16" xr3:uid="{3144FC75-6E3B-4DB1-9393-8B081345E4DD}" name="Crop_Min_Temp" dataDxfId="1966"/>
    <tableColumn id="17" xr3:uid="{02498B76-0A1B-41E8-B375-29A254C626A4}" name="Base_Temp" dataDxfId="1965"/>
    <tableColumn id="18" xr3:uid="{072EE38B-6B9A-4D63-BC1F-D5A7031149F9}" name="Opt._Temp" dataDxfId="1964"/>
    <tableColumn id="19" xr3:uid="{CCF61E0D-3452-4FB3-BD91-EB0A24E99D31}" name="Upper_Temp" dataDxfId="1963"/>
    <tableColumn id="89" xr3:uid="{5E233D1D-99C0-47CF-9FB7-ECBE6BB6C983}" name="Loss / Degree" dataDxfId="1962"/>
    <tableColumn id="20" xr3:uid="{41B4CB87-BB65-4F2A-A8BE-8C51D8FF04BE}" name="Min_Days" dataDxfId="1961"/>
    <tableColumn id="21" xr3:uid="{14040F94-9BFF-41C6-8060-2CBD5E04E24B}" name="Max_Days" dataDxfId="1960"/>
    <tableColumn id="22" xr3:uid="{05D742E3-7A94-4FA8-994B-533054E4299B}" name="Ripening_S_GDD" dataDxfId="1959">
      <calculatedColumnFormula>_xlfn.XLOOKUP("Ripening", CropPhenology_Peanut[Main_Stage], CropPhenology_Peanut[Start_GDD], "Not Found")</calculatedColumnFormula>
    </tableColumn>
    <tableColumn id="23" xr3:uid="{2ED4BD42-225D-4DF8-A426-2AE7E44CAC15}" name="Ripening_E_GDD" dataDxfId="1958">
      <calculatedColumnFormula array="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calculatedColumnFormula>
    </tableColumn>
    <tableColumn id="24" xr3:uid="{5A94F87F-C848-4E29-9A48-654E5985C73E}" name="Avg. Daily GDD" dataDxfId="1957">
      <calculatedColumnFormula>MIN(Y255/V255,MAX(X255/W255,R255,(X255/W255+Y255/V255)/2))</calculatedColumnFormula>
    </tableColumn>
    <tableColumn id="25" xr3:uid="{2A3E68CB-AAEC-4595-94DC-1312A10E9F26}" name="Days_to_Ripening" dataDxfId="1956">
      <calculatedColumnFormula>Y255/Z255</calculatedColumnFormula>
    </tableColumn>
    <tableColumn id="26" xr3:uid="{D924BE40-B17C-45F0-8A70-7ED504A05CB9}" name="Sunshine" dataDxfId="1955"/>
    <tableColumn id="27" xr3:uid="{3338905B-5C79-4A4F-8FB4-68BAA3ECA1D5}" name="Soil_Temp_Min" dataDxfId="1954"/>
    <tableColumn id="28" xr3:uid="{4AD77B35-F8FD-42B5-A853-EE873A870E3C}" name="VPA_Max" dataDxfId="1953"/>
    <tableColumn id="29" xr3:uid="{37674ED2-E6DD-468A-8E58-CE42348F748F}" name="Humidity_Max" dataDxfId="1952"/>
    <tableColumn id="30" xr3:uid="{D41A22AB-6B8C-4238-80DA-3DB49FA680B7}" name="Dew_Point_Min" dataDxfId="1951"/>
    <tableColumn id="31" xr3:uid="{118AA5D2-E4FF-41FB-8658-441AA71737AD}" name="WS_2m_Max" dataDxfId="1950"/>
    <tableColumn id="32" xr3:uid="{102A3CB8-37F6-459D-8D46-A37C2926DCA2}" name="GDD_Adjust" dataDxfId="1949">
      <calculatedColumnFormula>IFERROR((Y255-X255)/AA255,0)</calculatedColumnFormula>
    </tableColumn>
    <tableColumn id="33" xr3:uid="{A4BFF6A1-4FD3-4265-A432-DC1134B907B2}" name="pH_Min" dataDxfId="1948"/>
    <tableColumn id="34" xr3:uid="{3CA08278-C5D2-414A-90D9-00232CD5331E}" name="pH_Max" dataDxfId="1947"/>
    <tableColumn id="87" xr3:uid="{23097AFE-FA70-4EAD-A4CB-9D542FFAB35E}" name="ECt" dataDxfId="1946"/>
    <tableColumn id="88" xr3:uid="{802FDA7E-7704-4682-8F8E-B4FFEDCE8A7D}" name="Slope" dataDxfId="1945"/>
    <tableColumn id="35" xr3:uid="{8CED1563-3027-40CD-B323-867502D828A6}" name="CWR_Min" dataDxfId="1944"/>
    <tableColumn id="36" xr3:uid="{4F64C4E6-6BAF-4E23-825D-9D0EED1CC9B7}" name="CWR_Max" dataDxfId="1943"/>
    <tableColumn id="37" xr3:uid="{9E05C98C-2DD2-413C-B428-F4E3D3E6DF47}" name="Sowing_Depth_cm" dataDxfId="1942"/>
    <tableColumn id="38" xr3:uid="{821B00C6-1369-436A-AC4E-B6D1AD876CE5}" name="Root_Depth_cm" dataDxfId="1941"/>
    <tableColumn id="39" xr3:uid="{BA34E9BF-4582-48AE-82E5-C9E9724315E8}" name="Stress_Tolerance_Index" dataDxfId="1940"/>
    <tableColumn id="40" xr3:uid="{2C3CC0D5-4ACC-4939-879D-79DCB8D8E85E}" name="Row_Spacing_cm" dataDxfId="1939"/>
    <tableColumn id="41" xr3:uid="{82C2739A-6838-4DBD-96C3-AC35F2089869}" name="Plant_to_Plant_cm" dataDxfId="1938"/>
    <tableColumn id="42" xr3:uid="{487A361E-DF70-408D-B988-7C1AD2700BC0}" name="Seed_Per_Spot" dataDxfId="1937"/>
    <tableColumn id="43" xr3:uid="{C813CF61-B355-46A7-8338-36BE9801C888}" name="Seed_Rate_m2" dataDxfId="1936">
      <calculatedColumnFormula>IFERROR(10000/(AS255*AR255),0)*AT255</calculatedColumnFormula>
    </tableColumn>
    <tableColumn id="44" xr3:uid="{AB918C74-8794-4C71-B93A-6FD16AA3C114}" name="Seed_Weight_kg/ha" dataDxfId="1935">
      <calculatedColumnFormula>ROUND((P255/1000000)*AU255*10000,2)</calculatedColumnFormula>
    </tableColumn>
    <tableColumn id="45" xr3:uid="{C381B45B-8104-4655-9A5C-EEEFB2ED4A0E}" name="Germination_%" dataDxfId="1934"/>
    <tableColumn id="46" xr3:uid="{A915C7C1-DAD9-4C98-AA1E-4B638C33B067}" name="Effective_Plants_m2" dataDxfId="1933">
      <calculatedColumnFormula>IFERROR((AU255*AW255/100),0)</calculatedColumnFormula>
    </tableColumn>
    <tableColumn id="47" xr3:uid="{6EB977E2-AA27-4010-8D63-73F541F3D7C6}" name="Tillers_Per_Plant" dataDxfId="1932"/>
    <tableColumn id="48" xr3:uid="{7BF40BE6-1F4F-4F13-A2B1-03694EE241F2}" name="Shoots_Per_m2" dataDxfId="1931">
      <calculatedColumnFormula>IFERROR(AX255*AY255,0)</calculatedColumnFormula>
    </tableColumn>
    <tableColumn id="49" xr3:uid="{8EDCA941-ECFB-4B79-A6D9-A3418436E7C7}" name="Survival_Ratio" dataDxfId="1930"/>
    <tableColumn id="50" xr3:uid="{A5A25EF7-49A7-45F7-9E84-7B7F1AFE3214}" name="Shoot_Bearing_m2" dataDxfId="1929">
      <calculatedColumnFormula>IFERROR(AZ255*BA255,0)</calculatedColumnFormula>
    </tableColumn>
    <tableColumn id="51" xr3:uid="{9DB3D594-A64E-445E-9C74-2D5A8BB0DCF5}" name="Leaf_Area_Per_Shoot_m2" dataDxfId="1928"/>
    <tableColumn id="52" xr3:uid="{E91354C3-0450-411A-919C-E40BA99ACB54}" name="Start_LAI" dataDxfId="1927">
      <calculatedColumnFormula>IFERROR(
  MAX(0.05, MIN(0.5, CropNorms_Peanut[[#This Row],[Leaf_Area_Per_Shoot_m2]] * CropNorms_Peanut[[#This Row],[Shoot_Bearing_m2]] )),
  0.2
)</calculatedColumnFormula>
    </tableColumn>
    <tableColumn id="53" xr3:uid="{5DAE9012-B572-4162-898D-15089280EB2F}" name="LAI_Start_GDD" dataDxfId="1926">
      <calculatedColumnFormula>_xlfn.XLOOKUP(CropNorms_Peanut[[#This Row],[LAI_Start_BBCH]], CropPhenology_Peanut[Sub_Stage], CropPhenology_Peanut[Start_GDD], "Not Found")</calculatedColumnFormula>
    </tableColumn>
    <tableColumn id="54" xr3:uid="{E8966951-4954-4CD4-BA7A-1959D4DD79E1}" name="Max_LAI" dataDxfId="1925">
      <calculatedColumnFormula>ROUND(CropNorms_Peanut[[#This Row],[Shoot_Bearing_m2]]*CropNorms_Peanut[[#This Row],[Leaf_Area_Per_Shoot_m2]],2)</calculatedColumnFormula>
    </tableColumn>
    <tableColumn id="55" xr3:uid="{D02C16B3-539E-4817-A5FB-4B8F9F116428}" name="LAI_Max_GDD" dataDxfId="1924">
      <calculatedColumnFormula>AVERAGE(
  _xlfn.XLOOKUP(CropNorms_Peanut[[#This Row],[LAI_Max_BBCH]], CropPhenology_Peanut[Sub_Stage], CropPhenology_Peanut[Start_GDD]),
  _xlfn.XLOOKUP(CropNorms_Peanut[[#This Row],[LAI_Max_BBCH]], CropPhenology_Peanut[Sub_Stage], CropPhenology_Peanut[End_GDD])
)</calculatedColumnFormula>
    </tableColumn>
    <tableColumn id="56" xr3:uid="{E52041E3-8759-4AA5-AD87-1AE71344E5C2}" name="End_LAI" dataDxfId="1923">
      <calculatedColumnFormula>IF(CropNorms_Peanut[[#This Row],[Max_LAI]]&gt;=1.2, 0.85*CropNorms_Peanut[[#This Row],[Max_LAI]], 1)</calculatedColumnFormula>
    </tableColumn>
    <tableColumn id="57" xr3:uid="{17F6FBF3-C272-4C20-9029-3C84C9B3F3B5}" name="LAI_End_GDD" dataDxfId="1922">
      <calculatedColumnFormula>_xlfn.XLOOKUP(CropNorms_Peanut[[#This Row],[LAI_End_BBCH]], CropPhenology_Peanut[Sub_Stage], CropPhenology_Peanut[End_GDD], "Not Found")</calculatedColumnFormula>
    </tableColumn>
    <tableColumn id="58" xr3:uid="{FB8333D4-6678-4C99-873B-1E4458181B55}" name="RUE_Max" dataDxfId="1921">
      <calculatedColumnFormula array="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475401F-8AAB-474C-BB27-3CA037CF4A51}" name="RUE_Asymptote_Frac" dataDxfId="1920">
      <calculatedColumnFormula array="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20D4BDB-6C4A-491C-977A-54F02187D395}" name="RUE_LAI_Half_Sat" dataDxfId="1919">
      <calculatedColumnFormula array="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69EE60A-CF0F-49BF-B2ED-C503EFFF28A4}" name="RUE_Daily_Delta_Max" dataDxfId="1918">
      <calculatedColumnFormula array="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F49E019-4BC7-4EF7-A878-C841064E14DB}" name="HI" dataDxfId="1917"/>
    <tableColumn id="63" xr3:uid="{A3631020-A6B2-4293-B555-925C93390132}" name="DM:FM" dataDxfId="1916"/>
    <tableColumn id="64" xr3:uid="{BB567A64-C1A9-4E4C-B5D7-1818C6A8BFDC}" name="Yield_t/ha" dataDxfId="1915"/>
    <tableColumn id="65" xr3:uid="{9A3611A9-BB7F-416E-8708-E6CF57813D37}" name="Yield_Type" dataDxfId="1914"/>
    <tableColumn id="66" xr3:uid="{68AEF306-ED0E-4700-BD83-39EDC7FF6DCA}" name="LAI_Start_BBCH" dataDxfId="1913">
      <calculatedColumnFormula array="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3EAD2CA-6AE9-4CB1-A4DE-F5ABD35D4ADE}" name="LAI_Max_BBCH" dataDxfId="1912">
      <calculatedColumnFormula array="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DF92D7C3-5401-4AFD-A1A7-28720538B004}" name="LAI_End_BBCH" dataDxfId="1911">
      <calculatedColumnFormula array="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C0A2675-85D6-4AB5-85DA-AC555FCEE347}" name="Fruiting_Start_BBCH" dataDxfId="1910">
      <calculatedColumnFormula array="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898B325-E14F-46DC-9140-2C0C0105E671}" name="N_Deficiency_kg/ha" dataDxfId="1909"/>
    <tableColumn id="71" xr3:uid="{83CBC401-1D9A-412F-AE20-B6699BA5A6C2}" name="P_Deficiency_kg/ha" dataDxfId="1908"/>
    <tableColumn id="72" xr3:uid="{407A0AB9-2666-442B-977F-7098A3BA08D8}" name="K_deficiency_kg/ha" dataDxfId="1907"/>
    <tableColumn id="73" xr3:uid="{C33A8BE0-539B-4CDF-AD26-9B86994F735D}" name="Sowing_Start_Season" dataDxfId="1906"/>
    <tableColumn id="74" xr3:uid="{7332FC69-3EE5-4AED-A756-BD54CCB147A7}" name="Sowing_End_Season" dataDxfId="1905"/>
    <tableColumn id="75" xr3:uid="{C76DBE27-AD9D-46C8-AD4F-2755747B3D02}" name="Sand" dataDxfId="1904"/>
    <tableColumn id="76" xr3:uid="{D0E61381-9C50-417E-83A5-C3CA273C84B6}" name="Loamy Sand" dataDxfId="1903"/>
    <tableColumn id="77" xr3:uid="{57FFDC4B-0388-4D2E-9EDF-81D92AD894B8}" name="Sandy Loam" dataDxfId="1902"/>
    <tableColumn id="78" xr3:uid="{F7C7F04B-94EE-4A35-902D-2169564A2C31}" name="Loam" dataDxfId="1901"/>
    <tableColumn id="79" xr3:uid="{AB374D40-01BE-4C2B-B936-B4D9396E1856}" name="Silt Loam" dataDxfId="1900"/>
    <tableColumn id="80" xr3:uid="{C5092015-8DA9-4152-8560-85D6BBA62374}" name="Clay Loam" dataDxfId="1899"/>
    <tableColumn id="81" xr3:uid="{336C6394-A941-4AB2-910B-4830CB27705F}" name="Silt" dataDxfId="1898"/>
    <tableColumn id="82" xr3:uid="{5D91BFE9-0F42-44C1-9FE5-AF0E763E6CA9}" name="Sandy Clay" dataDxfId="1897"/>
    <tableColumn id="83" xr3:uid="{978FAC5C-2FD2-4951-BCE1-F76F5BFD3F38}" name="Silty Clay Loam" dataDxfId="1896"/>
    <tableColumn id="84" xr3:uid="{6A16CED5-956E-41C6-B1AC-1D94E551D552}" name="Silty Clay" dataDxfId="1895"/>
    <tableColumn id="85" xr3:uid="{C432066D-87D5-46F8-914F-3EDBD045F685}" name="Clay" dataDxfId="1894"/>
    <tableColumn id="86" xr3:uid="{3BFCCD51-C9CD-47D1-9CB5-5F0B2CEA610B}" name="Sandy Clay Loam" dataDxfId="189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01EE66A-876E-4E83-B8ED-96186C0B1F36}" name="CropNorms_Potato" displayName="CropNorms_Potato" ref="B271:CL284" totalsRowShown="0" headerRowDxfId="1892" dataDxfId="1890" headerRowBorderDxfId="1891" tableBorderDxfId="1889">
  <tableColumns count="89">
    <tableColumn id="1" xr3:uid="{36ED5B75-B8AE-4E5A-89CE-CB24EE261845}" name="Crop_Name" dataDxfId="1888"/>
    <tableColumn id="2" xr3:uid="{CF759334-DEF9-457D-806F-EB7C693ED687}" name="Variety_Name" dataDxfId="1887"/>
    <tableColumn id="3" xr3:uid="{0326CDF7-EAA1-4E1D-8B23-99A8C34BC358}" name="Variety_Type" dataDxfId="1886"/>
    <tableColumn id="4" xr3:uid="{B91BB184-9F0C-471D-A276-CF0C03D6C9CF}" name="Height_Class" dataDxfId="1885"/>
    <tableColumn id="5" xr3:uid="{E3FA390A-4F94-4050-831B-8ED910D8C92C}" name="Height_cm" dataDxfId="1884"/>
    <tableColumn id="6" xr3:uid="{423A0ADC-C433-48E1-A35F-DB2798D290CA}" name="Nutrient_Content" dataDxfId="1883"/>
    <tableColumn id="7" xr3:uid="{CCCA1A90-80D7-45FD-8BAC-6FCF028543CC}" name="Common_Disease_Tolerance" dataDxfId="1882"/>
    <tableColumn id="8" xr3:uid="{8FB466E1-E27C-46F4-A3C0-4766B6359CC2}" name="Common_Pest_Tolerance" dataDxfId="1881"/>
    <tableColumn id="9" xr3:uid="{97B2CC03-971E-447E-8E52-99ACB121BCA3}" name="Environmental_Resilience" dataDxfId="1880"/>
    <tableColumn id="10" xr3:uid="{ADAB752C-72EC-4166-88DA-0DF8D6568852}" name="Category" dataDxfId="1879"/>
    <tableColumn id="11" xr3:uid="{A8490AA7-509F-4606-8F33-4A7287A546CD}" name="Country" dataDxfId="1878"/>
    <tableColumn id="12" xr3:uid="{B666FCB8-745B-4200-BD11-F2DD7A8528DE}" name="Season" dataDxfId="1877"/>
    <tableColumn id="13" xr3:uid="{A5BDAD52-A577-4D7E-A15B-D92B38A9BC47}" name="PAR" dataDxfId="1876"/>
    <tableColumn id="14" xr3:uid="{7A3CD7C0-DF48-4E68-9772-1C4E128DB5EF}" name="Region" dataDxfId="1875"/>
    <tableColumn id="15" xr3:uid="{9E89D290-EC22-4644-9F38-4A434DA40472}" name="Seed_Weight_mg" dataDxfId="1874"/>
    <tableColumn id="16" xr3:uid="{E0666621-7D50-4A54-BECF-2A130E26B9BD}" name="Crop_Min_Temp" dataDxfId="1873"/>
    <tableColumn id="17" xr3:uid="{C7A99292-78CE-4301-BDDC-CBAEBCFFE667}" name="Base_Temp" dataDxfId="1872"/>
    <tableColumn id="18" xr3:uid="{B16399AF-57B4-4E93-A694-12EBDB174415}" name="Opt._Temp" dataDxfId="1871"/>
    <tableColumn id="19" xr3:uid="{F9521751-9F47-4F15-8AC6-F298468C0F5F}" name="Upper_Temp" dataDxfId="1870"/>
    <tableColumn id="89" xr3:uid="{A4A8A268-6618-43B6-B03C-5955DB47B6F3}" name="Loss / Degree" dataDxfId="1869"/>
    <tableColumn id="20" xr3:uid="{3CB7F7D4-2029-472B-90F9-0D90638E61D9}" name="Min_Days" dataDxfId="1868"/>
    <tableColumn id="21" xr3:uid="{6F0602CF-6D97-4FDA-9DF8-81E580532A0A}" name="Max_Days" dataDxfId="1867"/>
    <tableColumn id="22" xr3:uid="{48EB420A-2639-4648-B2F1-C65D0EA147BF}" name="Ripening_S_GDD" dataDxfId="1866">
      <calculatedColumnFormula>_xlfn.XLOOKUP("Ripening", CropPhenology_Potato[Main_Stage], CropPhenology_Potato[Start_GDD], "Not Found")</calculatedColumnFormula>
    </tableColumn>
    <tableColumn id="23" xr3:uid="{92AE945A-D5B8-4BBE-B2B3-F4327DB5FE01}" name="Ripening_E_GDD" dataDxfId="1865">
      <calculatedColumnFormula array="1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calculatedColumnFormula>
    </tableColumn>
    <tableColumn id="24" xr3:uid="{AB584F2D-2991-4300-8FAB-E0B07F441940}" name="Avg. Daily GDD" dataDxfId="1864">
      <calculatedColumnFormula>MIN(Y272/V272,MAX(X272/W272,R272,(X272/W272+Y272/V272)/2))</calculatedColumnFormula>
    </tableColumn>
    <tableColumn id="25" xr3:uid="{0F02A27A-AEF2-4187-978E-F2E2B3144EE5}" name="Days_to_Ripening" dataDxfId="1863">
      <calculatedColumnFormula>Y272/Z272</calculatedColumnFormula>
    </tableColumn>
    <tableColumn id="26" xr3:uid="{95F24A66-76CB-408D-9ABC-3D6DABFE5A38}" name="Sunshine" dataDxfId="1862"/>
    <tableColumn id="27" xr3:uid="{0E04866C-EEEE-455D-B153-7FB9BBE477D6}" name="Soil_Temp_Min" dataDxfId="1861"/>
    <tableColumn id="28" xr3:uid="{A565EFF7-6634-4982-9D44-674BBAAD7773}" name="VPA_Max" dataDxfId="1860"/>
    <tableColumn id="29" xr3:uid="{257F19FC-E91A-4A24-8072-3298DF0E1230}" name="Humidity_Max" dataDxfId="1859"/>
    <tableColumn id="30" xr3:uid="{04483DFB-39A9-4E15-9BAF-BD6291AA9C4C}" name="Dew_Point_Min" dataDxfId="1858"/>
    <tableColumn id="31" xr3:uid="{08C35F83-B52F-4DCB-A4A1-9D792162B7A2}" name="WS_2m_Max" dataDxfId="1857"/>
    <tableColumn id="32" xr3:uid="{24635BB7-2414-47E9-AF71-C41CAE03D31B}" name="GDD_Adjust" dataDxfId="1856">
      <calculatedColumnFormula>IFERROR((Y272-X272)/AA272,0)</calculatedColumnFormula>
    </tableColumn>
    <tableColumn id="33" xr3:uid="{A2134E01-F529-4F23-93BC-2809028A41B3}" name="pH_Min" dataDxfId="1855"/>
    <tableColumn id="34" xr3:uid="{80986DF6-6EDA-4AA8-8D49-3DB88FE0CFD5}" name="pH_Max" dataDxfId="1854"/>
    <tableColumn id="87" xr3:uid="{BDF64032-CAAB-4787-86CF-BAFE61451FBA}" name="ECt" dataDxfId="1853"/>
    <tableColumn id="88" xr3:uid="{96CFD91B-DF8D-4538-95D5-2AC8462EC007}" name="Slope" dataDxfId="1852"/>
    <tableColumn id="35" xr3:uid="{B600743E-0410-408E-B8A1-86905AB09A40}" name="CWR_Min" dataDxfId="1851"/>
    <tableColumn id="36" xr3:uid="{3D65E506-B507-44C1-A43C-84279DFEC19F}" name="CWR_Max" dataDxfId="1850"/>
    <tableColumn id="37" xr3:uid="{683F0CFD-8D48-42AA-B27D-31A85FBC9A13}" name="Sowing_Depth_cm" dataDxfId="1849"/>
    <tableColumn id="38" xr3:uid="{FCC2A535-F282-468B-8422-E2C1495D0604}" name="Root_Depth_cm" dataDxfId="1848"/>
    <tableColumn id="39" xr3:uid="{C483D72A-853E-4CA8-9FED-F6C476FC3811}" name="Stress_Tolerance_Index" dataDxfId="1847"/>
    <tableColumn id="40" xr3:uid="{456F4B19-A646-471F-9FD6-FF98128E926D}" name="Row_Spacing_cm" dataDxfId="1846"/>
    <tableColumn id="41" xr3:uid="{ADD996BB-ED8A-4DF4-83E2-A1217945090F}" name="Plant_to_Plant_cm" dataDxfId="1845"/>
    <tableColumn id="42" xr3:uid="{DE7B88E2-7629-4D8A-9B75-E01B1A71AB30}" name="Seed_Per_Spot" dataDxfId="1844"/>
    <tableColumn id="43" xr3:uid="{4CA2B014-3950-48CE-8A4C-22B8393EF29C}" name="Seed_Rate_m2" dataDxfId="1843">
      <calculatedColumnFormula>IFERROR(10000/(AS272*AR272),0)*AT272</calculatedColumnFormula>
    </tableColumn>
    <tableColumn id="44" xr3:uid="{865DCE4F-FE96-4EBE-856E-5114E14FB7D3}" name="Seed_Weight_kg/ha" dataDxfId="1842">
      <calculatedColumnFormula>ROUND((P272/1000000)*AU272*10000,2)</calculatedColumnFormula>
    </tableColumn>
    <tableColumn id="45" xr3:uid="{2A6FBEDC-E5B3-4AAC-B63A-44F61DFC2EA1}" name="Germination_%" dataDxfId="1841"/>
    <tableColumn id="46" xr3:uid="{80B8A221-9BA1-4297-B513-FC8411770930}" name="Effective_Plants_m2" dataDxfId="1840">
      <calculatedColumnFormula>IFERROR((AU272*AW272/100),0)</calculatedColumnFormula>
    </tableColumn>
    <tableColumn id="47" xr3:uid="{02ED33C6-05F6-49B0-98A6-53577C038B75}" name="Tillers_Per_Plant" dataDxfId="1839"/>
    <tableColumn id="48" xr3:uid="{6087BD6C-EFDA-4EC4-A383-78D8527DB2D3}" name="Shoots_Per_m2" dataDxfId="1838">
      <calculatedColumnFormula>IFERROR(AX272*AY272,0)</calculatedColumnFormula>
    </tableColumn>
    <tableColumn id="49" xr3:uid="{0DBCEC41-3625-4422-A738-311B7D51C694}" name="Survival_Ratio" dataDxfId="1837"/>
    <tableColumn id="50" xr3:uid="{7925251C-01D7-4BC0-90EF-07B0354540EF}" name="Shoot_Bearing_m2" dataDxfId="1836">
      <calculatedColumnFormula>IFERROR(AZ272*BA272,0)</calculatedColumnFormula>
    </tableColumn>
    <tableColumn id="51" xr3:uid="{A9EF80E4-B956-4926-BB43-CB42FCD3D847}" name="Leaf_Area_Per_Shoot_m2" dataDxfId="1835"/>
    <tableColumn id="52" xr3:uid="{DDF9FA1C-196B-4717-AF31-B196B8D1A4A3}" name="Start_LAI" dataDxfId="1834">
      <calculatedColumnFormula>IFERROR(
  MAX(0.05, MIN(0.5, CropNorms_Potato[[#This Row],[Leaf_Area_Per_Shoot_m2]] * CropNorms_Potato[[#This Row],[Shoot_Bearing_m2]] )),
  0.2
)</calculatedColumnFormula>
    </tableColumn>
    <tableColumn id="53" xr3:uid="{19A1220E-F659-4040-A708-FBD2187361B6}" name="LAI_Start_GDD" dataDxfId="1833">
      <calculatedColumnFormula>_xlfn.XLOOKUP(CropNorms_Potato[[#This Row],[LAI_Start_BBCH]], CropPhenology_Potato[Sub_Stage], CropPhenology_Potato[Start_GDD], "Not Found")</calculatedColumnFormula>
    </tableColumn>
    <tableColumn id="54" xr3:uid="{DD916FEE-C7CD-40DA-9AB8-E77FBEE4703B}" name="Max_LAI" dataDxfId="1832">
      <calculatedColumnFormula>ROUND(CropNorms_Potato[[#This Row],[Shoot_Bearing_m2]]*CropNorms_Potato[[#This Row],[Leaf_Area_Per_Shoot_m2]],2)</calculatedColumnFormula>
    </tableColumn>
    <tableColumn id="55" xr3:uid="{78191C5A-2BC2-4B31-9F4F-3CB488FC2281}" name="LAI_Max_GDD" dataDxfId="1831">
      <calculatedColumnFormula>AVERAGE(
  _xlfn.XLOOKUP(CropNorms_Potato[[#This Row],[LAI_Max_BBCH]], CropPhenology_Potato[Sub_Stage], CropPhenology_Potato[Start_GDD]),
  _xlfn.XLOOKUP(CropNorms_Potato[[#This Row],[LAI_Max_BBCH]], CropPhenology_Potato[Sub_Stage], CropPhenology_Potato[End_GDD])
)</calculatedColumnFormula>
    </tableColumn>
    <tableColumn id="56" xr3:uid="{6E0439C7-2996-46B1-B294-FB047B6BDE9F}" name="End_LAI" dataDxfId="1830">
      <calculatedColumnFormula>IF(CropNorms_Potato[[#This Row],[Max_LAI]]&gt;=1.2, 0.85*CropNorms_Potato[[#This Row],[Max_LAI]], 1)</calculatedColumnFormula>
    </tableColumn>
    <tableColumn id="57" xr3:uid="{04E9DE9F-83AD-4CDC-9052-70526815A405}" name="LAI_End_GDD" dataDxfId="1829">
      <calculatedColumnFormula>_xlfn.XLOOKUP(CropNorms_Potato[[#This Row],[LAI_End_BBCH]], CropPhenology_Potato[Sub_Stage], CropPhenology_Potato[End_GDD], "Not Found")</calculatedColumnFormula>
    </tableColumn>
    <tableColumn id="58" xr3:uid="{7334F472-2B7D-4DEE-BEE3-86CB59470BE8}" name="RUE_Max" dataDxfId="1828">
      <calculatedColumnFormula array="1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6D270DB-3E8D-4167-95D5-9FC7F64CE3BE}" name="RUE_Asymptote_Frac" dataDxfId="1827">
      <calculatedColumnFormula array="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49DBCC3-4AA6-45C3-94C5-8656BEF14E61}" name="RUE_LAI_Half_Sat" dataDxfId="1826">
      <calculatedColumnFormula array="1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8A02982-6DD2-4EDF-8426-DD6651FD6332}" name="RUE_Daily_Delta_Max" dataDxfId="1825">
      <calculatedColumnFormula array="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F1576F3-DB9F-41F7-84C5-83878E6808A7}" name="HI" dataDxfId="1824"/>
    <tableColumn id="63" xr3:uid="{AC07E538-72B4-4CAF-A421-B10048AE2B0D}" name="DM:FM" dataDxfId="1823"/>
    <tableColumn id="64" xr3:uid="{365AFB1A-2736-497A-8963-02739212AD42}" name="Yield_t/ha" dataDxfId="1822"/>
    <tableColumn id="65" xr3:uid="{4AE949D5-C38E-4C90-B5FF-EBD33353C047}" name="Yield_Type" dataDxfId="1821"/>
    <tableColumn id="66" xr3:uid="{8EFA05C7-D778-42EB-A83F-767ECEBFFAF4}" name="LAI_Start_BBCH" dataDxfId="1820">
      <calculatedColumnFormula array="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0455C83-06EB-4A9F-879E-C79D7DA65EC0}" name="LAI_Max_BBCH" dataDxfId="1819">
      <calculatedColumnFormula array="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E3C79129-C007-40AD-92BA-57AD2B1265B2}" name="LAI_End_BBCH" dataDxfId="1818">
      <calculatedColumnFormula array="1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A7B1CDD-7611-445F-A10B-F710743A67F9}" name="Fruiting_Start_BBCH" dataDxfId="1817">
      <calculatedColumnFormula array="1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0D0F2D9-9E69-4CD0-B247-843B4E14076C}" name="N_Deficiency_kg/ha" dataDxfId="1816"/>
    <tableColumn id="71" xr3:uid="{EAF300B8-C9C6-4920-ABA6-115FE7A14EBC}" name="P_Deficiency_kg/ha" dataDxfId="1815"/>
    <tableColumn id="72" xr3:uid="{541A8878-2FF3-4524-81EE-A663B367959F}" name="K_deficiency_kg/ha" dataDxfId="1814"/>
    <tableColumn id="73" xr3:uid="{CFD188C2-A8CA-4B9E-956E-B99328DE6E9A}" name="Sowing_Start_Season" dataDxfId="1813"/>
    <tableColumn id="74" xr3:uid="{3C92AF79-2360-471A-8470-661C702ED2F3}" name="Sowing_End_Season" dataDxfId="1812"/>
    <tableColumn id="75" xr3:uid="{7B550214-4556-43EC-9FBE-E64438FE16D5}" name="Sand" dataDxfId="1811"/>
    <tableColumn id="76" xr3:uid="{F4A5C826-89EA-46B8-BE08-C0E5483B72F5}" name="Loamy Sand" dataDxfId="1810"/>
    <tableColumn id="77" xr3:uid="{4584BDCD-B54F-4846-9B46-63DCB49F89E1}" name="Sandy Loam" dataDxfId="1809"/>
    <tableColumn id="78" xr3:uid="{4CF44B47-B435-4BB4-B3DF-186AC542D9E0}" name="Loam" dataDxfId="1808"/>
    <tableColumn id="79" xr3:uid="{8156D8A9-54F5-4965-B9D5-1ED7229D7BB8}" name="Silt Loam" dataDxfId="1807"/>
    <tableColumn id="80" xr3:uid="{D068202A-E165-4660-B5B9-B97116304FEF}" name="Clay Loam" dataDxfId="1806"/>
    <tableColumn id="81" xr3:uid="{4E080483-0626-41D0-9589-9F71FDB0EC3D}" name="Silt" dataDxfId="1805"/>
    <tableColumn id="82" xr3:uid="{EF44F1AE-9708-432A-8A72-4B3289EAEAA7}" name="Sandy Clay" dataDxfId="1804"/>
    <tableColumn id="83" xr3:uid="{733868AD-0AEF-4FED-BFEF-A99CC14A1685}" name="Silty Clay Loam" dataDxfId="1803"/>
    <tableColumn id="84" xr3:uid="{C69FA984-F973-4A8D-8B18-01399D0966C5}" name="Silty Clay" dataDxfId="1802"/>
    <tableColumn id="85" xr3:uid="{A9093567-75DE-4FC7-8988-2D09C86B701C}" name="Clay" dataDxfId="1801"/>
    <tableColumn id="86" xr3:uid="{3D41511A-40B4-497F-859E-3E5E3FD6B76C}" name="Sandy Clay Loam" dataDxfId="180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224C90CB-89E7-4C6E-A34B-35F0ACC43697}" name="CropNorms_Radish" displayName="CropNorms_Radish" ref="B286:CL289" totalsRowShown="0" headerRowDxfId="1799" dataDxfId="1797" headerRowBorderDxfId="1798" tableBorderDxfId="1796">
  <tableColumns count="89">
    <tableColumn id="1" xr3:uid="{73C92F4B-E938-4B34-885F-D47DB8C54D69}" name="Crop_Name" dataDxfId="1795"/>
    <tableColumn id="2" xr3:uid="{0CB23864-3D59-483B-A437-55F463F14456}" name="Variety_Name" dataDxfId="1794"/>
    <tableColumn id="3" xr3:uid="{7EC81CBA-332F-47C5-A0B7-3965B4367DE6}" name="Variety_Type" dataDxfId="1793"/>
    <tableColumn id="4" xr3:uid="{05F035FA-AA7E-475F-B57C-EEFE3464B7C0}" name="Height_Class" dataDxfId="1792"/>
    <tableColumn id="5" xr3:uid="{B1103625-0D20-4319-BED4-E2F5F1EBF683}" name="Height_cm" dataDxfId="1791"/>
    <tableColumn id="6" xr3:uid="{03E3BD79-6D18-41C8-9DA4-4E73A73FD9A7}" name="Nutrient_Content" dataDxfId="1790"/>
    <tableColumn id="7" xr3:uid="{E112F748-8331-439F-BF4F-E9AC4DD394D2}" name="Common_Disease_Tolerance" dataDxfId="1789"/>
    <tableColumn id="8" xr3:uid="{5C303AD2-C86B-4784-9B80-4F59CCDE5241}" name="Common_Pest_Tolerance" dataDxfId="1788"/>
    <tableColumn id="9" xr3:uid="{27762BD5-7882-4B18-BBCE-F78E3B0FE19B}" name="Environmental_Resilience" dataDxfId="1787"/>
    <tableColumn id="10" xr3:uid="{338744B4-8D9A-4983-8631-0F1A7D2FEAB2}" name="Category" dataDxfId="1786"/>
    <tableColumn id="11" xr3:uid="{1AE6D1CF-8F26-48BB-9051-A59FC513B009}" name="Country" dataDxfId="1785"/>
    <tableColumn id="12" xr3:uid="{AFE0169B-6481-4966-ADE5-40A4B345CB56}" name="Season" dataDxfId="1784"/>
    <tableColumn id="13" xr3:uid="{644E635B-9945-499D-8AA9-76F4E8C6C843}" name="PAR" dataDxfId="1783"/>
    <tableColumn id="14" xr3:uid="{92790E76-23D9-464A-BF2E-3CED94DD9A40}" name="Region" dataDxfId="1782"/>
    <tableColumn id="15" xr3:uid="{CCEFE881-6C62-4AE2-92F1-2CC987E28A8C}" name="Seed_Weight_mg" dataDxfId="1781"/>
    <tableColumn id="16" xr3:uid="{3806E48A-E3CA-4070-9A89-619958CEAD5F}" name="Crop_Min_Temp" dataDxfId="1780"/>
    <tableColumn id="17" xr3:uid="{B537A5A9-08BE-4B57-9823-07768AAFA2A9}" name="Base_Temp" dataDxfId="1779"/>
    <tableColumn id="18" xr3:uid="{AB74C40B-4DF2-4C4E-B36C-77BB701C7610}" name="Opt._Temp" dataDxfId="1778"/>
    <tableColumn id="19" xr3:uid="{A11A5B00-FA9D-40AC-B12E-DEF6A8C9E3A5}" name="Upper_Temp" dataDxfId="1777"/>
    <tableColumn id="89" xr3:uid="{DE73A371-C720-42F4-9711-DA10E77A1A5B}" name="Loss / Degree" dataDxfId="1776"/>
    <tableColumn id="20" xr3:uid="{2E4453FF-2F7C-400E-970D-E21579E27EAB}" name="Min_Days" dataDxfId="1775"/>
    <tableColumn id="21" xr3:uid="{8DEAA34D-3FA7-45F2-871D-194A7DB3D81A}" name="Max_Days" dataDxfId="1774"/>
    <tableColumn id="22" xr3:uid="{F3314A7C-F0B4-440B-847E-4AB237F77431}" name="Ripening_S_GDD" dataDxfId="1773">
      <calculatedColumnFormula>_xlfn.XLOOKUP("Ripening", CropPhenology_Radish[Main_Stage], CropPhenology_Radish[Start_GDD], "Not Found")</calculatedColumnFormula>
    </tableColumn>
    <tableColumn id="23" xr3:uid="{18070E6F-395D-4760-A85A-56CB1F2AB01D}" name="Ripening_E_GDD" dataDxfId="1772">
      <calculatedColumnFormula array="1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calculatedColumnFormula>
    </tableColumn>
    <tableColumn id="24" xr3:uid="{F5122BEF-9127-46C1-A938-25DFC400EE78}" name="Avg. Daily GDD" dataDxfId="1771">
      <calculatedColumnFormula>MIN(Y287/V287,MAX(X287/W287,R287,(X287/W287+Y287/V287)/2))</calculatedColumnFormula>
    </tableColumn>
    <tableColumn id="25" xr3:uid="{56565413-8782-485F-9A54-6F9725F93EBB}" name="Days_to_Ripening" dataDxfId="1770">
      <calculatedColumnFormula>Y287/Z287</calculatedColumnFormula>
    </tableColumn>
    <tableColumn id="26" xr3:uid="{50BCD525-D464-49C2-A3F3-24361FE61CF4}" name="Sunshine" dataDxfId="1769"/>
    <tableColumn id="27" xr3:uid="{C375CFCF-C265-465A-BB43-8B95E7A6A3B0}" name="Soil_Temp_Min" dataDxfId="1768"/>
    <tableColumn id="28" xr3:uid="{9D93010D-3452-4B76-86C0-2E70579987C1}" name="VPA_Max" dataDxfId="1767"/>
    <tableColumn id="29" xr3:uid="{FFD7C9E0-B91B-47ED-BBAF-710166504AF0}" name="Humidity_Max" dataDxfId="1766"/>
    <tableColumn id="30" xr3:uid="{D7708B24-F1A2-44C9-95AD-0D8F396C04B9}" name="Dew_Point_Min" dataDxfId="1765"/>
    <tableColumn id="31" xr3:uid="{B8C4DDFA-3BF4-47A7-A19D-BF3D6F68BE00}" name="WS_2m_Max" dataDxfId="1764"/>
    <tableColumn id="32" xr3:uid="{C5CE255A-3327-4D2F-85B0-931A10844420}" name="GDD_Adjust" dataDxfId="1763">
      <calculatedColumnFormula>IFERROR((Y287-X287)/AA287,0)</calculatedColumnFormula>
    </tableColumn>
    <tableColumn id="33" xr3:uid="{348FB935-1346-45DA-88F7-AC73E956D772}" name="pH_Min" dataDxfId="1762"/>
    <tableColumn id="34" xr3:uid="{34CD880F-7FFD-4355-996F-BCFB6B6A9D92}" name="pH_Max" dataDxfId="1761"/>
    <tableColumn id="87" xr3:uid="{E2069643-1D1C-4DBF-ADA8-E7E01F275B6C}" name="ECt" dataDxfId="1760"/>
    <tableColumn id="88" xr3:uid="{452B8155-E758-4F67-BD1C-91647CD7BBDC}" name="Slope" dataDxfId="1759"/>
    <tableColumn id="35" xr3:uid="{E4705E78-6324-47A2-A633-B2E4778AFE8C}" name="CWR_Min" dataDxfId="1758"/>
    <tableColumn id="36" xr3:uid="{F9FA09A1-E71D-4F0E-8D6D-3F632F2AE3CB}" name="CWR_Max" dataDxfId="1757"/>
    <tableColumn id="37" xr3:uid="{0D6C9070-C170-41ED-AFEF-1638D22DAC31}" name="Sowing_Depth_cm" dataDxfId="1756"/>
    <tableColumn id="38" xr3:uid="{65F82583-5204-430F-A46D-109120BCABFB}" name="Root_Depth_cm" dataDxfId="1755"/>
    <tableColumn id="39" xr3:uid="{52B74B68-42D9-4235-AC96-C7F1555BF012}" name="Stress_Tolerance_Index" dataDxfId="1754"/>
    <tableColumn id="40" xr3:uid="{E09640E0-9295-4A7D-AE93-2D630AE09710}" name="Row_Spacing_cm" dataDxfId="1753"/>
    <tableColumn id="41" xr3:uid="{CF3AF92A-9CA9-40C8-94B8-D464A4ED80AC}" name="Plant_to_Plant_cm" dataDxfId="1752"/>
    <tableColumn id="42" xr3:uid="{858341B1-2591-4D67-8D84-64351A78CDA1}" name="Seed_Per_Spot" dataDxfId="1751"/>
    <tableColumn id="43" xr3:uid="{7637E5DC-DD0E-44E6-9A4B-431B36D17AD5}" name="Seed_Rate_m2" dataDxfId="1750">
      <calculatedColumnFormula>IFERROR(10000/(AS287*AR287),0)*AT287</calculatedColumnFormula>
    </tableColumn>
    <tableColumn id="44" xr3:uid="{D108C14D-DC34-42B1-8353-D6D2EEAC60BE}" name="Seed_Weight_kg/ha" dataDxfId="1749">
      <calculatedColumnFormula>ROUND((P287/1000000)*AU287*10000,2)</calculatedColumnFormula>
    </tableColumn>
    <tableColumn id="45" xr3:uid="{D279937F-3A96-4F5A-9468-12BDF711F258}" name="Germination_%" dataDxfId="1748"/>
    <tableColumn id="46" xr3:uid="{218D75B2-5203-4F6A-8000-C79C4212E0BF}" name="Effective_Plants_m2" dataDxfId="1747">
      <calculatedColumnFormula>IFERROR((AU287*AW287/100),0)</calculatedColumnFormula>
    </tableColumn>
    <tableColumn id="47" xr3:uid="{3437A109-1268-477F-87B5-CA255F807FD1}" name="Tillers_Per_Plant" dataDxfId="1746"/>
    <tableColumn id="48" xr3:uid="{B1E4872A-625B-4FB9-9260-2473B197BD17}" name="Shoots_Per_m2" dataDxfId="1745">
      <calculatedColumnFormula>IFERROR(AX287*AY287,0)</calculatedColumnFormula>
    </tableColumn>
    <tableColumn id="49" xr3:uid="{DAED2D7A-7FB3-470B-A2BA-D956444CA189}" name="Survival_Ratio" dataDxfId="1744"/>
    <tableColumn id="50" xr3:uid="{BEDD4FDD-F9CF-40CF-8A6B-0078AF4580E8}" name="Shoot_Bearing_m2" dataDxfId="1743">
      <calculatedColumnFormula>IFERROR(AZ287*BA287,0)</calculatedColumnFormula>
    </tableColumn>
    <tableColumn id="51" xr3:uid="{D105AE0C-8C2E-4875-83C3-F1A30957B1C4}" name="Leaf_Area_Per_Shoot_m2" dataDxfId="1742"/>
    <tableColumn id="52" xr3:uid="{2C2C1E8F-ACED-4163-BD51-1065C2C42495}" name="Start_LAI" dataDxfId="1741">
      <calculatedColumnFormula>IFERROR(
  MAX(0.05, MIN(0.5, CropNorms_Radish[[#This Row],[Leaf_Area_Per_Shoot_m2]] * CropNorms_Radish[[#This Row],[Shoot_Bearing_m2]] )),
  0.2
)</calculatedColumnFormula>
    </tableColumn>
    <tableColumn id="53" xr3:uid="{C6A62492-9CBF-44B7-8ED3-65039C7072C1}" name="LAI_Start_GDD" dataDxfId="1740">
      <calculatedColumnFormula>_xlfn.XLOOKUP(CropNorms_Radish[[#This Row],[LAI_Start_BBCH]], CropPhenology_Radish[Sub_Stage], CropPhenology_Radish[Start_GDD], "Not Found")</calculatedColumnFormula>
    </tableColumn>
    <tableColumn id="54" xr3:uid="{E7935010-D04E-48E1-8035-E842EC50BEDE}" name="Max_LAI" dataDxfId="1739">
      <calculatedColumnFormula>ROUND(CropNorms_Radish[[#This Row],[Shoot_Bearing_m2]]*CropNorms_Radish[[#This Row],[Leaf_Area_Per_Shoot_m2]],2)</calculatedColumnFormula>
    </tableColumn>
    <tableColumn id="55" xr3:uid="{E442AD94-8983-4E8A-90A2-F3E4B5DB1F74}" name="LAI_Max_GDD" dataDxfId="1738">
      <calculatedColumnFormula>AVERAGE(
  _xlfn.XLOOKUP(CropNorms_Radish[[#This Row],[LAI_Max_BBCH]], CropPhenology_Radish[Sub_Stage], CropPhenology_Radish[Start_GDD]),
  _xlfn.XLOOKUP(CropNorms_Radish[[#This Row],[LAI_Max_BBCH]], CropPhenology_Radish[Sub_Stage], CropPhenology_Radish[End_GDD])
)</calculatedColumnFormula>
    </tableColumn>
    <tableColumn id="56" xr3:uid="{DF9C7963-A21C-47F3-8C2F-AE94F924E929}" name="End_LAI" dataDxfId="1737">
      <calculatedColumnFormula>IF(CropNorms_Radish[[#This Row],[Max_LAI]]&gt;=1.2, 0.85*CropNorms_Radish[[#This Row],[Max_LAI]], 1)</calculatedColumnFormula>
    </tableColumn>
    <tableColumn id="57" xr3:uid="{89655259-5A34-4E37-AE61-9779B3361728}" name="LAI_End_GDD" dataDxfId="1736">
      <calculatedColumnFormula>_xlfn.XLOOKUP(CropNorms_Radish[[#This Row],[LAI_End_BBCH]], CropPhenology_Radish[Sub_Stage], CropPhenology_Radish[End_GDD], "Not Found")</calculatedColumnFormula>
    </tableColumn>
    <tableColumn id="58" xr3:uid="{D0545A03-378B-49AF-8B0C-7B40B4A329F4}" name="RUE_Max" dataDxfId="1735">
      <calculatedColumnFormula array="1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BC4A71D-A85F-4049-A6A2-9F500DCB9AAE}" name="RUE_Asymptote_Frac" dataDxfId="1734">
      <calculatedColumnFormula array="1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E171CCE-EBCB-45B9-AEA4-2EBE3AA5B4F0}" name="RUE_LAI_Half_Sat" dataDxfId="1733">
      <calculatedColumnFormula array="1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087A391-B9E1-420B-8458-DC9950F8CCD8}" name="RUE_Daily_Delta_Max" dataDxfId="1732">
      <calculatedColumnFormula array="1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4D69B4E-73DA-4687-BE04-854499EDA02C}" name="HI" dataDxfId="1731"/>
    <tableColumn id="63" xr3:uid="{2E8804EA-DF1F-440B-8BA8-7D886F36CEC2}" name="DM:FM" dataDxfId="1730"/>
    <tableColumn id="64" xr3:uid="{E780B90E-66A5-4483-8C9E-0F08AF823DDF}" name="Yield_t/ha" dataDxfId="1729"/>
    <tableColumn id="65" xr3:uid="{B3BAB8A8-3DA1-4285-AE67-1B9AD4EF7DD2}" name="Yield_Type" dataDxfId="1728"/>
    <tableColumn id="66" xr3:uid="{4C002501-8C09-4F12-818E-6ADDB0F7B18E}" name="LAI_Start_BBCH" dataDxfId="1727">
      <calculatedColumnFormula array="1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749A35E-B07A-46B5-BD22-CF7923E2E9DB}" name="LAI_Max_BBCH" dataDxfId="1726">
      <calculatedColumnFormula array="1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9F54174-6516-4849-9A65-755CFA9F38E7}" name="LAI_End_BBCH" dataDxfId="1725">
      <calculatedColumnFormula array="1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D9D3DD6-02AF-4308-BE28-68BFED0FCCE3}" name="Fruiting_Start_BBCH" dataDxfId="1724">
      <calculatedColumnFormula array="1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980256E-C5C2-4ED6-83AB-2F99B5CE12B4}" name="N_Deficiency_kg/ha" dataDxfId="1723"/>
    <tableColumn id="71" xr3:uid="{188EFCDC-317A-4973-BEFA-AA1BDD18C0B3}" name="P_Deficiency_kg/ha" dataDxfId="1722"/>
    <tableColumn id="72" xr3:uid="{BDB103BF-BFB2-4594-80A0-4C96BE977EE3}" name="K_deficiency_kg/ha" dataDxfId="1721"/>
    <tableColumn id="73" xr3:uid="{42FEDC1F-E9CC-427A-9EA2-053DCF3A572A}" name="Sowing_Start_Season" dataDxfId="1720"/>
    <tableColumn id="74" xr3:uid="{58B0F4D7-ECFA-4704-BD60-9C2984BF27B6}" name="Sowing_End_Season" dataDxfId="1719"/>
    <tableColumn id="75" xr3:uid="{8DD15C6A-3950-47B4-A3C8-21D5F1668CD5}" name="Sand" dataDxfId="1718"/>
    <tableColumn id="76" xr3:uid="{967178CD-137E-47B5-8F07-CE1C679ED87F}" name="Loamy Sand" dataDxfId="1717"/>
    <tableColumn id="77" xr3:uid="{956A03C7-3F7B-413D-A718-96346ED8B062}" name="Sandy Loam" dataDxfId="1716"/>
    <tableColumn id="78" xr3:uid="{AB1328F1-977C-4C1D-BCEF-777FCB8AF4A2}" name="Loam" dataDxfId="1715"/>
    <tableColumn id="79" xr3:uid="{6DF8B591-2647-4019-9081-408258619FEF}" name="Silt Loam" dataDxfId="1714"/>
    <tableColumn id="80" xr3:uid="{192BBEBD-8529-4F45-B09C-101B9C53B4FD}" name="Clay Loam" dataDxfId="1713"/>
    <tableColumn id="81" xr3:uid="{A635CADA-24D5-45BB-A5A0-34A51E80432C}" name="Silt" dataDxfId="1712"/>
    <tableColumn id="82" xr3:uid="{8AF35C2A-0FC8-48F6-8231-287DF63E4597}" name="Sandy Clay" dataDxfId="1711"/>
    <tableColumn id="83" xr3:uid="{E1ECA086-3DF6-4300-A9F7-88395E5A6ECB}" name="Silty Clay Loam" dataDxfId="1710"/>
    <tableColumn id="84" xr3:uid="{CC9D4A07-F792-4EEF-A520-BD8FAA896C7D}" name="Silty Clay" dataDxfId="1709"/>
    <tableColumn id="85" xr3:uid="{7D0F4CA1-7E34-4B02-A9C7-4AB44338A50C}" name="Clay" dataDxfId="1708"/>
    <tableColumn id="86" xr3:uid="{BBBDFCC4-8EFE-4A5B-9E5B-F7A4A0D1022E}" name="Sandy Clay Loam" dataDxfId="170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B3BD2BF-F93A-4989-9FCF-1BDB1D574E56}" name="CropNorms_Rice" displayName="CropNorms_Rice" ref="B291:CL296" totalsRowShown="0" headerRowDxfId="1706" dataDxfId="1704" headerRowBorderDxfId="1705" tableBorderDxfId="1703">
  <tableColumns count="89">
    <tableColumn id="1" xr3:uid="{26D7C6E9-921B-4C68-BAB7-433F5D8DCF46}" name="Crop_Name" dataDxfId="1702"/>
    <tableColumn id="2" xr3:uid="{EB654FD9-B906-4A58-8B45-B7ADAA991130}" name="Variety_Name" dataDxfId="1701"/>
    <tableColumn id="3" xr3:uid="{513FDFAE-FD7D-4F02-975E-430496ACCE5A}" name="Variety_Type" dataDxfId="1700"/>
    <tableColumn id="4" xr3:uid="{5ABF0167-7792-4845-BDCE-FF0417FA5C30}" name="Height_Class" dataDxfId="1699"/>
    <tableColumn id="5" xr3:uid="{7452F842-66F3-49F4-B1D2-519DB35FFEEA}" name="Height_cm" dataDxfId="1698"/>
    <tableColumn id="6" xr3:uid="{17A21DAD-60BF-4320-AC83-0F8B88B61E5A}" name="Nutrient_Content" dataDxfId="1697"/>
    <tableColumn id="7" xr3:uid="{D0AFAF9B-B089-4943-9E49-63107769B9FF}" name="Common_Disease_Tolerance" dataDxfId="1696"/>
    <tableColumn id="8" xr3:uid="{86933045-F67F-4D23-90C6-06BF9E46B1E3}" name="Common_Pest_Tolerance" dataDxfId="1695"/>
    <tableColumn id="9" xr3:uid="{C9C7F993-D973-47B2-8C79-B1E9D9135874}" name="Environmental_Resilience" dataDxfId="1694"/>
    <tableColumn id="10" xr3:uid="{48FFA5EF-E91D-4297-8C79-1D718A462B11}" name="Category" dataDxfId="1693"/>
    <tableColumn id="11" xr3:uid="{F7FF3505-BCA7-40F9-AA32-BDDD9FBC7587}" name="Country" dataDxfId="1692"/>
    <tableColumn id="12" xr3:uid="{883DC435-B537-42B5-B0AC-1CAE9DAC34DB}" name="Season" dataDxfId="1691"/>
    <tableColumn id="13" xr3:uid="{5477AD23-BE82-4701-B468-FFB00ABE2C01}" name="PAR" dataDxfId="1690"/>
    <tableColumn id="14" xr3:uid="{EAFBB32D-505F-4046-A101-4494DB818704}" name="Region" dataDxfId="1689"/>
    <tableColumn id="15" xr3:uid="{D2C9E6BF-8C00-4F91-B4D3-CEA0FC9DA13D}" name="Seed_Weight_mg" dataDxfId="1688"/>
    <tableColumn id="16" xr3:uid="{11B07656-8AEE-4B2D-A638-E4705F42B5C9}" name="Crop_Min_Temp" dataDxfId="1687"/>
    <tableColumn id="17" xr3:uid="{DC58018A-2199-4AF8-BC9E-73FF962C17D6}" name="Base_Temp" dataDxfId="1686"/>
    <tableColumn id="18" xr3:uid="{99C055E3-5598-4863-9401-CDF800597302}" name="Opt._Temp" dataDxfId="1685"/>
    <tableColumn id="19" xr3:uid="{3A49F4D9-494E-44BD-88C6-1CF775A960F5}" name="Upper_Temp" dataDxfId="1684"/>
    <tableColumn id="89" xr3:uid="{91731320-525C-4E21-AC75-B69BFA40354D}" name="Loss / Degree" dataDxfId="1683"/>
    <tableColumn id="20" xr3:uid="{D11BA00F-8844-4DD1-8685-409627E54CB9}" name="Min_Days" dataDxfId="1682"/>
    <tableColumn id="21" xr3:uid="{E503F75E-EC8C-4995-9B58-42F52ADC3AFE}" name="Max_Days" dataDxfId="1681"/>
    <tableColumn id="22" xr3:uid="{08D9BDAD-DE60-492E-BE7A-133D87CDB35C}" name="Ripening_S_GDD" dataDxfId="1680">
      <calculatedColumnFormula>_xlfn.XLOOKUP("Ripening", CropPhenology_Rice[Main_Stage], CropPhenology_Rice[Start_GDD], "Not Found")</calculatedColumnFormula>
    </tableColumn>
    <tableColumn id="23" xr3:uid="{3FA17F1A-99E4-40E6-8D09-7C828B32808D}" name="Ripening_E_GDD" dataDxfId="1679">
      <calculatedColumnFormula array="1">_xlfn.LET(
  _xlpm.stage, "Ripening",
  _xlpm.stages, CropPhenology_Rice[Main_Stage],
  _xlpm.gdd, CropPhenology_Rice[End_GDD],
  _xlpm.matchRows, _xlfn._xlws.FILTER(_xlpm.gdd, _xlpm.stages=_xlpm.stage),
  IFERROR(INDEX(_xlpm.matchRows, ROWS(_xlpm.matchRows)), "Not Found")
)</calculatedColumnFormula>
    </tableColumn>
    <tableColumn id="24" xr3:uid="{E8C6E557-31D0-4CFE-9612-CA56EBFEA073}" name="Avg. Daily GDD" dataDxfId="1678">
      <calculatedColumnFormula>MIN(Y292/V292,MAX(X292/W292,R292,(X292/W292+Y292/V292)/2))</calculatedColumnFormula>
    </tableColumn>
    <tableColumn id="25" xr3:uid="{D694CD3C-7169-40D9-9BA7-F41B9C54DBE4}" name="Days_to_Ripening" dataDxfId="1677">
      <calculatedColumnFormula>Y292/Z292</calculatedColumnFormula>
    </tableColumn>
    <tableColumn id="26" xr3:uid="{C3865513-4934-44ED-9B75-BFBE167BB03D}" name="Sunshine" dataDxfId="1676"/>
    <tableColumn id="27" xr3:uid="{CF8DDCEC-0134-4932-A15C-78D176243578}" name="Soil_Temp_Min" dataDxfId="1675"/>
    <tableColumn id="28" xr3:uid="{2E072CE1-0BB8-4493-8B8E-92400252B95D}" name="VPA_Max" dataDxfId="1674"/>
    <tableColumn id="29" xr3:uid="{9C7AD49E-686E-46D2-8C0D-288C4DD57B33}" name="Humidity_Max" dataDxfId="1673"/>
    <tableColumn id="30" xr3:uid="{181CF2C2-122B-4503-81DC-C526E5F08C10}" name="Dew_Point_Min" dataDxfId="1672"/>
    <tableColumn id="31" xr3:uid="{9CFBF729-2B9C-4ADF-917C-12894037F2ED}" name="WS_2m_Max" dataDxfId="1671"/>
    <tableColumn id="32" xr3:uid="{FD865620-858A-4B15-8ED8-8193D9CE793D}" name="GDD_Adjust" dataDxfId="1670">
      <calculatedColumnFormula>IFERROR((Y292-X292)/AA292,0)</calculatedColumnFormula>
    </tableColumn>
    <tableColumn id="33" xr3:uid="{8F93C62B-12AE-43EE-830C-6E38DCE7E450}" name="pH_Min" dataDxfId="1669"/>
    <tableColumn id="34" xr3:uid="{46E05709-F377-4B5A-8A8D-595A8B4AA475}" name="pH_Max" dataDxfId="1668"/>
    <tableColumn id="87" xr3:uid="{A58B8485-DB69-4B85-A399-72AFB23C3E5B}" name="ECt" dataDxfId="1667"/>
    <tableColumn id="88" xr3:uid="{7511F157-68FC-44A1-9351-4D93D2065C3B}" name="Slope" dataDxfId="1666"/>
    <tableColumn id="35" xr3:uid="{0DA1101E-AC43-4B1C-A9D4-5BCED620CE49}" name="CWR_Min" dataDxfId="1665"/>
    <tableColumn id="36" xr3:uid="{57A999B0-6AA1-429F-BDE7-6D8142C6E87B}" name="CWR_Max" dataDxfId="1664"/>
    <tableColumn id="37" xr3:uid="{5109C378-B1F4-4BA5-8120-47B4FB81D5E0}" name="Sowing_Depth_cm" dataDxfId="1663"/>
    <tableColumn id="38" xr3:uid="{BCADD855-D1F6-47F8-B3D3-3F1499D76D2D}" name="Root_Depth_cm" dataDxfId="1662"/>
    <tableColumn id="39" xr3:uid="{714FEC0F-7340-475A-A549-59631C1471EF}" name="Stress_Tolerance_Index" dataDxfId="1661"/>
    <tableColumn id="40" xr3:uid="{1FCC6603-FFE0-429D-AC1E-E36C9DAA98EB}" name="Row_Spacing_cm" dataDxfId="1660"/>
    <tableColumn id="41" xr3:uid="{A8871611-4B58-47B8-8212-4EB9DDE63775}" name="Plant_to_Plant_cm" dataDxfId="1659"/>
    <tableColumn id="42" xr3:uid="{FE28F63C-DCAD-480A-A857-07727BD33A6C}" name="Seed_Per_Spot" dataDxfId="1658"/>
    <tableColumn id="43" xr3:uid="{73751B21-BEEA-4AC2-901A-DE551DDFEED0}" name="Seed_Rate_m2" dataDxfId="1657">
      <calculatedColumnFormula>IFERROR(10000/(AS292*AR292),0)*AT292</calculatedColumnFormula>
    </tableColumn>
    <tableColumn id="44" xr3:uid="{4C2E7657-D8D3-41ED-B251-2BFB416C3E63}" name="Seed_Weight_kg/ha" dataDxfId="1656">
      <calculatedColumnFormula>ROUND((P292/1000000)*AU292*10000,2)</calculatedColumnFormula>
    </tableColumn>
    <tableColumn id="45" xr3:uid="{924EAA8B-E478-4C54-B33B-6DCB76DA4A73}" name="Germination_%" dataDxfId="1655"/>
    <tableColumn id="46" xr3:uid="{9E25D3C7-452B-4002-B566-EF8E5A140B9C}" name="Effective_Plants_m2" dataDxfId="1654">
      <calculatedColumnFormula>IFERROR((AU292*AW292/100),0)</calculatedColumnFormula>
    </tableColumn>
    <tableColumn id="47" xr3:uid="{7A6D544D-FEE2-4349-BA8C-8F19E31E6526}" name="Tillers_Per_Plant" dataDxfId="1653"/>
    <tableColumn id="48" xr3:uid="{6128A866-78B6-48BA-8A35-CC39A11F5F83}" name="Shoots_Per_m2" dataDxfId="1652">
      <calculatedColumnFormula>IFERROR(AX292*AY292,0)</calculatedColumnFormula>
    </tableColumn>
    <tableColumn id="49" xr3:uid="{89CDEDEE-F125-405D-B400-B1B1C11B8B2A}" name="Survival_Ratio" dataDxfId="1651"/>
    <tableColumn id="50" xr3:uid="{BFF70D18-7581-44D1-901F-443479D3D0F0}" name="Shoot_Bearing_m2" dataDxfId="1650">
      <calculatedColumnFormula>IFERROR(AZ292*BA292,0)</calculatedColumnFormula>
    </tableColumn>
    <tableColumn id="51" xr3:uid="{17CC2436-C214-4F4D-9BD8-431CC92158AB}" name="Leaf_Area_Per_Shoot_m2" dataDxfId="1649"/>
    <tableColumn id="52" xr3:uid="{D8AFF571-E0EF-472D-A042-D0A0068CB228}" name="Start_LAI" dataDxfId="1648">
      <calculatedColumnFormula>IFERROR(
  MAX(0.05, MIN(0.5, CropNorms_Rice[[#This Row],[Leaf_Area_Per_Shoot_m2]] * CropNorms_Rice[[#This Row],[Shoot_Bearing_m2]] )),
  0.2
)</calculatedColumnFormula>
    </tableColumn>
    <tableColumn id="53" xr3:uid="{DCA65788-3F80-45CF-85FD-4854CF0AAE23}" name="LAI_Start_GDD" dataDxfId="1647">
      <calculatedColumnFormula>_xlfn.XLOOKUP(CropNorms_Rice[[#This Row],[LAI_Start_BBCH]], CropPhenology_Rice[Sub_Stage], CropPhenology_Rice[Start_GDD], "Not Found")</calculatedColumnFormula>
    </tableColumn>
    <tableColumn id="54" xr3:uid="{7D0812CB-E87C-4EE2-90BF-1F589EE0CFBD}" name="Max_LAI" dataDxfId="1646">
      <calculatedColumnFormula>ROUND(CropNorms_Rice[[#This Row],[Shoot_Bearing_m2]]*CropNorms_Rice[[#This Row],[Leaf_Area_Per_Shoot_m2]],2)</calculatedColumnFormula>
    </tableColumn>
    <tableColumn id="55" xr3:uid="{1B22F12B-F91D-495D-B2F9-9B470AB7A29B}" name="LAI_Max_GDD" dataDxfId="1645">
      <calculatedColumnFormula>AVERAGE(
  _xlfn.XLOOKUP(CropNorms_Rice[[#This Row],[LAI_Max_BBCH]], CropPhenology_Rice[Sub_Stage], CropPhenology_Rice[Start_GDD]),
  _xlfn.XLOOKUP(CropNorms_Rice[[#This Row],[LAI_Max_BBCH]], CropPhenology_Rice[Sub_Stage], CropPhenology_Rice[End_GDD])
)</calculatedColumnFormula>
    </tableColumn>
    <tableColumn id="56" xr3:uid="{C04A82DA-6596-4137-97BE-0E29B86940DD}" name="End_LAI" dataDxfId="1644">
      <calculatedColumnFormula>IF(CropNorms_Rice[[#This Row],[Max_LAI]]&gt;=1.2, 0.85*CropNorms_Rice[[#This Row],[Max_LAI]], 1)</calculatedColumnFormula>
    </tableColumn>
    <tableColumn id="57" xr3:uid="{7FDF353F-E6B3-405C-AE43-BD5B3ECAB331}" name="LAI_End_GDD" dataDxfId="1643">
      <calculatedColumnFormula>_xlfn.XLOOKUP(CropNorms_Rice[[#This Row],[LAI_End_BBCH]], CropPhenology_Rice[Sub_Stage], CropPhenology_Rice[End_GDD], "Not Found")</calculatedColumnFormula>
    </tableColumn>
    <tableColumn id="58" xr3:uid="{AFE19EE6-90E6-468C-9E6B-D7902A36B682}" name="RUE_Max" dataDxfId="1642">
      <calculatedColumnFormula array="1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3A9CA86-B7DE-4DF6-AFC3-2A5286BB132A}" name="RUE_Asymptote_Frac" dataDxfId="1641">
      <calculatedColumnFormula array="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641CD78-36F3-4A1D-8A07-1C3DDE63089E}" name="RUE_LAI_Half_Sat" dataDxfId="1640">
      <calculatedColumnFormula array="1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69FE8F6-5324-4EC3-8971-3D7F39A88E27}" name="RUE_Daily_Delta_Max" dataDxfId="1639">
      <calculatedColumnFormula array="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F387CB0-74ED-4427-ACC4-C5C9E5B848DF}" name="HI" dataDxfId="1638"/>
    <tableColumn id="63" xr3:uid="{81D5C5C2-1708-4693-B8F0-347AD4259858}" name="DM:FM" dataDxfId="1637"/>
    <tableColumn id="64" xr3:uid="{7AF6D0A4-8B6C-4908-A1A6-8882BE098E59}" name="Yield_t/ha" dataDxfId="1636"/>
    <tableColumn id="65" xr3:uid="{EA6E3BC5-2EED-457D-AB8E-622F55107688}" name="Yield_Type" dataDxfId="1635"/>
    <tableColumn id="66" xr3:uid="{531F8F3A-6182-4184-8F41-5705B90DEE17}" name="LAI_Start_BBCH" dataDxfId="1634">
      <calculatedColumnFormula array="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DC550DD-4C02-4D54-9812-CADBBCF93C22}" name="LAI_Max_BBCH" dataDxfId="1633">
      <calculatedColumnFormula array="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4EF5668-9B5D-4B5B-9D85-786347A44027}" name="LAI_End_BBCH" dataDxfId="1632">
      <calculatedColumnFormula array="1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FB07EC0-C51F-40BD-B114-6B1F3DA97ADC}" name="Fruiting_Start_BBCH" dataDxfId="1631">
      <calculatedColumnFormula array="1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3465196-B125-4106-B1E2-5501291E15E2}" name="N_Deficiency_kg/ha" dataDxfId="1630"/>
    <tableColumn id="71" xr3:uid="{25C19488-C01A-48BB-A7AC-CAE4D53155CD}" name="P_Deficiency_kg/ha" dataDxfId="1629"/>
    <tableColumn id="72" xr3:uid="{8315ACA2-6E55-4CCB-9B3E-E608CF0D1FD5}" name="K_deficiency_kg/ha" dataDxfId="1628"/>
    <tableColumn id="73" xr3:uid="{55F50A64-EB44-4185-94F8-51CF6A2CBD8A}" name="Sowing_Start_Season" dataDxfId="1627"/>
    <tableColumn id="74" xr3:uid="{C0DE5D05-7148-4AF5-BB2D-7170D85EDCFD}" name="Sowing_End_Season" dataDxfId="1626"/>
    <tableColumn id="75" xr3:uid="{B4FFC4C9-E8AA-4391-A083-D30FEF8BC2A8}" name="Sand" dataDxfId="1625"/>
    <tableColumn id="76" xr3:uid="{ABE0D89F-FDF1-46E2-A8C3-D2F1E5FF5A22}" name="Loamy Sand" dataDxfId="1624"/>
    <tableColumn id="77" xr3:uid="{CE3494D7-7E96-4F8C-AC6F-6B70D98E9A20}" name="Sandy Loam" dataDxfId="1623"/>
    <tableColumn id="78" xr3:uid="{30C8DD12-DC31-4F47-BDD3-B8FA52A00027}" name="Loam" dataDxfId="1622"/>
    <tableColumn id="79" xr3:uid="{0A8023A9-C56E-44BE-8CD5-761EE0289742}" name="Silt Loam" dataDxfId="1621"/>
    <tableColumn id="80" xr3:uid="{4E74A53E-6159-4E8C-908F-58FFF7D26728}" name="Clay Loam" dataDxfId="1620"/>
    <tableColumn id="81" xr3:uid="{7156BA43-6510-41EE-BD8C-681D31E9F3B7}" name="Silt" dataDxfId="1619"/>
    <tableColumn id="82" xr3:uid="{0A3D9970-7928-4565-8C31-DD12F44820C6}" name="Sandy Clay" dataDxfId="1618"/>
    <tableColumn id="83" xr3:uid="{F7A8F83E-239C-4974-8AB4-100D657D20C7}" name="Silty Clay Loam" dataDxfId="1617"/>
    <tableColumn id="84" xr3:uid="{541F87B7-AC20-4507-8282-7F6D4A6103BB}" name="Silty Clay" dataDxfId="1616"/>
    <tableColumn id="85" xr3:uid="{02A3E5D5-8C95-4DC8-A671-6115C2722C99}" name="Clay" dataDxfId="1615"/>
    <tableColumn id="86" xr3:uid="{AA8FD621-D3BC-4FBA-9B07-A4EB68D70F52}" name="Sandy Clay Loam" dataDxfId="161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79E7B19-FA52-4D13-997E-E1F645C9AC68}" name="CropNorms_Sesame" displayName="CropNorms_Sesame" ref="B298:CL303" totalsRowShown="0" headerRowDxfId="1613" dataDxfId="1611" headerRowBorderDxfId="1612" tableBorderDxfId="1610">
  <tableColumns count="89">
    <tableColumn id="1" xr3:uid="{96E903BC-DEEB-4D15-8E36-82EC0334B650}" name="Crop_Name" dataDxfId="1609"/>
    <tableColumn id="2" xr3:uid="{0BA04264-F06A-40D7-B9A2-46985307CCB8}" name="Variety_Name" dataDxfId="1608"/>
    <tableColumn id="3" xr3:uid="{BEA6ACCE-7E29-4CBF-99D7-C7E009E0DCA7}" name="Variety_Type" dataDxfId="1607"/>
    <tableColumn id="4" xr3:uid="{8B1CF7B3-2EBF-4EAC-BDB6-15445EB9218C}" name="Height_Class" dataDxfId="1606"/>
    <tableColumn id="5" xr3:uid="{249AD3D6-ED5C-4F14-ABC5-F41EBC83D4BC}" name="Height_cm" dataDxfId="1605"/>
    <tableColumn id="6" xr3:uid="{7C1440EE-9367-4981-A9F9-E0D5E1C41B62}" name="Nutrient_Content" dataDxfId="1604"/>
    <tableColumn id="7" xr3:uid="{CD8B601F-6B12-4749-B194-70F568463A40}" name="Common_Disease_Tolerance" dataDxfId="1603"/>
    <tableColumn id="8" xr3:uid="{23D922A2-CDFF-47BD-B337-D9AB009ADC5C}" name="Common_Pest_Tolerance" dataDxfId="1602"/>
    <tableColumn id="9" xr3:uid="{A0107F6E-E8FA-4494-9A05-DB733610DB67}" name="Environmental_Resilience" dataDxfId="1601"/>
    <tableColumn id="10" xr3:uid="{CC79FD6E-526C-4396-A16B-868381A80FAA}" name="Category" dataDxfId="1600"/>
    <tableColumn id="11" xr3:uid="{2F7AF997-A9ED-40E7-8C3C-1BAD096699BA}" name="Country" dataDxfId="1599"/>
    <tableColumn id="12" xr3:uid="{98DFFEEC-EF9B-4DC2-8CC0-A510978BB205}" name="Season" dataDxfId="1598"/>
    <tableColumn id="13" xr3:uid="{44CBCBF1-5E73-4884-BF50-0FD437E8EEF8}" name="PAR" dataDxfId="1597"/>
    <tableColumn id="14" xr3:uid="{BF602797-654B-4DA6-AFD7-F2A22FDC082D}" name="Region" dataDxfId="1596"/>
    <tableColumn id="15" xr3:uid="{FAE739BC-3390-4733-B769-FFDE5E37692C}" name="Seed_Weight_mg" dataDxfId="1595"/>
    <tableColumn id="16" xr3:uid="{EE1713C6-1B9D-4036-BA68-84537E5393C5}" name="Crop_Min_Temp" dataDxfId="1594"/>
    <tableColumn id="17" xr3:uid="{103B9E3E-30FD-490B-AFAA-CF181F0C220F}" name="Base_Temp" dataDxfId="1593"/>
    <tableColumn id="18" xr3:uid="{D1CCF7EF-1AC4-4CB5-8068-4E7366D51454}" name="Opt._Temp" dataDxfId="1592"/>
    <tableColumn id="19" xr3:uid="{7A166A72-9627-431D-BB35-F4CEA5B044EA}" name="Upper_Temp" dataDxfId="1591"/>
    <tableColumn id="89" xr3:uid="{9F0A70E6-7CC1-4503-B1FA-6CFA4CD80232}" name="Loss / Degree" dataDxfId="1590"/>
    <tableColumn id="20" xr3:uid="{81BE9359-0AEA-47F7-8C3F-50423330F6EF}" name="Min_Days" dataDxfId="1589"/>
    <tableColumn id="21" xr3:uid="{2D4915BB-1A40-43B6-BE78-D2CE1B2AC28D}" name="Max_Days" dataDxfId="1588"/>
    <tableColumn id="22" xr3:uid="{2E098EF6-F648-4847-A44C-0EED490D6479}" name="Ripening_S_GDD" dataDxfId="1587">
      <calculatedColumnFormula>_xlfn.XLOOKUP("Ripening", CropPhenology_Sesame[Main_Stage], CropPhenology_Sesame[Start_GDD], "Not Found")</calculatedColumnFormula>
    </tableColumn>
    <tableColumn id="23" xr3:uid="{B0D90343-232B-4DF1-94A1-F6457943F609}" name="Ripening_E_GDD" dataDxfId="1586">
      <calculatedColumnFormula array="1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calculatedColumnFormula>
    </tableColumn>
    <tableColumn id="24" xr3:uid="{904C0AAB-D3B4-4085-84F5-1BC6B62CB235}" name="Avg. Daily GDD" dataDxfId="1585">
      <calculatedColumnFormula>MIN(Y299/V299,MAX(X299/W299,R299,(X299/W299+Y299/V299)/2))</calculatedColumnFormula>
    </tableColumn>
    <tableColumn id="25" xr3:uid="{114647C2-2411-4A70-A45F-8B5F4A0CA56A}" name="Days_to_Ripening" dataDxfId="1584">
      <calculatedColumnFormula>Y299/Z299</calculatedColumnFormula>
    </tableColumn>
    <tableColumn id="26" xr3:uid="{42A890FD-B6F1-4DC0-8261-F59C879E262A}" name="Sunshine" dataDxfId="1583"/>
    <tableColumn id="27" xr3:uid="{D60E6819-D414-487F-ACCD-4F6E59143413}" name="Soil_Temp_Min" dataDxfId="1582"/>
    <tableColumn id="28" xr3:uid="{7FE029DD-9D4F-423E-8A98-D60D2C72A7E5}" name="VPA_Max" dataDxfId="1581"/>
    <tableColumn id="29" xr3:uid="{619BC1DC-25ED-44A9-8851-2DCB0303B3F1}" name="Humidity_Max" dataDxfId="1580"/>
    <tableColumn id="30" xr3:uid="{B1C3CA49-2F5E-462F-8BA2-3B84373C4BB4}" name="Dew_Point_Min" dataDxfId="1579"/>
    <tableColumn id="31" xr3:uid="{7E97A4CE-C7F6-45CB-9EA4-660C7FF03281}" name="WS_2m_Max" dataDxfId="1578"/>
    <tableColumn id="32" xr3:uid="{DB2D679A-550E-4DE7-A492-1EB8852608A5}" name="GDD_Adjust" dataDxfId="1577">
      <calculatedColumnFormula>IFERROR((Y299-X299)/AA299,0)</calculatedColumnFormula>
    </tableColumn>
    <tableColumn id="33" xr3:uid="{C7AC7651-038F-48E6-9E23-865D2F55411D}" name="pH_Min" dataDxfId="1576"/>
    <tableColumn id="34" xr3:uid="{685E5A1E-92AF-4F81-833C-5D1A71B0542B}" name="pH_Max" dataDxfId="1575"/>
    <tableColumn id="87" xr3:uid="{5E11D442-89CF-4E5A-9CB0-733701B86900}" name="ECt" dataDxfId="1574"/>
    <tableColumn id="88" xr3:uid="{6D4D801F-7FB1-4810-83BE-AA043A6FFCA6}" name="Slope" dataDxfId="1573"/>
    <tableColumn id="35" xr3:uid="{2438BB28-8AB5-4368-BBD5-5593EE2E475B}" name="CWR_Min" dataDxfId="1572"/>
    <tableColumn id="36" xr3:uid="{3CAFC691-3843-48A7-99D4-355181A3143D}" name="CWR_Max" dataDxfId="1571"/>
    <tableColumn id="37" xr3:uid="{111733BE-B0DC-4C75-BF01-A1746BD149A5}" name="Sowing_Depth_cm" dataDxfId="1570"/>
    <tableColumn id="38" xr3:uid="{F0B9AEC9-BA50-41AB-83A4-8DDC604E6DAA}" name="Root_Depth_cm" dataDxfId="1569"/>
    <tableColumn id="39" xr3:uid="{CC07FFFE-065A-462B-95FF-562E58F1BBD1}" name="Stress_Tolerance_Index" dataDxfId="1568"/>
    <tableColumn id="40" xr3:uid="{644F844F-4993-4242-AAB3-BACC0A795F6F}" name="Row_Spacing_cm" dataDxfId="1567"/>
    <tableColumn id="41" xr3:uid="{51CECE4C-4C3D-470A-9E2E-CE04FA0EC136}" name="Plant_to_Plant_cm" dataDxfId="1566"/>
    <tableColumn id="42" xr3:uid="{C0A78D9D-BE2C-4AB0-8018-030EAE97C549}" name="Seed_Per_Spot" dataDxfId="1565"/>
    <tableColumn id="43" xr3:uid="{1C1688E5-628D-44B2-A121-E68ADDE8CFEC}" name="Seed_Rate_m2" dataDxfId="1564">
      <calculatedColumnFormula>IFERROR(10000/(AS299*AR299),0)*AT299</calculatedColumnFormula>
    </tableColumn>
    <tableColumn id="44" xr3:uid="{4ADFDB82-612E-44DB-A052-942E788DE7A1}" name="Seed_Weight_kg/ha" dataDxfId="1563">
      <calculatedColumnFormula>ROUND((P299/1000000)*AU299*10000,2)</calculatedColumnFormula>
    </tableColumn>
    <tableColumn id="45" xr3:uid="{5B557462-29FC-484F-A1AA-950630C5F9BA}" name="Germination_%" dataDxfId="1562"/>
    <tableColumn id="46" xr3:uid="{B0A85C31-BFC4-4FCA-9666-3A30AC7A647F}" name="Effective_Plants_m2" dataDxfId="1561">
      <calculatedColumnFormula>IFERROR((AU299*AW299/100),0)</calculatedColumnFormula>
    </tableColumn>
    <tableColumn id="47" xr3:uid="{8830002A-32A4-4549-8FD8-2156FC92E0B8}" name="Tillers_Per_Plant" dataDxfId="1560"/>
    <tableColumn id="48" xr3:uid="{4887C8A3-16AD-4E35-B9D5-20D0D1A3D8AB}" name="Shoots_Per_m2" dataDxfId="1559">
      <calculatedColumnFormula>IFERROR(AX299*AY299,0)</calculatedColumnFormula>
    </tableColumn>
    <tableColumn id="49" xr3:uid="{FBD5F667-B702-4A77-8406-C68C66349EFE}" name="Survival_Ratio" dataDxfId="1558"/>
    <tableColumn id="50" xr3:uid="{AC8FD6C6-4F0B-4D3C-B1C0-596C1FC36B7B}" name="Shoot_Bearing_m2" dataDxfId="1557">
      <calculatedColumnFormula>IFERROR(AZ299*BA299,0)</calculatedColumnFormula>
    </tableColumn>
    <tableColumn id="51" xr3:uid="{9C6E6085-1ECC-4F04-A6A5-7B8EA446ABA8}" name="Leaf_Area_Per_Shoot_m2" dataDxfId="1556"/>
    <tableColumn id="52" xr3:uid="{DEAF3AD6-3906-4589-82CF-F1676B04850E}" name="Start_LAI" dataDxfId="1555">
      <calculatedColumnFormula>IFERROR(
  MAX(0.05, MIN(0.5, CropNorms_Sesame[[#This Row],[Leaf_Area_Per_Shoot_m2]] * CropNorms_Sesame[[#This Row],[Shoot_Bearing_m2]] )),
  0.2
)</calculatedColumnFormula>
    </tableColumn>
    <tableColumn id="53" xr3:uid="{B3315AD2-A736-45B4-8CD5-77D51D29F45B}" name="LAI_Start_GDD" dataDxfId="1554">
      <calculatedColumnFormula>_xlfn.XLOOKUP(CropNorms_Sesame[[#This Row],[LAI_Start_BBCH]], CropPhenology_Sesame[Sub_Stage], CropPhenology_Sesame[Start_GDD], "Not Found")</calculatedColumnFormula>
    </tableColumn>
    <tableColumn id="54" xr3:uid="{50E39E21-FCD7-4B89-8821-9CA63B302599}" name="Max_LAI" dataDxfId="1553">
      <calculatedColumnFormula>ROUND(CropNorms_Sesame[[#This Row],[Shoot_Bearing_m2]]*CropNorms_Sesame[[#This Row],[Leaf_Area_Per_Shoot_m2]],2)</calculatedColumnFormula>
    </tableColumn>
    <tableColumn id="55" xr3:uid="{37C9529D-B949-4802-939F-C18101286AEA}" name="LAI_Max_GDD" dataDxfId="1552">
      <calculatedColumnFormula>AVERAGE(
  _xlfn.XLOOKUP(CropNorms_Sesame[[#This Row],[LAI_Max_BBCH]], CropPhenology_Sesame[Sub_Stage], CropPhenology_Sesame[Start_GDD]),
  _xlfn.XLOOKUP(CropNorms_Sesame[[#This Row],[LAI_Max_BBCH]], CropPhenology_Sesame[Sub_Stage], CropPhenology_Sesame[End_GDD])
)</calculatedColumnFormula>
    </tableColumn>
    <tableColumn id="56" xr3:uid="{8C8FB6E2-125B-43F0-852C-59B6244F3D58}" name="End_LAI" dataDxfId="1551">
      <calculatedColumnFormula>IF(CropNorms_Sesame[[#This Row],[Max_LAI]]&gt;=1.2, 0.85*CropNorms_Sesame[[#This Row],[Max_LAI]], 1)</calculatedColumnFormula>
    </tableColumn>
    <tableColumn id="57" xr3:uid="{8905C516-64ED-4A92-9778-6C8939F18357}" name="LAI_End_GDD" dataDxfId="1550">
      <calculatedColumnFormula>_xlfn.XLOOKUP(CropNorms_Sesame[[#This Row],[LAI_End_BBCH]], CropPhenology_Sesame[Sub_Stage], CropPhenology_Sesame[End_GDD], "Not Found")</calculatedColumnFormula>
    </tableColumn>
    <tableColumn id="58" xr3:uid="{5EE4AB9D-9D1D-46F0-9408-A4B5FC20DC7B}" name="RUE_Max" dataDxfId="1549">
      <calculatedColumnFormula array="1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2EB418A-E294-402E-B95D-42AC9B07796F}" name="RUE_Asymptote_Frac" dataDxfId="1548">
      <calculatedColumnFormula array="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56AE541-379F-451C-ABF9-A93DF54AD770}" name="RUE_LAI_Half_Sat" dataDxfId="1547">
      <calculatedColumnFormula array="1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B7C96B2-F5FB-4BB8-8173-B9F4BC2767B9}" name="RUE_Daily_Delta_Max" dataDxfId="1546">
      <calculatedColumnFormula array="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4E7E970-1B50-4DEC-A1C5-58BC02C8414B}" name="HI" dataDxfId="1545"/>
    <tableColumn id="63" xr3:uid="{9B1FCFF2-0BFF-4B94-9FE3-B4D4036D732E}" name="DM:FM" dataDxfId="1544"/>
    <tableColumn id="64" xr3:uid="{50BF6B1D-4A3A-4621-B81D-B0CCECED553B}" name="Yield_t/ha" dataDxfId="1543"/>
    <tableColumn id="65" xr3:uid="{D167A558-C51D-4299-8BE1-2253A0DDAFEB}" name="Yield_Type" dataDxfId="1542"/>
    <tableColumn id="66" xr3:uid="{779ED109-7DCD-4CF9-AA22-55EB72D7F66F}" name="LAI_Start_BBCH" dataDxfId="1541">
      <calculatedColumnFormula array="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E93BF66-3F36-46EA-BC67-6F9D738246BB}" name="LAI_Max_BBCH" dataDxfId="1540">
      <calculatedColumnFormula array="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3DDEDE60-74F0-4F8E-906B-EFE393196207}" name="LAI_End_BBCH" dataDxfId="1539">
      <calculatedColumnFormula array="1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55C97B2D-AA2E-41FE-A194-36A73DB2BF44}" name="Fruiting_Start_BBCH" dataDxfId="1538">
      <calculatedColumnFormula array="1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4C53971-35E5-4F61-8D1E-E21DD94D7AA4}" name="N_Deficiency_kg/ha" dataDxfId="1537"/>
    <tableColumn id="71" xr3:uid="{64843BA2-EDD1-4C2F-8ACD-6946BF851A7B}" name="P_Deficiency_kg/ha" dataDxfId="1536"/>
    <tableColumn id="72" xr3:uid="{722DB4DC-CA89-42FA-AF73-DDE2D44AFC24}" name="K_deficiency_kg/ha" dataDxfId="1535"/>
    <tableColumn id="73" xr3:uid="{12ED47C0-9611-459F-A59C-5FD81B0DDDC7}" name="Sowing_Start_Season" dataDxfId="1534"/>
    <tableColumn id="74" xr3:uid="{99E968D9-0005-4373-93B5-3FA90B742BE9}" name="Sowing_End_Season" dataDxfId="1533"/>
    <tableColumn id="75" xr3:uid="{E39565A8-C7FD-4FF8-B638-CC6DA1E90D75}" name="Sand" dataDxfId="1532"/>
    <tableColumn id="76" xr3:uid="{28C0F0DC-DD01-4D18-BE5F-6FD645E6F42A}" name="Loamy Sand" dataDxfId="1531"/>
    <tableColumn id="77" xr3:uid="{758DE033-09D9-46BC-924E-93C3744AEBA9}" name="Sandy Loam" dataDxfId="1530"/>
    <tableColumn id="78" xr3:uid="{859708BD-DC36-4B7D-AE43-99C0EAF676C9}" name="Loam" dataDxfId="1529"/>
    <tableColumn id="79" xr3:uid="{C0FF806C-8321-4382-9C40-4EC85D0C917E}" name="Silt Loam" dataDxfId="1528"/>
    <tableColumn id="80" xr3:uid="{7177BCF6-EB21-45BA-9B78-C3E90A15EE8F}" name="Clay Loam" dataDxfId="1527"/>
    <tableColumn id="81" xr3:uid="{32D778A1-0B55-4177-A70C-A27ABEC283F6}" name="Silt" dataDxfId="1526"/>
    <tableColumn id="82" xr3:uid="{79292CC7-3001-4C14-9FB6-D19D8B3214CF}" name="Sandy Clay" dataDxfId="1525"/>
    <tableColumn id="83" xr3:uid="{ED42F615-D303-4CCB-A39A-E92743FDAFCD}" name="Silty Clay Loam" dataDxfId="1524"/>
    <tableColumn id="84" xr3:uid="{8CD5ED1A-A029-4254-BA6B-B73F357BC2A4}" name="Silty Clay" dataDxfId="1523"/>
    <tableColumn id="85" xr3:uid="{4B024E63-7129-4323-9447-BE67671DCEDA}" name="Clay" dataDxfId="1522"/>
    <tableColumn id="86" xr3:uid="{16BC7895-A889-4F4E-AD24-EC84519A50EE}" name="Sandy Clay Loam" dataDxfId="1521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330F35EF-50F2-4B05-96CB-0C978A29BFB4}" name="CropNorms_Sorghum" displayName="CropNorms_Sorghum" ref="B305:CL313" totalsRowShown="0" headerRowDxfId="1520" dataDxfId="1518" headerRowBorderDxfId="1519" tableBorderDxfId="1517">
  <tableColumns count="89">
    <tableColumn id="1" xr3:uid="{DB537F09-6CF4-4FBE-86DA-1EE228493962}" name="Crop_Name" dataDxfId="1516"/>
    <tableColumn id="2" xr3:uid="{5D8C876E-FBDC-42AC-92C0-49E153371905}" name="Variety_Name" dataDxfId="1515"/>
    <tableColumn id="3" xr3:uid="{F7E783B1-3863-47E4-82BB-4F8FADBEB5B4}" name="Variety_Type" dataDxfId="1514"/>
    <tableColumn id="4" xr3:uid="{C221C4A7-0095-4845-BA70-D794B16E3071}" name="Height_Class" dataDxfId="1513"/>
    <tableColumn id="5" xr3:uid="{8F8F2156-D2C1-4426-BE26-998D51321C1D}" name="Height_cm" dataDxfId="1512"/>
    <tableColumn id="6" xr3:uid="{BC96806B-8FF1-4909-B426-4C4ED7A6302A}" name="Nutrient_Content" dataDxfId="1511"/>
    <tableColumn id="7" xr3:uid="{53F96A1F-1B0A-41DC-8A6A-4E86C0F54D18}" name="Common_Disease_Tolerance" dataDxfId="1510"/>
    <tableColumn id="8" xr3:uid="{8245FCE4-5CAE-46CC-88CC-6CB026D0990C}" name="Common_Pest_Tolerance" dataDxfId="1509"/>
    <tableColumn id="9" xr3:uid="{C4D20D7B-7E33-4215-8047-43A9DD4AFB1D}" name="Environmental_Resilience" dataDxfId="1508"/>
    <tableColumn id="10" xr3:uid="{2F527CE7-B728-44F9-B755-2EF70D50D77D}" name="Category" dataDxfId="1507"/>
    <tableColumn id="11" xr3:uid="{83D03B0D-776C-41B7-9532-30B331538569}" name="Country" dataDxfId="1506"/>
    <tableColumn id="12" xr3:uid="{B5D9D7F0-0C5D-4E23-8946-73CA3EA35D5C}" name="Season" dataDxfId="1505"/>
    <tableColumn id="13" xr3:uid="{3D42B697-83BA-4EB9-A48D-5E57F1F71634}" name="PAR" dataDxfId="1504"/>
    <tableColumn id="14" xr3:uid="{707F51A8-EBE3-43C8-9A9D-358A376D9912}" name="Region" dataDxfId="1503"/>
    <tableColumn id="15" xr3:uid="{23C35C46-18D9-49FD-8D83-9076F8F8BCED}" name="Seed_Weight_mg" dataDxfId="1502"/>
    <tableColumn id="16" xr3:uid="{9878E934-7140-46CC-9588-62C9C20C8177}" name="Crop_Min_Temp" dataDxfId="1501"/>
    <tableColumn id="17" xr3:uid="{ED44A895-24FF-439D-8DE4-28C0CCE2E36B}" name="Base_Temp" dataDxfId="1500"/>
    <tableColumn id="18" xr3:uid="{75EA7062-EE27-41B6-8815-EC368BE81828}" name="Opt._Temp" dataDxfId="1499"/>
    <tableColumn id="19" xr3:uid="{4C3716A6-F542-4AD6-B7B6-9DB7C523766A}" name="Upper_Temp" dataDxfId="1498"/>
    <tableColumn id="89" xr3:uid="{88FB1750-A87C-43F2-BF93-EEFA0533C91E}" name="Loss / Degree" dataDxfId="1497"/>
    <tableColumn id="20" xr3:uid="{A129BB40-5D38-4C69-8550-78F99E7C65EA}" name="Min_Days" dataDxfId="1496"/>
    <tableColumn id="21" xr3:uid="{24AA83DB-3B45-4688-BD34-B0D431C3096D}" name="Max_Days" dataDxfId="1495"/>
    <tableColumn id="22" xr3:uid="{22EB8474-D441-40DC-9576-DE8DE033E243}" name="Ripening_S_GDD" dataDxfId="1494">
      <calculatedColumnFormula>_xlfn.XLOOKUP("Ripening", CropPhenology_Sorghum[Main_Stage], CropPhenology_Sorghum[Start_GDD], "Not Found")</calculatedColumnFormula>
    </tableColumn>
    <tableColumn id="23" xr3:uid="{07692FCB-8626-4C63-B5A9-F34C6C27317D}" name="Ripening_E_GDD" dataDxfId="1493">
      <calculatedColumnFormula array="1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calculatedColumnFormula>
    </tableColumn>
    <tableColumn id="24" xr3:uid="{C54BE9C5-9D28-47F2-8B6D-BECC5B093622}" name="Avg. Daily GDD" dataDxfId="1492">
      <calculatedColumnFormula>MIN(Y306/V306,MAX(X306/W306,R306,(X306/W306+Y306/V306)/2))</calculatedColumnFormula>
    </tableColumn>
    <tableColumn id="25" xr3:uid="{AE0B3375-99F0-4B0D-BFD3-EA304DE52560}" name="Days_to_Ripening" dataDxfId="1491">
      <calculatedColumnFormula>Y306/Z306</calculatedColumnFormula>
    </tableColumn>
    <tableColumn id="26" xr3:uid="{A2C1048E-629A-41AF-AD4B-61BFBD1BCD60}" name="Sunshine" dataDxfId="1490"/>
    <tableColumn id="27" xr3:uid="{8C57E7B6-50DC-4932-827B-08DF53666EE8}" name="Soil_Temp_Min" dataDxfId="1489"/>
    <tableColumn id="28" xr3:uid="{6A676D3A-6E81-4C43-9073-BB7EAB193376}" name="VPA_Max" dataDxfId="1488"/>
    <tableColumn id="29" xr3:uid="{F90EF2CC-17B1-4E8C-8D9F-5D78A8FC94CB}" name="Humidity_Max" dataDxfId="1487"/>
    <tableColumn id="30" xr3:uid="{4354E4D8-F4EF-4379-8C24-304DB446AE1D}" name="Dew_Point_Min" dataDxfId="1486"/>
    <tableColumn id="31" xr3:uid="{D8BDF6C1-03BD-42B3-B4C0-6172CC033B38}" name="WS_2m_Max" dataDxfId="1485"/>
    <tableColumn id="32" xr3:uid="{631C6838-0115-40C4-82EA-2B4DC00AC628}" name="GDD_Adjust" dataDxfId="1484">
      <calculatedColumnFormula>IFERROR((Y306-X306)/AA306,0)</calculatedColumnFormula>
    </tableColumn>
    <tableColumn id="33" xr3:uid="{DB96D01F-743C-4932-BE0C-B97976454278}" name="pH_Min" dataDxfId="1483"/>
    <tableColumn id="34" xr3:uid="{CDCA381E-8A89-4D7C-B712-68EE006B1170}" name="pH_Max" dataDxfId="1482"/>
    <tableColumn id="87" xr3:uid="{DD626F57-1B13-414B-A573-7DA5717DD7E0}" name="ECt" dataDxfId="1481"/>
    <tableColumn id="88" xr3:uid="{3E093B5F-5683-444F-8EAD-74C81CE0349E}" name="Slope" dataDxfId="1480"/>
    <tableColumn id="35" xr3:uid="{73E259B4-AA83-4E08-852F-82336E8851B7}" name="CWR_Min" dataDxfId="1479"/>
    <tableColumn id="36" xr3:uid="{7C983A5F-4B96-496D-828C-0FEA3EF595BE}" name="CWR_Max" dataDxfId="1478"/>
    <tableColumn id="37" xr3:uid="{0F0A192E-66D7-47F7-BAB1-164BF91618CD}" name="Sowing_Depth_cm" dataDxfId="1477"/>
    <tableColumn id="38" xr3:uid="{A01EA746-9E97-4015-BB8B-2CB2FF93500C}" name="Root_Depth_cm" dataDxfId="1476"/>
    <tableColumn id="39" xr3:uid="{EB90C1A3-CA8D-4BF7-A3A2-12D890BAA02C}" name="Stress_Tolerance_Index" dataDxfId="1475"/>
    <tableColumn id="40" xr3:uid="{32A85A7D-9EE4-44BC-8D83-ECA425EE93B9}" name="Row_Spacing_cm" dataDxfId="1474"/>
    <tableColumn id="41" xr3:uid="{8C3A4CC7-13DC-4607-9141-8DEC80E38554}" name="Plant_to_Plant_cm" dataDxfId="1473"/>
    <tableColumn id="42" xr3:uid="{C09109F0-BC1D-44E3-8398-127F558DBDDF}" name="Seed_Per_Spot" dataDxfId="1472"/>
    <tableColumn id="43" xr3:uid="{3BB6A024-EBDB-4BD8-8588-E191857AEEBB}" name="Seed_Rate_m2" dataDxfId="1471">
      <calculatedColumnFormula>IFERROR(10000/(AS306*AR306),0)*AT306</calculatedColumnFormula>
    </tableColumn>
    <tableColumn id="44" xr3:uid="{D535E8BD-3427-4A6A-B055-DB126789236A}" name="Seed_Weight_kg/ha" dataDxfId="1470">
      <calculatedColumnFormula>ROUND((P306/1000000)*AU306*10000,2)</calculatedColumnFormula>
    </tableColumn>
    <tableColumn id="45" xr3:uid="{F70EC078-3DC3-4EB0-AD78-E6BAFF642991}" name="Germination_%" dataDxfId="1469"/>
    <tableColumn id="46" xr3:uid="{8BECC13A-C0AD-470C-AB89-7A01AAB5269A}" name="Effective_Plants_m2" dataDxfId="1468">
      <calculatedColumnFormula>IFERROR((AU306*AW306/100),0)</calculatedColumnFormula>
    </tableColumn>
    <tableColumn id="47" xr3:uid="{DC2E1814-01BB-455F-A674-E39E21A4240E}" name="Tillers_Per_Plant" dataDxfId="1467"/>
    <tableColumn id="48" xr3:uid="{69647FFD-6483-4462-B787-FD304EC288A4}" name="Shoots_Per_m2" dataDxfId="1466">
      <calculatedColumnFormula>IFERROR(AX306*AY306,0)</calculatedColumnFormula>
    </tableColumn>
    <tableColumn id="49" xr3:uid="{F19D52E7-7593-482E-B9DD-8D0805AF80E5}" name="Survival_Ratio" dataDxfId="1465"/>
    <tableColumn id="50" xr3:uid="{D356D735-7961-4C4D-9C4C-D0E6A21284D7}" name="Shoot_Bearing_m2" dataDxfId="1464">
      <calculatedColumnFormula>IFERROR(AZ306*BA306,0)</calculatedColumnFormula>
    </tableColumn>
    <tableColumn id="51" xr3:uid="{3E0D305F-82F5-4585-937A-CBDD74E30646}" name="Leaf_Area_Per_Shoot_m2" dataDxfId="1463"/>
    <tableColumn id="52" xr3:uid="{D5610307-60D5-4C31-87EF-E6457627940B}" name="Start_LAI" dataDxfId="1462">
      <calculatedColumnFormula>IFERROR(
  MAX(0.05, MIN(0.5, CropNorms_Sorghum[[#This Row],[Leaf_Area_Per_Shoot_m2]] * CropNorms_Sorghum[[#This Row],[Shoot_Bearing_m2]] )),
  0.2
)</calculatedColumnFormula>
    </tableColumn>
    <tableColumn id="53" xr3:uid="{1325120B-8D37-44C2-82B9-58AC173E0521}" name="LAI_Start_GDD" dataDxfId="1461">
      <calculatedColumnFormula>_xlfn.XLOOKUP(CropNorms_Sorghum[[#This Row],[LAI_Start_BBCH]], CropPhenology_Sorghum[Sub_Stage], CropPhenology_Sorghum[Start_GDD], "Not Found")</calculatedColumnFormula>
    </tableColumn>
    <tableColumn id="54" xr3:uid="{25D0315D-BBB2-40B3-B938-7C78B15F303E}" name="Max_LAI" dataDxfId="1460">
      <calculatedColumnFormula>ROUND(CropNorms_Sorghum[[#This Row],[Shoot_Bearing_m2]]*CropNorms_Sorghum[[#This Row],[Leaf_Area_Per_Shoot_m2]],2)</calculatedColumnFormula>
    </tableColumn>
    <tableColumn id="55" xr3:uid="{11A3D4F6-E2A6-489A-9357-BF94BBB94103}" name="LAI_Max_GDD" dataDxfId="1459">
      <calculatedColumnFormula>AVERAGE(
  _xlfn.XLOOKUP(CropNorms_Sorghum[[#This Row],[LAI_Max_BBCH]], CropPhenology_Sorghum[Sub_Stage], CropPhenology_Sorghum[Start_GDD]),
  _xlfn.XLOOKUP(CropNorms_Sorghum[[#This Row],[LAI_Max_BBCH]], CropPhenology_Sorghum[Sub_Stage], CropPhenology_Sorghum[End_GDD])
)</calculatedColumnFormula>
    </tableColumn>
    <tableColumn id="56" xr3:uid="{39AB4FD9-E45D-4D2C-9A69-454DCE648F1A}" name="End_LAI" dataDxfId="1458">
      <calculatedColumnFormula>IF(CropNorms_Sorghum[[#This Row],[Max_LAI]]&gt;=1.2, 0.85*CropNorms_Sorghum[[#This Row],[Max_LAI]], 1)</calculatedColumnFormula>
    </tableColumn>
    <tableColumn id="57" xr3:uid="{D1956DF9-4DB6-4633-BFFA-D592054350F6}" name="LAI_End_GDD" dataDxfId="1457">
      <calculatedColumnFormula>_xlfn.XLOOKUP(CropNorms_Sorghum[[#This Row],[LAI_End_BBCH]], CropPhenology_Sorghum[Sub_Stage], CropPhenology_Sorghum[End_GDD], "Not Found")</calculatedColumnFormula>
    </tableColumn>
    <tableColumn id="58" xr3:uid="{688FF421-D6F4-4EDD-932C-1EF839A7B308}" name="RUE_Max" dataDxfId="1456">
      <calculatedColumnFormula array="1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FBD6642-68A9-4662-BA80-2492A95F415F}" name="RUE_Asymptote_Frac" dataDxfId="1455">
      <calculatedColumnFormula array="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E5AA634-E9C1-44C7-89D1-A5E02B07B44D}" name="RUE_LAI_Half_Sat" dataDxfId="1454">
      <calculatedColumnFormula array="1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72F88A20-1CE5-4710-AFDF-A8D294064148}" name="RUE_Daily_Delta_Max" dataDxfId="1453">
      <calculatedColumnFormula array="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9FFCA078-2923-4A73-8D45-AE3003E452AB}" name="HI" dataDxfId="1452"/>
    <tableColumn id="63" xr3:uid="{6E9056BF-1B5B-46E9-82B5-AFB17214A7D8}" name="DM:FM" dataDxfId="1451"/>
    <tableColumn id="64" xr3:uid="{342A204B-E2A2-4E6C-AED8-081E77130CFA}" name="Yield_t/ha" dataDxfId="1450"/>
    <tableColumn id="65" xr3:uid="{E84DD23F-AA9D-46E2-808C-CDACF62F136A}" name="Yield_Type" dataDxfId="1449"/>
    <tableColumn id="66" xr3:uid="{033D92F1-41CB-4B69-8C5F-B443CF701EB2}" name="LAI_Start_BBCH" dataDxfId="1448">
      <calculatedColumnFormula array="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24F9DFE-FDD7-4FEE-9D63-5762D45A586A}" name="LAI_Max_BBCH" dataDxfId="1447">
      <calculatedColumnFormula array="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32AE0FDA-0EF6-42FB-AEDF-4E501436F2EA}" name="LAI_End_BBCH" dataDxfId="1446">
      <calculatedColumnFormula array="1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B574745-4A6E-4589-884F-C295297368AF}" name="Fruiting_Start_BBCH" dataDxfId="1445">
      <calculatedColumnFormula array="1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9A09908-4AA5-4384-81DA-B3D40C0B15A1}" name="N_Deficiency_kg/ha" dataDxfId="1444"/>
    <tableColumn id="71" xr3:uid="{1B993A09-1B54-4845-9C0F-F07148C5411A}" name="P_Deficiency_kg/ha" dataDxfId="1443"/>
    <tableColumn id="72" xr3:uid="{28389CCF-C164-4C79-8A3E-A8512A15FB82}" name="K_deficiency_kg/ha" dataDxfId="1442"/>
    <tableColumn id="73" xr3:uid="{92D6996F-2E25-4B6C-B954-F881F98B0418}" name="Sowing_Start_Season" dataDxfId="1441"/>
    <tableColumn id="74" xr3:uid="{D4DCA5CD-42EA-4C2D-8BC6-6D124A5E7EEE}" name="Sowing_End_Season" dataDxfId="1440"/>
    <tableColumn id="75" xr3:uid="{A50F940D-D60E-401D-AEDC-BAAB70F09E68}" name="Sand" dataDxfId="1439"/>
    <tableColumn id="76" xr3:uid="{954FBC9D-ED92-4D58-9507-1ECFE5888F44}" name="Loamy Sand" dataDxfId="1438"/>
    <tableColumn id="77" xr3:uid="{D194E268-F90A-4826-A7C5-5949B3777CD9}" name="Sandy Loam" dataDxfId="1437"/>
    <tableColumn id="78" xr3:uid="{88B25E9B-2DE3-4AE4-B58F-597B8DFE968D}" name="Loam" dataDxfId="1436"/>
    <tableColumn id="79" xr3:uid="{7840DC9A-1586-46DA-98A3-F5995C0CD0C1}" name="Silt Loam" dataDxfId="1435"/>
    <tableColumn id="80" xr3:uid="{CA66D1AA-6A56-4C0C-A838-ED2097A55777}" name="Clay Loam" dataDxfId="1434"/>
    <tableColumn id="81" xr3:uid="{F87AF64F-9AF6-4B10-AA3F-44C2A7A467CF}" name="Silt" dataDxfId="1433"/>
    <tableColumn id="82" xr3:uid="{28347A92-CDF8-4D38-B541-21A5B87D8917}" name="Sandy Clay" dataDxfId="1432"/>
    <tableColumn id="83" xr3:uid="{1598DFE3-1F57-4F5A-B636-E6AE015878D0}" name="Silty Clay Loam" dataDxfId="1431"/>
    <tableColumn id="84" xr3:uid="{CD939315-0CBC-4A7A-B93C-702750AEE9CA}" name="Silty Clay" dataDxfId="1430"/>
    <tableColumn id="85" xr3:uid="{C498C8EE-F24B-4B53-B41C-245121B856CF}" name="Clay" dataDxfId="1429"/>
    <tableColumn id="86" xr3:uid="{3CA32298-CBA9-4C47-AE18-E71E0FD6BD31}" name="Sandy Clay Loam" dataDxfId="142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59F52CAD-F541-4BB6-B4DD-A5D51CB411BB}" name="CropNorms_SpongeGourd" displayName="CropNorms_SpongeGourd" ref="B315:CL327" totalsRowShown="0" headerRowDxfId="1427" dataDxfId="1425" headerRowBorderDxfId="1426" tableBorderDxfId="1424">
  <tableColumns count="89">
    <tableColumn id="1" xr3:uid="{2EDC2350-9707-403C-92AB-AADA29E5713C}" name="Crop_Name" dataDxfId="1423"/>
    <tableColumn id="2" xr3:uid="{77806B97-5B86-4699-9CD4-11FF52EEF4B1}" name="Variety_Name" dataDxfId="1422"/>
    <tableColumn id="3" xr3:uid="{7695A975-E2D7-435C-89A9-8F20C9347388}" name="Variety_Type" dataDxfId="1421"/>
    <tableColumn id="4" xr3:uid="{50CE6A13-409C-45FB-B03A-73D1D2218128}" name="Height_Class" dataDxfId="1420"/>
    <tableColumn id="5" xr3:uid="{F5271CF7-FC69-4903-B1F8-207453500CD7}" name="Height_cm" dataDxfId="1419"/>
    <tableColumn id="6" xr3:uid="{FD4D53F3-94F6-46ED-B089-5FC914044B34}" name="Nutrient_Content" dataDxfId="1418"/>
    <tableColumn id="7" xr3:uid="{334E7940-2DC1-40CC-BBB4-05DA1D42FA57}" name="Common_Disease_Tolerance" dataDxfId="1417"/>
    <tableColumn id="8" xr3:uid="{02E97F3C-A5A8-480A-8392-6182AAC78407}" name="Common_Pest_Tolerance" dataDxfId="1416"/>
    <tableColumn id="9" xr3:uid="{4DEB918D-2189-4503-B92A-988F6C89C24C}" name="Environmental_Resilience" dataDxfId="1415"/>
    <tableColumn id="10" xr3:uid="{9794FC81-3E8C-4532-A63F-E2461D22AB03}" name="Category" dataDxfId="1414"/>
    <tableColumn id="11" xr3:uid="{FD6A711C-F086-4B7A-8832-770578B914CA}" name="Country" dataDxfId="1413"/>
    <tableColumn id="12" xr3:uid="{DE062B3E-8B07-4FA8-8F84-4E65A5DF9ED0}" name="Season" dataDxfId="1412"/>
    <tableColumn id="13" xr3:uid="{457B501B-BC54-4CA3-92CC-FB1254386462}" name="PAR" dataDxfId="1411"/>
    <tableColumn id="14" xr3:uid="{5692BC04-6F45-4B76-9F12-5E6B9D5988ED}" name="Region" dataDxfId="1410"/>
    <tableColumn id="15" xr3:uid="{2D0BE96F-AC4A-408D-B1E0-876A9385F59D}" name="Seed_Weight_mg" dataDxfId="1409"/>
    <tableColumn id="16" xr3:uid="{9AB90643-0CB5-4A75-9C0E-35161F93B33E}" name="Crop_Min_Temp" dataDxfId="1408"/>
    <tableColumn id="17" xr3:uid="{DD0D8325-9BCF-4041-A49A-D1F1AE368E85}" name="Base_Temp" dataDxfId="1407"/>
    <tableColumn id="18" xr3:uid="{5CB0FF17-F716-4160-A2E8-CA5A15C9FF29}" name="Opt._Temp" dataDxfId="1406"/>
    <tableColumn id="19" xr3:uid="{A1E88812-BBB5-480E-A116-CD66AF255A60}" name="Upper_Temp" dataDxfId="1405"/>
    <tableColumn id="89" xr3:uid="{15A09571-ACBF-4544-A8C9-F5327EA2A67F}" name="Loss / Degree" dataDxfId="1404"/>
    <tableColumn id="20" xr3:uid="{2EB459D7-C388-4D11-A5B8-64A26B4FF031}" name="Min_Days" dataDxfId="1403"/>
    <tableColumn id="21" xr3:uid="{E9BBD531-174C-4CC2-BD52-4427375AF6CF}" name="Max_Days" dataDxfId="1402"/>
    <tableColumn id="22" xr3:uid="{9433446F-05C9-4ED1-B832-8F097C6F4921}" name="Ripening_S_GDD" dataDxfId="1401">
      <calculatedColumnFormula>_xlfn.XLOOKUP("Ripening", CropPhenology_SpongeGourd[Main_Stage], CropPhenology_SpongeGourd[Start_GDD], "Not Found")</calculatedColumnFormula>
    </tableColumn>
    <tableColumn id="23" xr3:uid="{EE3EEF73-C951-479E-BFFD-192538181D06}" name="Ripening_E_GDD" dataDxfId="1400">
      <calculatedColumnFormula array="1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calculatedColumnFormula>
    </tableColumn>
    <tableColumn id="24" xr3:uid="{B70D00B7-49BD-4FC6-8DDF-3F9C83F51863}" name="Avg. Daily GDD" dataDxfId="1399">
      <calculatedColumnFormula>MIN(Y316/V316,MAX(X316/W316,R316,(X316/W316+Y316/V316)/2))</calculatedColumnFormula>
    </tableColumn>
    <tableColumn id="25" xr3:uid="{34CE624D-D337-4376-89BC-00B2C19CF6B1}" name="Days_to_Ripening" dataDxfId="1398">
      <calculatedColumnFormula>Y316/Z316</calculatedColumnFormula>
    </tableColumn>
    <tableColumn id="26" xr3:uid="{AE6635C1-06B8-43FC-BC5A-0CC4890D7639}" name="Sunshine" dataDxfId="1397"/>
    <tableColumn id="27" xr3:uid="{70AB9046-3167-4EEE-8B24-DFB2B4977DEA}" name="Soil_Temp_Min" dataDxfId="1396"/>
    <tableColumn id="28" xr3:uid="{B3271F23-C059-4383-97B3-068772873330}" name="VPA_Max" dataDxfId="1395"/>
    <tableColumn id="29" xr3:uid="{DFD5E2E4-ECCA-48FE-BF4F-33DCD97134AE}" name="Humidity_Max" dataDxfId="1394"/>
    <tableColumn id="30" xr3:uid="{0E89A169-3C5F-4C75-BE8C-2A03472246D8}" name="Dew_Point_Min" dataDxfId="1393"/>
    <tableColumn id="31" xr3:uid="{2DFDF35F-80DB-4707-A591-4FE440D67EAE}" name="WS_2m_Max" dataDxfId="1392"/>
    <tableColumn id="32" xr3:uid="{59EBF419-0F08-435A-B43A-50E6B9582F58}" name="GDD_Adjust" dataDxfId="1391">
      <calculatedColumnFormula>IFERROR((Y316-X316)/AA316,0)</calculatedColumnFormula>
    </tableColumn>
    <tableColumn id="33" xr3:uid="{B87EC5FB-173F-46F8-8839-C1A6866439A7}" name="pH_Min" dataDxfId="1390"/>
    <tableColumn id="34" xr3:uid="{42887265-E4FD-47EB-91BD-1A65B2EA0444}" name="pH_Max" dataDxfId="1389"/>
    <tableColumn id="87" xr3:uid="{D6BB3A77-E775-41A4-A1ED-31D8F404A22E}" name="ECt" dataDxfId="1388"/>
    <tableColumn id="88" xr3:uid="{8BBB7277-CB11-4A4D-891B-A4E740C36005}" name="Slope" dataDxfId="1387"/>
    <tableColumn id="35" xr3:uid="{FC745B5E-B04A-40EF-B808-9D27C4BDAF08}" name="CWR_Min" dataDxfId="1386"/>
    <tableColumn id="36" xr3:uid="{405FFAF7-17B3-414D-800B-A917254C1446}" name="CWR_Max" dataDxfId="1385"/>
    <tableColumn id="37" xr3:uid="{F7FD9EE0-58CB-4299-B4A6-034140F7B111}" name="Sowing_Depth_cm" dataDxfId="1384"/>
    <tableColumn id="38" xr3:uid="{736F837A-A897-41AF-AF42-BFFA79ED9A7A}" name="Root_Depth_cm" dataDxfId="1383"/>
    <tableColumn id="39" xr3:uid="{37382C32-7950-406C-8787-D62E0A6B1BF9}" name="Stress_Tolerance_Index" dataDxfId="1382"/>
    <tableColumn id="40" xr3:uid="{5A014287-4549-402D-8045-740EF00B0980}" name="Row_Spacing_cm" dataDxfId="1381"/>
    <tableColumn id="41" xr3:uid="{FB1E6595-5F3D-44EA-A21A-B40F93CCE733}" name="Plant_to_Plant_cm" dataDxfId="1380"/>
    <tableColumn id="42" xr3:uid="{AD5C108D-BC79-4351-A558-42644D66AB47}" name="Seed_Per_Spot" dataDxfId="1379"/>
    <tableColumn id="43" xr3:uid="{EFBD9CE2-D320-4AA6-9AB6-1997C147E55D}" name="Seed_Rate_m2" dataDxfId="1378">
      <calculatedColumnFormula>IFERROR(10000/(AS316*AR316),0)*AT316</calculatedColumnFormula>
    </tableColumn>
    <tableColumn id="44" xr3:uid="{5CC0E43A-E00D-4CD7-8362-227D7DD1D8A8}" name="Seed_Weight_kg/ha" dataDxfId="1377">
      <calculatedColumnFormula>ROUND((P316/1000000)*AU316*10000,2)</calculatedColumnFormula>
    </tableColumn>
    <tableColumn id="45" xr3:uid="{47EB6598-8017-4829-AFC4-9AA37AB296EC}" name="Germination_%" dataDxfId="1376"/>
    <tableColumn id="46" xr3:uid="{FE775DF2-D9E7-4595-826C-DEFA658B95FD}" name="Effective_Plants_m2" dataDxfId="1375">
      <calculatedColumnFormula>IFERROR((AU316*AW316/100),0)</calculatedColumnFormula>
    </tableColumn>
    <tableColumn id="47" xr3:uid="{EA367EDE-A7FE-4403-8A32-51A7CC5AAEFA}" name="Tillers_Per_Plant" dataDxfId="1374"/>
    <tableColumn id="48" xr3:uid="{B4FA6DD0-AE4A-4533-8B1D-2718460662E3}" name="Shoots_Per_m2" dataDxfId="1373">
      <calculatedColumnFormula>IFERROR(AX316*AY316,0)</calculatedColumnFormula>
    </tableColumn>
    <tableColumn id="49" xr3:uid="{2EBE11F6-6108-450C-867B-741772BE970F}" name="Survival_Ratio" dataDxfId="1372"/>
    <tableColumn id="50" xr3:uid="{2330851A-6414-42BA-B92A-C13FBF7B7FD1}" name="Shoot_Bearing_m2" dataDxfId="1371">
      <calculatedColumnFormula>IFERROR(AZ316*BA316,0)</calculatedColumnFormula>
    </tableColumn>
    <tableColumn id="51" xr3:uid="{7DDB3B82-73A0-4A86-B43E-3370B9A7A80B}" name="Leaf_Area_Per_Shoot_m2" dataDxfId="1370"/>
    <tableColumn id="52" xr3:uid="{B2C08449-F694-49B9-81AE-14AAD1701E23}" name="Start_LAI" dataDxfId="1369">
      <calculatedColumnFormula>IFERROR(
  MAX(0.05, MIN(0.5, CropNorms_SpongeGourd[[#This Row],[Leaf_Area_Per_Shoot_m2]] * CropNorms_SpongeGourd[[#This Row],[Shoot_Bearing_m2]] )),
  0.2
)</calculatedColumnFormula>
    </tableColumn>
    <tableColumn id="53" xr3:uid="{0CB55BAC-50BC-41D8-97CD-4010FA3DDC08}" name="LAI_Start_GDD" dataDxfId="1368">
      <calculatedColumnFormula>_xlfn.XLOOKUP(CropNorms_SpongeGourd[[#This Row],[LAI_Start_BBCH]], CropPhenology_SpongeGourd[Sub_Stage], CropPhenology_SpongeGourd[Start_GDD], "Not Found")</calculatedColumnFormula>
    </tableColumn>
    <tableColumn id="54" xr3:uid="{38C55409-5A34-47E8-B2D9-3E739DE781A4}" name="Max_LAI" dataDxfId="1367">
      <calculatedColumnFormula>ROUND(CropNorms_SpongeGourd[[#This Row],[Shoot_Bearing_m2]]*CropNorms_SpongeGourd[[#This Row],[Leaf_Area_Per_Shoot_m2]],2)</calculatedColumnFormula>
    </tableColumn>
    <tableColumn id="55" xr3:uid="{E5125B8B-E378-47F7-BEE6-C7E231C02C84}" name="LAI_Max_GDD" dataDxfId="1366">
      <calculatedColumnFormula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calculatedColumnFormula>
    </tableColumn>
    <tableColumn id="56" xr3:uid="{C925A984-22FD-4ED7-8FC7-F15CA02A2602}" name="End_LAI" dataDxfId="1365">
      <calculatedColumnFormula>IF(CropNorms_SpongeGourd[[#This Row],[Max_LAI]]&gt;=1.2, 0.85*CropNorms_SpongeGourd[[#This Row],[Max_LAI]], 1)</calculatedColumnFormula>
    </tableColumn>
    <tableColumn id="57" xr3:uid="{BF33A465-8147-4E2B-90BC-99DDB1541405}" name="LAI_End_GDD" dataDxfId="1364">
      <calculatedColumnFormula>_xlfn.XLOOKUP(CropNorms_SpongeGourd[[#This Row],[LAI_End_BBCH]], CropPhenology_SpongeGourd[Sub_Stage], CropPhenology_SpongeGourd[End_GDD], "Not Found")</calculatedColumnFormula>
    </tableColumn>
    <tableColumn id="58" xr3:uid="{76429D03-E5C2-4A65-B4E2-CEB41E36C48F}" name="RUE_Max" dataDxfId="1363">
      <calculatedColumnFormula array="1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00F2E35-F8CC-43D5-8BB9-09DF5CC4C240}" name="RUE_Asymptote_Frac" dataDxfId="1362">
      <calculatedColumnFormula array="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9187359-8C4C-4E5A-98D3-621C04B01148}" name="RUE_LAI_Half_Sat" dataDxfId="1361">
      <calculatedColumnFormula array="1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D5EC99D-EA58-4F71-BC91-E24368937B4C}" name="RUE_Daily_Delta_Max" dataDxfId="1360">
      <calculatedColumnFormula array="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F027192-608E-4597-B747-DEC1B4197C68}" name="HI" dataDxfId="1359"/>
    <tableColumn id="63" xr3:uid="{F3F7BBEC-CD20-421D-9A5E-AD7AC9601F96}" name="DM:FM" dataDxfId="1358"/>
    <tableColumn id="64" xr3:uid="{5F9B6275-B068-4A6B-8152-7724A7458909}" name="Yield_t/ha" dataDxfId="1357"/>
    <tableColumn id="65" xr3:uid="{43AA3FBC-55C1-4181-A1A8-59E331BBD1B9}" name="Yield_Type" dataDxfId="1356"/>
    <tableColumn id="66" xr3:uid="{F81B4B4A-C401-4A54-A7F0-04C8785756E1}" name="LAI_Start_BBCH" dataDxfId="1355">
      <calculatedColumnFormula array="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AF650BD-8630-481B-AB91-4AC2F6EB0C3E}" name="LAI_Max_BBCH" dataDxfId="1354">
      <calculatedColumnFormula array="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9524D91-925C-424D-9C51-8B8AA0E6577D}" name="LAI_End_BBCH" dataDxfId="1353">
      <calculatedColumnFormula array="1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CC46E23-F1D3-4E45-AD90-41718D138FE1}" name="Fruiting_Start_BBCH" dataDxfId="1352">
      <calculatedColumnFormula array="1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9D00C1A-CC11-4586-9880-2E81A34B1BB7}" name="N_Deficiency_kg/ha" dataDxfId="1351"/>
    <tableColumn id="71" xr3:uid="{7F640EFD-77C6-494D-8328-F077C3B45D23}" name="P_Deficiency_kg/ha" dataDxfId="1350"/>
    <tableColumn id="72" xr3:uid="{394C8F95-DC80-443F-83A7-B77CCCA7A12E}" name="K_deficiency_kg/ha" dataDxfId="1349"/>
    <tableColumn id="73" xr3:uid="{B152BDD4-303B-41E0-8519-8B3F5E219493}" name="Sowing_Start_Season" dataDxfId="1348"/>
    <tableColumn id="74" xr3:uid="{45163DFA-170C-4E51-ABD4-12AFDE0D0F18}" name="Sowing_End_Season" dataDxfId="1347"/>
    <tableColumn id="75" xr3:uid="{BDC19E86-D6D6-4FFD-95A1-9D7E8872B35B}" name="Sand" dataDxfId="1346"/>
    <tableColumn id="76" xr3:uid="{2D1596AE-4910-4EE9-9FE8-8879BF587620}" name="Loamy Sand" dataDxfId="1345"/>
    <tableColumn id="77" xr3:uid="{EE2ED0E6-2123-4AE6-8F68-04BB789CDBE4}" name="Sandy Loam" dataDxfId="1344"/>
    <tableColumn id="78" xr3:uid="{13359140-A112-498D-9391-C60AF5B39657}" name="Loam" dataDxfId="1343"/>
    <tableColumn id="79" xr3:uid="{519B3065-B576-43E1-B1C4-AB2E681730E2}" name="Silt Loam" dataDxfId="1342"/>
    <tableColumn id="80" xr3:uid="{4CD33835-28AE-4394-90E2-44AF0120A661}" name="Clay Loam" dataDxfId="1341"/>
    <tableColumn id="81" xr3:uid="{F5FEEA7D-E6A9-454E-B368-F6420CD99322}" name="Silt" dataDxfId="1340"/>
    <tableColumn id="82" xr3:uid="{EFDA6D1D-7930-4447-A22D-0F053E58496B}" name="Sandy Clay" dataDxfId="1339"/>
    <tableColumn id="83" xr3:uid="{F739E003-20F0-4A9C-B568-3B84AD1CABE9}" name="Silty Clay Loam" dataDxfId="1338"/>
    <tableColumn id="84" xr3:uid="{AD223647-2440-4700-A261-70B2656D0C95}" name="Silty Clay" dataDxfId="1337"/>
    <tableColumn id="85" xr3:uid="{524C662B-491C-4463-8BD9-553E2CBBE383}" name="Clay" dataDxfId="1336"/>
    <tableColumn id="86" xr3:uid="{AA125787-AC1F-45BA-8D02-E21CDFDD6C16}" name="Sandy Clay Loam" dataDxfId="1335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73F4DF8C-B41B-46BC-A9AA-FD8F723A2EBD}" name="CropNorms_SugarBeet" displayName="CropNorms_SugarBeet" ref="B329:CL341" totalsRowShown="0" headerRowDxfId="1334" dataDxfId="1332" headerRowBorderDxfId="1333" tableBorderDxfId="1331">
  <tableColumns count="89">
    <tableColumn id="1" xr3:uid="{682EC697-DD64-4CEF-AAB1-62B3C31238BA}" name="Crop_Name" dataDxfId="1330"/>
    <tableColumn id="2" xr3:uid="{287261BD-CB7C-4BB6-9324-605691E530D2}" name="Variety_Name" dataDxfId="1329"/>
    <tableColumn id="3" xr3:uid="{7175ED7D-64A8-42F2-A7A8-330E52FD35A1}" name="Variety_Type" dataDxfId="1328"/>
    <tableColumn id="4" xr3:uid="{AADA52FA-905D-4B4C-8FB1-5177262D894D}" name="Height_Class" dataDxfId="1327"/>
    <tableColumn id="5" xr3:uid="{2FCFD906-6793-4DB4-A028-0C2575E9286A}" name="Height_cm" dataDxfId="1326"/>
    <tableColumn id="6" xr3:uid="{1D798B3F-DA7D-4F7E-A92D-D058A0C21481}" name="Nutrient_Content" dataDxfId="1325"/>
    <tableColumn id="7" xr3:uid="{C2EF0F4F-4244-4BCF-9DDB-F5FC8ABDE144}" name="Common_Disease_Tolerance" dataDxfId="1324"/>
    <tableColumn id="8" xr3:uid="{95F4C868-95A8-4F0F-BD2E-F0013D47FEE2}" name="Common_Pest_Tolerance" dataDxfId="1323"/>
    <tableColumn id="9" xr3:uid="{FB1BD653-2CBC-4535-94D5-48CC3FA38A49}" name="Environmental_Resilience" dataDxfId="1322"/>
    <tableColumn id="10" xr3:uid="{95779ACC-ED8B-42B5-AEAD-2C975A82CF0E}" name="Category" dataDxfId="1321"/>
    <tableColumn id="11" xr3:uid="{E8B2B166-9FA3-406A-81C1-AF52CBE305F0}" name="Country" dataDxfId="1320"/>
    <tableColumn id="12" xr3:uid="{5FFC35FB-0204-4AEB-BBAC-DFB0E72AB54B}" name="Season" dataDxfId="1319"/>
    <tableColumn id="13" xr3:uid="{FB83F65E-FFF2-4904-A309-6151A9087989}" name="PAR" dataDxfId="1318"/>
    <tableColumn id="14" xr3:uid="{7F8207F6-7980-47A4-A7E0-314797FFE910}" name="Region" dataDxfId="1317"/>
    <tableColumn id="15" xr3:uid="{7B45FE31-94AA-4B4A-926B-F1CD43C502A8}" name="Seed_Weight_mg" dataDxfId="1316"/>
    <tableColumn id="16" xr3:uid="{B1BB59A1-5417-4138-BE69-A717BC1E1405}" name="Crop_Min_Temp" dataDxfId="1315"/>
    <tableColumn id="17" xr3:uid="{F3751AB8-0950-482B-AD5C-8C7A4777A607}" name="Base_Temp" dataDxfId="1314"/>
    <tableColumn id="18" xr3:uid="{5222F828-5546-47EB-9FFD-C382E20B3DC8}" name="Opt._Temp" dataDxfId="1313"/>
    <tableColumn id="19" xr3:uid="{7C65E452-6006-4AFF-AFFA-7E9B8C1E48C9}" name="Upper_Temp" dataDxfId="1312"/>
    <tableColumn id="89" xr3:uid="{1C42D038-FE12-48C8-ADB0-72B3F7E422B6}" name="Loss / Degree" dataDxfId="1311"/>
    <tableColumn id="20" xr3:uid="{7DEBC22F-41C8-4B6A-99D6-11F817E7F6C7}" name="Min_Days" dataDxfId="1310"/>
    <tableColumn id="21" xr3:uid="{295F36DF-8272-4AB9-B2BD-9CF8A4E1A1CE}" name="Max_Days" dataDxfId="1309"/>
    <tableColumn id="22" xr3:uid="{8A576D12-2362-406A-8693-C971B9C3578F}" name="Ripening_S_GDD" dataDxfId="1308">
      <calculatedColumnFormula>_xlfn.XLOOKUP("Ripening", CropPhenology_SugarBeet[Main_Stage], CropPhenology_SugarBeet[Start_GDD], "Not Found")</calculatedColumnFormula>
    </tableColumn>
    <tableColumn id="23" xr3:uid="{25FD92B1-3785-4F4B-9930-D9635FD2B14C}" name="Ripening_E_GDD" dataDxfId="1307">
      <calculatedColumnFormula array="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calculatedColumnFormula>
    </tableColumn>
    <tableColumn id="24" xr3:uid="{F849341E-8EF1-4AD2-9CC0-0D51CBCB875E}" name="Avg. Daily GDD" dataDxfId="1306">
      <calculatedColumnFormula>MIN(Y330/V330,MAX(X330/W330,R330,(X330/W330+Y330/V330)/2))</calculatedColumnFormula>
    </tableColumn>
    <tableColumn id="25" xr3:uid="{F50C7B3D-9B67-4375-87CC-2937CB1CD6FB}" name="Days_to_Ripening" dataDxfId="1305">
      <calculatedColumnFormula>Y330/Z330</calculatedColumnFormula>
    </tableColumn>
    <tableColumn id="26" xr3:uid="{86FFD6EE-34CD-4539-AAE5-83C2BE56EDEB}" name="Sunshine" dataDxfId="1304"/>
    <tableColumn id="27" xr3:uid="{2B980E03-E495-408E-A283-36CEA88C2E25}" name="Soil_Temp_Min" dataDxfId="1303"/>
    <tableColumn id="28" xr3:uid="{43E7852E-20DB-42B9-A134-A6B39C575EC4}" name="VPA_Max" dataDxfId="1302"/>
    <tableColumn id="29" xr3:uid="{44DAD40A-38EC-4468-93BA-44001FABD3C6}" name="Humidity_Max" dataDxfId="1301"/>
    <tableColumn id="30" xr3:uid="{61283EDB-A265-4045-9E7A-39F329D383C7}" name="Dew_Point_Min" dataDxfId="1300"/>
    <tableColumn id="31" xr3:uid="{68EAEE58-D1EF-4978-A347-1BA9786C7CA8}" name="WS_2m_Max" dataDxfId="1299"/>
    <tableColumn id="32" xr3:uid="{E799522B-4426-4B7A-BAA1-BB9E17444476}" name="GDD_Adjust" dataDxfId="1298">
      <calculatedColumnFormula>IFERROR((Y330-X330)/AA330,0)</calculatedColumnFormula>
    </tableColumn>
    <tableColumn id="33" xr3:uid="{73A71915-897C-4D81-8CE2-5AB8EDED913B}" name="pH_Min" dataDxfId="1297"/>
    <tableColumn id="34" xr3:uid="{A43813B8-40CA-4F7F-9D5E-A464B2D4A43B}" name="pH_Max" dataDxfId="1296"/>
    <tableColumn id="87" xr3:uid="{1542E53D-5AE3-4734-BAD0-C49181333724}" name="ECt" dataDxfId="1295"/>
    <tableColumn id="88" xr3:uid="{2F1F4FA2-D6C6-432E-8486-6C47616D7639}" name="Slope" dataDxfId="1294"/>
    <tableColumn id="35" xr3:uid="{860132E1-301A-4A62-A011-0973AACE387E}" name="CWR_Min" dataDxfId="1293"/>
    <tableColumn id="36" xr3:uid="{08F9C2F6-437E-4ECA-A54B-E16805485EC1}" name="CWR_Max" dataDxfId="1292"/>
    <tableColumn id="37" xr3:uid="{3E194998-C160-4DDF-B5C3-BB3F0F1911A5}" name="Sowing_Depth_cm" dataDxfId="1291"/>
    <tableColumn id="38" xr3:uid="{896E24F9-1753-4DE2-8AE0-0BEF4340799B}" name="Root_Depth_cm" dataDxfId="1290"/>
    <tableColumn id="39" xr3:uid="{A09676B4-54A5-4285-849D-868C34A54D8B}" name="Stress_Tolerance_Index" dataDxfId="1289"/>
    <tableColumn id="40" xr3:uid="{2B9C744F-7802-4D13-8128-43F9A72FDD67}" name="Row_Spacing_cm" dataDxfId="1288"/>
    <tableColumn id="41" xr3:uid="{CDDF2697-AB99-4CA3-9C21-04B96D26EC84}" name="Plant_to_Plant_cm" dataDxfId="1287"/>
    <tableColumn id="42" xr3:uid="{33F4AF35-68D3-4093-B2EC-6A85871B7C99}" name="Seed_Per_Spot" dataDxfId="1286"/>
    <tableColumn id="43" xr3:uid="{B8D4F5EE-3AA4-4E2B-9FFE-AB780831CEEB}" name="Seed_Rate_m2" dataDxfId="1285">
      <calculatedColumnFormula>IFERROR(10000/(AS330*AR330),0)*AT330</calculatedColumnFormula>
    </tableColumn>
    <tableColumn id="44" xr3:uid="{4C591D21-3E8A-44BE-BB36-2585C6D84C26}" name="Seed_Weight_kg/ha" dataDxfId="1284">
      <calculatedColumnFormula>ROUND((P330/1000000)*AU330*10000,2)</calculatedColumnFormula>
    </tableColumn>
    <tableColumn id="45" xr3:uid="{B14F21E2-D400-42FA-BF15-64346263BEB3}" name="Germination_%" dataDxfId="1283"/>
    <tableColumn id="46" xr3:uid="{FAA7F2CA-4DBC-4384-A3DC-2BCCC9593535}" name="Effective_Plants_m2" dataDxfId="1282">
      <calculatedColumnFormula>IFERROR((AU330*AW330/100),0)</calculatedColumnFormula>
    </tableColumn>
    <tableColumn id="47" xr3:uid="{74D0CDA3-E703-43BA-AC42-B1682C2E033C}" name="Tillers_Per_Plant" dataDxfId="1281"/>
    <tableColumn id="48" xr3:uid="{37605076-FC6F-40E4-AD80-9E7536077618}" name="Shoots_Per_m2" dataDxfId="1280">
      <calculatedColumnFormula>IFERROR(AX330*AY330,0)</calculatedColumnFormula>
    </tableColumn>
    <tableColumn id="49" xr3:uid="{64A1BD28-2B78-4BD0-B2C2-F64A3C6389ED}" name="Survival_Ratio" dataDxfId="1279"/>
    <tableColumn id="50" xr3:uid="{7A5D4702-EEC7-4364-BA75-AFC69040881C}" name="Shoot_Bearing_m2" dataDxfId="1278">
      <calculatedColumnFormula>IFERROR(AZ330*BA330,0)</calculatedColumnFormula>
    </tableColumn>
    <tableColumn id="51" xr3:uid="{46390557-942B-4B72-ADF3-DE1284FD3691}" name="Leaf_Area_Per_Shoot_m2" dataDxfId="1277"/>
    <tableColumn id="52" xr3:uid="{452E931A-0D1B-4746-AED8-C01480AE484C}" name="Start_LAI" dataDxfId="1276">
      <calculatedColumnFormula>IFERROR(
  MAX(0.05, MIN(0.5, CropNorms_SugarBeet[[#This Row],[Leaf_Area_Per_Shoot_m2]] * CropNorms_SugarBeet[[#This Row],[Shoot_Bearing_m2]] )),
  0.2
)</calculatedColumnFormula>
    </tableColumn>
    <tableColumn id="53" xr3:uid="{481751E5-6D05-40DB-A7FD-3A2FD3D029A1}" name="LAI_Start_GDD" dataDxfId="1275">
      <calculatedColumnFormula>_xlfn.XLOOKUP(CropNorms_SugarBeet[[#This Row],[LAI_Start_BBCH]], CropPhenology_SugarBeet[Sub_Stage], CropPhenology_SugarBeet[Start_GDD], "Not Found")</calculatedColumnFormula>
    </tableColumn>
    <tableColumn id="54" xr3:uid="{1978CD77-4BD8-4A4C-AF6A-26AEA478E6E8}" name="Max_LAI" dataDxfId="1274">
      <calculatedColumnFormula>ROUND(CropNorms_SugarBeet[[#This Row],[Shoot_Bearing_m2]]*CropNorms_SugarBeet[[#This Row],[Leaf_Area_Per_Shoot_m2]],2)</calculatedColumnFormula>
    </tableColumn>
    <tableColumn id="55" xr3:uid="{510BD39A-3D4C-4E3A-90F4-B2A8C43A9775}" name="LAI_Max_GDD" dataDxfId="1273">
      <calculatedColumnFormula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calculatedColumnFormula>
    </tableColumn>
    <tableColumn id="56" xr3:uid="{62C7F4DC-C344-4F3A-852B-22A37F0489D1}" name="End_LAI" dataDxfId="1272">
      <calculatedColumnFormula>IF(CropNorms_SugarBeet[[#This Row],[Max_LAI]]&gt;=1.2, 0.85*CropNorms_SugarBeet[[#This Row],[Max_LAI]], 1)</calculatedColumnFormula>
    </tableColumn>
    <tableColumn id="57" xr3:uid="{6F17CE50-A39F-4F43-9C6A-FD34017D077F}" name="LAI_End_GDD" dataDxfId="1271">
      <calculatedColumnFormula>_xlfn.XLOOKUP(CropNorms_SugarBeet[[#This Row],[LAI_End_BBCH]], CropPhenology_SugarBeet[Sub_Stage], CropPhenology_SugarBeet[End_GDD], "Not Found")</calculatedColumnFormula>
    </tableColumn>
    <tableColumn id="58" xr3:uid="{BD271C16-DAF1-4667-8D95-ACBC08F9C53A}" name="RUE_Max" dataDxfId="1270">
      <calculatedColumnFormula array="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9457A498-2236-47AA-AC87-E9926BBE9EB0}" name="RUE_Asymptote_Frac" dataDxfId="1269">
      <calculatedColumnFormula array="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6D970F0-6D21-4886-980A-21FF429FAE29}" name="RUE_LAI_Half_Sat" dataDxfId="1268">
      <calculatedColumnFormula array="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55D4D70-FD50-4D7D-9025-04A98FECD206}" name="RUE_Daily_Delta_Max" dataDxfId="1267">
      <calculatedColumnFormula array="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8F0F5EF-A525-4820-906E-C32A203E50C3}" name="HI" dataDxfId="1266"/>
    <tableColumn id="63" xr3:uid="{49DA0F68-04FD-4D44-9080-CA93F3922074}" name="DM:FM" dataDxfId="1265"/>
    <tableColumn id="64" xr3:uid="{7C10204D-47DB-4854-BECB-2029395AA842}" name="Yield_t/ha" dataDxfId="1264"/>
    <tableColumn id="65" xr3:uid="{0F61CA38-DA65-4AB5-A495-52A578CCB762}" name="Yield_Type" dataDxfId="1263"/>
    <tableColumn id="66" xr3:uid="{5E72DBE6-5349-417D-880B-C61BCED8B705}" name="LAI_Start_BBCH" dataDxfId="1262">
      <calculatedColumnFormula array="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2ACCD65-23E5-458D-80A0-937A23557466}" name="LAI_Max_BBCH" dataDxfId="1261">
      <calculatedColumnFormula array="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419697A-F45F-4176-B4DF-6871D2A8A609}" name="LAI_End_BBCH" dataDxfId="1260">
      <calculatedColumnFormula array="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0608257-CF0B-47BB-8F69-C6A360EBC500}" name="Fruiting_Start_BBCH" dataDxfId="1259">
      <calculatedColumnFormula array="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29FDE2A-E59B-40EA-BE0F-601EC42E1C0D}" name="N_Deficiency_kg/ha" dataDxfId="1258"/>
    <tableColumn id="71" xr3:uid="{075DA62B-B28E-4C37-AD88-AAC7D10FB6CC}" name="P_Deficiency_kg/ha" dataDxfId="1257"/>
    <tableColumn id="72" xr3:uid="{8FB42021-4C1E-4864-8927-5EBC21454358}" name="K_deficiency_kg/ha" dataDxfId="1256"/>
    <tableColumn id="73" xr3:uid="{442ED25D-C283-4CB8-A274-7F94082FF364}" name="Sowing_Start_Season" dataDxfId="1255"/>
    <tableColumn id="74" xr3:uid="{7D9ABEF5-64CA-4A3A-A637-9C8F23B235A4}" name="Sowing_End_Season" dataDxfId="1254"/>
    <tableColumn id="75" xr3:uid="{5F3A40A6-7215-4100-ACC2-60FF93B0963A}" name="Sand" dataDxfId="1253"/>
    <tableColumn id="76" xr3:uid="{606591D1-6A54-40D1-8FB1-113BB297F7E3}" name="Loamy Sand" dataDxfId="1252"/>
    <tableColumn id="77" xr3:uid="{992D0181-CE8C-45E8-A578-471E9CAD1E86}" name="Sandy Loam" dataDxfId="1251"/>
    <tableColumn id="78" xr3:uid="{3EE0E0F8-651B-4244-A265-32698AD1D80E}" name="Loam" dataDxfId="1250"/>
    <tableColumn id="79" xr3:uid="{02713365-CA27-46F1-99AD-86AC6D4AFB73}" name="Silt Loam" dataDxfId="1249"/>
    <tableColumn id="80" xr3:uid="{42C2E00B-67FE-4448-BF25-F3383C36595D}" name="Clay Loam" dataDxfId="1248"/>
    <tableColumn id="81" xr3:uid="{2BD42FDF-AA73-4B1A-91FF-50DEB6DC10AF}" name="Silt" dataDxfId="1247"/>
    <tableColumn id="82" xr3:uid="{6389F58B-C5B2-4B79-9AC4-0D3E0EA13627}" name="Sandy Clay" dataDxfId="1246"/>
    <tableColumn id="83" xr3:uid="{33016F06-BF84-4026-8B5C-4F126E02C948}" name="Silty Clay Loam" dataDxfId="1245"/>
    <tableColumn id="84" xr3:uid="{6C194EA1-B53D-4060-91D7-D5AFE468515C}" name="Silty Clay" dataDxfId="1244"/>
    <tableColumn id="85" xr3:uid="{1DB95AA5-644B-4762-BCBD-36A796B22FD4}" name="Clay" dataDxfId="1243"/>
    <tableColumn id="86" xr3:uid="{68A9C34C-EE71-4056-AF61-DC2166B28B50}" name="Sandy Clay Loam" dataDxfId="1242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679CDAFF-2793-424F-B4AB-98D08EBC6610}" name="CropNorms_Sunflower" displayName="CropNorms_Sunflower" ref="B343:CL363" totalsRowShown="0" headerRowDxfId="1241" dataDxfId="1239" headerRowBorderDxfId="1240" tableBorderDxfId="1238">
  <tableColumns count="89">
    <tableColumn id="1" xr3:uid="{8C2DA96B-E9D6-492D-A90D-731BD39A6A5F}" name="Crop_Name" dataDxfId="1237"/>
    <tableColumn id="2" xr3:uid="{78712EF6-E97F-4F37-B6EF-C408506A289C}" name="Variety_Name" dataDxfId="1236"/>
    <tableColumn id="3" xr3:uid="{5F9E68C2-406A-45F4-A3D4-E59D6E02D5B1}" name="Variety_Type" dataDxfId="1235"/>
    <tableColumn id="4" xr3:uid="{BE45C553-F2E8-4DC4-8FD9-CC572AD2F828}" name="Height_Class" dataDxfId="1234"/>
    <tableColumn id="5" xr3:uid="{6F4DE0F4-BF8B-486B-8CB9-A11D9AA31ADC}" name="Height_cm" dataDxfId="1233"/>
    <tableColumn id="6" xr3:uid="{E4432CBF-F9A3-4184-8B0A-658FAC23B44C}" name="Nutrient_Content" dataDxfId="1232"/>
    <tableColumn id="7" xr3:uid="{788BF3CB-C597-4C41-BFC9-7D9D66462EAC}" name="Common_Disease_Tolerance" dataDxfId="1231"/>
    <tableColumn id="8" xr3:uid="{0FAF236E-3DC5-4CDA-82F6-DFE62C4F05CA}" name="Common_Pest_Tolerance" dataDxfId="1230"/>
    <tableColumn id="9" xr3:uid="{CF2CD1CA-186D-42EC-A6A4-A810F8B5E5E6}" name="Environmental_Resilience" dataDxfId="1229"/>
    <tableColumn id="10" xr3:uid="{3751BFF4-557D-461E-9BF7-C7ACB040358E}" name="Category" dataDxfId="1228"/>
    <tableColumn id="11" xr3:uid="{DEF57AE5-0196-4D1A-B9CC-317416A0A467}" name="Country" dataDxfId="1227"/>
    <tableColumn id="12" xr3:uid="{6190C40B-73CD-4C7E-8409-7C2B339C087E}" name="Season" dataDxfId="1226"/>
    <tableColumn id="13" xr3:uid="{DD3FB0CF-734E-4579-910D-F15D4810CD3A}" name="PAR" dataDxfId="1225"/>
    <tableColumn id="14" xr3:uid="{7A3AADBF-D706-4B3A-B8B0-16DED58EDCCD}" name="Region" dataDxfId="1224"/>
    <tableColumn id="15" xr3:uid="{12FF88B2-74AF-47F2-833D-330413829A61}" name="Seed_Weight_mg" dataDxfId="1223"/>
    <tableColumn id="16" xr3:uid="{564594E3-302E-45A9-B5BA-C89CECA021FD}" name="Crop_Min_Temp" dataDxfId="1222"/>
    <tableColumn id="17" xr3:uid="{0ADE9968-D96F-4FEE-B8D1-4CA4A14EBC8C}" name="Base_Temp" dataDxfId="1221"/>
    <tableColumn id="18" xr3:uid="{81C904D9-EC47-467A-BA5D-CAA79DE47916}" name="Opt._Temp" dataDxfId="1220"/>
    <tableColumn id="19" xr3:uid="{2C11DF63-0581-4B52-9D11-B57E31073D03}" name="Upper_Temp" dataDxfId="1219"/>
    <tableColumn id="89" xr3:uid="{840824C2-339F-4092-A9E9-6C098D979B62}" name="Loss / Degree" dataDxfId="1218"/>
    <tableColumn id="20" xr3:uid="{5C505F06-3E93-4678-9DC1-2C912F21AC13}" name="Min_Days" dataDxfId="1217"/>
    <tableColumn id="21" xr3:uid="{12378681-AADA-43F2-B7D9-2A7FC7B84E89}" name="Max_Days" dataDxfId="1216"/>
    <tableColumn id="22" xr3:uid="{445DC436-B77F-4F80-9341-3100824236DC}" name="Ripening_S_GDD" dataDxfId="1215">
      <calculatedColumnFormula>_xlfn.XLOOKUP("Ripening", CropPhenology_Sunflower[Main_Stage], CropPhenology_Sunflower[Start_GDD], "Not Found")</calculatedColumnFormula>
    </tableColumn>
    <tableColumn id="23" xr3:uid="{5E893744-1BA3-4DB9-AAC6-20A799C3943C}" name="Ripening_E_GDD" dataDxfId="1214">
      <calculatedColumnFormula array="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calculatedColumnFormula>
    </tableColumn>
    <tableColumn id="24" xr3:uid="{AF801C64-90A0-4B5F-AD56-F33FBB3A3AFD}" name="Avg. Daily GDD" dataDxfId="1213">
      <calculatedColumnFormula>MIN(Y344/V344,MAX(X344/W344,R344,(X344/W344+Y344/V344)/2))</calculatedColumnFormula>
    </tableColumn>
    <tableColumn id="25" xr3:uid="{3386D9C2-257F-4D51-A688-336F767D4B50}" name="Days_to_Ripening" dataDxfId="1212">
      <calculatedColumnFormula>Y344/Z344</calculatedColumnFormula>
    </tableColumn>
    <tableColumn id="26" xr3:uid="{8C82B445-ABA6-4D3B-A721-B67758DD0DE3}" name="Sunshine" dataDxfId="1211"/>
    <tableColumn id="27" xr3:uid="{39EFBEA8-0246-4046-9340-B3A2AA484C88}" name="Soil_Temp_Min" dataDxfId="1210"/>
    <tableColumn id="28" xr3:uid="{FC12149A-CD13-4FC4-A46F-AB48B78F2CB8}" name="VPA_Max" dataDxfId="1209"/>
    <tableColumn id="29" xr3:uid="{7A3139C1-FA6A-4326-92F3-64B42695EBCF}" name="Humidity_Max" dataDxfId="1208"/>
    <tableColumn id="30" xr3:uid="{8CBF5838-C059-48A4-AD8A-E1C0C16C9EDA}" name="Dew_Point_Min" dataDxfId="1207"/>
    <tableColumn id="31" xr3:uid="{B650B661-7460-4B52-A3A7-2A5BE9354886}" name="WS_2m_Max" dataDxfId="1206"/>
    <tableColumn id="32" xr3:uid="{79A28CCF-AB89-4B69-A3DA-5F5F70BBF979}" name="GDD_Adjust" dataDxfId="1205">
      <calculatedColumnFormula>IFERROR((Y344-X344)/AA344,0)</calculatedColumnFormula>
    </tableColumn>
    <tableColumn id="33" xr3:uid="{8D3F559E-EAAA-420E-84E7-B9B2245ED7E3}" name="pH_Min" dataDxfId="1204"/>
    <tableColumn id="34" xr3:uid="{00B15413-60D0-4FF6-8609-3EB2899DA93B}" name="pH_Max" dataDxfId="1203"/>
    <tableColumn id="87" xr3:uid="{3C78BDBB-34E0-49B5-9B7F-110C0ABA4D6F}" name="ECt" dataDxfId="1202"/>
    <tableColumn id="88" xr3:uid="{0CA36D50-891D-424C-A8BA-697DA5921147}" name="Slope" dataDxfId="1201"/>
    <tableColumn id="35" xr3:uid="{7AAFCA16-E94C-40EC-90C4-33760103906D}" name="CWR_Min" dataDxfId="1200"/>
    <tableColumn id="36" xr3:uid="{19B60DDE-0F03-4F43-9CEE-E29B8C7AF405}" name="CWR_Max" dataDxfId="1199"/>
    <tableColumn id="37" xr3:uid="{BAC22B9D-60CB-4E01-9A50-70295F575F83}" name="Sowing_Depth_cm" dataDxfId="1198"/>
    <tableColumn id="38" xr3:uid="{71C6AD7C-B087-47B6-A7A9-CA3E6004720A}" name="Root_Depth_cm" dataDxfId="1197"/>
    <tableColumn id="39" xr3:uid="{421F5C25-CFCA-42DF-9EF9-3452D24A615B}" name="Stress_Tolerance_Index" dataDxfId="1196"/>
    <tableColumn id="40" xr3:uid="{F981FBF1-6212-4169-AD41-BEE97C4448E5}" name="Row_Spacing_cm" dataDxfId="1195"/>
    <tableColumn id="41" xr3:uid="{8EE3F432-F18F-4E9A-B5C8-CF54C0F69A06}" name="Plant_to_Plant_cm" dataDxfId="1194"/>
    <tableColumn id="42" xr3:uid="{CD7EC124-C456-410D-8AF2-B2AFCC5F4125}" name="Seed_Per_Spot" dataDxfId="1193"/>
    <tableColumn id="43" xr3:uid="{3821AAB8-B219-4ABD-933E-95298D631433}" name="Seed_Rate_m2" dataDxfId="1192">
      <calculatedColumnFormula>IFERROR(10000/(AS344*AR344),0)*AT344</calculatedColumnFormula>
    </tableColumn>
    <tableColumn id="44" xr3:uid="{D11245AA-924B-433B-95BD-D921213F83EB}" name="Seed_Weight_kg/ha" dataDxfId="1191">
      <calculatedColumnFormula>ROUND((P344/1000000)*AU344*10000,2)</calculatedColumnFormula>
    </tableColumn>
    <tableColumn id="45" xr3:uid="{EC5FCD51-5167-4ED6-94F5-C36E185DA086}" name="Germination_%" dataDxfId="1190"/>
    <tableColumn id="46" xr3:uid="{E67D82F3-A28F-4B68-9251-38E0E05D75BA}" name="Effective_Plants_m2" dataDxfId="1189">
      <calculatedColumnFormula>IFERROR((AU344*AW344/100),0)</calculatedColumnFormula>
    </tableColumn>
    <tableColumn id="47" xr3:uid="{1C170C4F-29B5-4022-B6D8-FB6DA49EF1DE}" name="Tillers_Per_Plant" dataDxfId="1188"/>
    <tableColumn id="48" xr3:uid="{90D17775-BDDB-486F-9451-169DB6DE6263}" name="Shoots_Per_m2" dataDxfId="1187">
      <calculatedColumnFormula>IFERROR(AX344*AY344,0)</calculatedColumnFormula>
    </tableColumn>
    <tableColumn id="49" xr3:uid="{F0BF39BA-CEDE-418D-B3D3-64A992352602}" name="Survival_Ratio" dataDxfId="1186"/>
    <tableColumn id="50" xr3:uid="{3C4757CE-F842-4CF0-9884-1FC6246C782B}" name="Shoot_Bearing_m2" dataDxfId="1185">
      <calculatedColumnFormula>IFERROR(AZ344*BA344,0)</calculatedColumnFormula>
    </tableColumn>
    <tableColumn id="51" xr3:uid="{8A21F85D-2991-4D09-ACCD-67EDEA3DBEAB}" name="Leaf_Area_Per_Shoot_m2" dataDxfId="1184"/>
    <tableColumn id="52" xr3:uid="{66818545-421A-44A2-B7B7-2E7259D0AC71}" name="Start_LAI" dataDxfId="1183">
      <calculatedColumnFormula>IFERROR(
  MAX(0.05, MIN(0.5, CropNorms_Sunflower[[#This Row],[Leaf_Area_Per_Shoot_m2]] * CropNorms_Sunflower[[#This Row],[Shoot_Bearing_m2]] )),
  0.2
)</calculatedColumnFormula>
    </tableColumn>
    <tableColumn id="53" xr3:uid="{D922E2D7-4970-494C-80AC-56AE78B12158}" name="LAI_Start_GDD" dataDxfId="1182">
      <calculatedColumnFormula>_xlfn.XLOOKUP(CropNorms_Sunflower[[#This Row],[LAI_Start_BBCH]], CropPhenology_Sunflower[Sub_Stage], CropPhenology_Sunflower[Start_GDD], "Not Found")</calculatedColumnFormula>
    </tableColumn>
    <tableColumn id="54" xr3:uid="{4A4FA5CD-1716-420F-8CDC-31D025757BED}" name="Max_LAI" dataDxfId="1181">
      <calculatedColumnFormula>ROUND(CropNorms_Sunflower[[#This Row],[Shoot_Bearing_m2]]*CropNorms_Sunflower[[#This Row],[Leaf_Area_Per_Shoot_m2]],2)</calculatedColumnFormula>
    </tableColumn>
    <tableColumn id="55" xr3:uid="{0C2CBB5C-55A2-432E-9037-5DE9BE9049C7}" name="LAI_Max_GDD" dataDxfId="1180">
      <calculatedColumnFormula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calculatedColumnFormula>
    </tableColumn>
    <tableColumn id="56" xr3:uid="{ADD2276F-D854-4FD0-8897-FD82739CFF8F}" name="End_LAI" dataDxfId="1179">
      <calculatedColumnFormula>IF(CropNorms_Sunflower[[#This Row],[Max_LAI]]&gt;=1.2, 0.85*CropNorms_Sunflower[[#This Row],[Max_LAI]], 1)</calculatedColumnFormula>
    </tableColumn>
    <tableColumn id="57" xr3:uid="{8A6275CA-43FF-4136-AA82-E29EBC75EA14}" name="LAI_End_GDD" dataDxfId="1178">
      <calculatedColumnFormula>_xlfn.XLOOKUP(CropNorms_Sunflower[[#This Row],[LAI_End_BBCH]], CropPhenology_Sunflower[Sub_Stage], CropPhenology_Sunflower[End_GDD], "Not Found")</calculatedColumnFormula>
    </tableColumn>
    <tableColumn id="58" xr3:uid="{1AACC070-D6AA-41B3-8D0D-957F8D2D20B3}" name="RUE_Max" dataDxfId="1177">
      <calculatedColumnFormula array="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86B39AB-663C-47E2-A27F-A2742845D51D}" name="RUE_Asymptote_Frac" dataDxfId="1176">
      <calculatedColumnFormula array="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A917CE25-313C-417D-9DC8-62F9C863FF73}" name="RUE_LAI_Half_Sat" dataDxfId="1175">
      <calculatedColumnFormula array="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87549A4-D6F6-4D50-8805-501AAACA4855}" name="RUE_Daily_Delta_Max" dataDxfId="1174">
      <calculatedColumnFormula array="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915FBD5-9C57-498A-9447-838DDB239A1D}" name="HI" dataDxfId="1173"/>
    <tableColumn id="63" xr3:uid="{EB29C2EB-1E52-4C7E-A8A6-5DEB4501BA09}" name="DM:FM" dataDxfId="1172"/>
    <tableColumn id="64" xr3:uid="{B3CC90CE-3483-4190-9CAA-83D4F6832C6B}" name="Yield_t/ha" dataDxfId="1171"/>
    <tableColumn id="65" xr3:uid="{175262C8-F5C9-4697-8C12-08CA26D737A7}" name="Yield_Type" dataDxfId="1170"/>
    <tableColumn id="66" xr3:uid="{D3AE6C6E-BD4C-49A3-A107-DC81601308B9}" name="LAI_Start_BBCH" dataDxfId="1169">
      <calculatedColumnFormula array="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8196E43-7C73-45D2-9297-53CD3B40738D}" name="LAI_Max_BBCH" dataDxfId="1168">
      <calculatedColumnFormula array="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23314B4-8C8C-44AB-9177-0D7342A7A3ED}" name="LAI_End_BBCH" dataDxfId="1167">
      <calculatedColumnFormula array="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0AE5EC0F-1382-4D95-A1C6-B5F394CD8276}" name="Fruiting_Start_BBCH" dataDxfId="1166">
      <calculatedColumnFormula array="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4F2ACBF-283C-460E-8003-051C42B069D5}" name="N_Deficiency_kg/ha" dataDxfId="1165"/>
    <tableColumn id="71" xr3:uid="{1DDE0DFD-24FD-4B1F-B52E-B2015B629C61}" name="P_Deficiency_kg/ha" dataDxfId="1164"/>
    <tableColumn id="72" xr3:uid="{72242C5D-FF69-4AF7-8810-FEB6C8BC22F9}" name="K_deficiency_kg/ha" dataDxfId="1163"/>
    <tableColumn id="73" xr3:uid="{06CD1E36-865D-4051-89E9-F694FBC28A2C}" name="Sowing_Start_Season" dataDxfId="1162"/>
    <tableColumn id="74" xr3:uid="{F0EE63E4-6F20-48B7-BD58-AB29E7D6505D}" name="Sowing_End_Season" dataDxfId="1161"/>
    <tableColumn id="75" xr3:uid="{8A7B28AD-A71F-42FA-BA73-48CBB03B3839}" name="Sand" dataDxfId="1160"/>
    <tableColumn id="76" xr3:uid="{B57632A0-CF1E-49B3-AC5A-09DBDCA62B97}" name="Loamy Sand" dataDxfId="1159"/>
    <tableColumn id="77" xr3:uid="{46657FFB-EC1A-46DC-AE0E-B64A2F2F7ACB}" name="Sandy Loam" dataDxfId="1158"/>
    <tableColumn id="78" xr3:uid="{6772A17A-4B86-4AA2-9A04-15F4F7D92DF5}" name="Loam" dataDxfId="1157"/>
    <tableColumn id="79" xr3:uid="{896057DA-CDC8-49DE-ACE9-CDC71F21C08B}" name="Silt Loam" dataDxfId="1156"/>
    <tableColumn id="80" xr3:uid="{8860E0D7-7EFA-4AB7-AD75-B5A95232CB74}" name="Clay Loam" dataDxfId="1155"/>
    <tableColumn id="81" xr3:uid="{4DD8BEB5-0F5D-41BF-9DFE-F0F3A9F19D5B}" name="Silt" dataDxfId="1154"/>
    <tableColumn id="82" xr3:uid="{EDA4DD06-8A93-45CB-AF02-4387FBE5995E}" name="Sandy Clay" dataDxfId="1153"/>
    <tableColumn id="83" xr3:uid="{5FF3E889-E568-472F-86F3-8EB32A99ADAE}" name="Silty Clay Loam" dataDxfId="1152"/>
    <tableColumn id="84" xr3:uid="{0D037483-6D9A-4385-9044-C4A592E33D4B}" name="Silty Clay" dataDxfId="1151"/>
    <tableColumn id="85" xr3:uid="{E84B9462-AE4B-48C5-8A52-5F2650353C5B}" name="Clay" dataDxfId="1150"/>
    <tableColumn id="86" xr3:uid="{E274A49A-B33B-45C2-B322-F0EF4531D415}" name="Sandy Clay Loam" dataDxfId="1149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32ED5692-500E-4479-A541-69A38CE3ED62}" name="CropNorms_TindaGroud" displayName="CropNorms_TindaGroud" ref="B365:CL368" totalsRowShown="0" headerRowDxfId="1148" dataDxfId="1146" headerRowBorderDxfId="1147" tableBorderDxfId="1145">
  <tableColumns count="89">
    <tableColumn id="1" xr3:uid="{A9648A3E-41AC-4294-9D26-AD8183C92922}" name="Crop_Name" dataDxfId="1144"/>
    <tableColumn id="2" xr3:uid="{94F12A58-51E6-43CE-BC30-1BF9C640FA7D}" name="Variety_Name" dataDxfId="1143"/>
    <tableColumn id="3" xr3:uid="{994AE97B-C07F-4C1D-AB09-B8EEABF20405}" name="Variety_Type" dataDxfId="1142"/>
    <tableColumn id="4" xr3:uid="{F585B336-0D14-4A63-962C-B30478D1FBE6}" name="Height_Class" dataDxfId="1141"/>
    <tableColumn id="5" xr3:uid="{9BEE074F-0D4A-4DC6-A753-2A35FD8C861C}" name="Height_cm" dataDxfId="1140"/>
    <tableColumn id="6" xr3:uid="{F2C71E7F-9A58-4D90-8A96-65A8BF0715D0}" name="Nutrient_Content" dataDxfId="1139"/>
    <tableColumn id="7" xr3:uid="{CDF5C6C5-A8C7-46DF-8127-EBFD3C7D9EA2}" name="Common_Disease_Tolerance" dataDxfId="1138"/>
    <tableColumn id="8" xr3:uid="{4BE819B3-730C-4589-B0EA-2230E04319EE}" name="Common_Pest_Tolerance" dataDxfId="1137"/>
    <tableColumn id="9" xr3:uid="{B20AAFDF-C5DB-4BE6-B58D-4D3E86DFA1C2}" name="Environmental_Resilience" dataDxfId="1136"/>
    <tableColumn id="10" xr3:uid="{C8D77A9A-E9C6-482E-9D7F-FFDE03EF0DD2}" name="Category" dataDxfId="1135"/>
    <tableColumn id="11" xr3:uid="{8635AB0D-7A61-425F-B688-11D8E7E8D1EB}" name="Country" dataDxfId="1134"/>
    <tableColumn id="12" xr3:uid="{BCA5CA38-1973-4392-A214-1912EB00EBE5}" name="Season" dataDxfId="1133"/>
    <tableColumn id="13" xr3:uid="{66822803-4E4A-4016-81BC-8C817E7ED9E7}" name="PAR" dataDxfId="1132"/>
    <tableColumn id="14" xr3:uid="{DDF04BA0-C122-4D9F-A3F9-0BE909DC80CF}" name="Region" dataDxfId="1131"/>
    <tableColumn id="15" xr3:uid="{8D39672E-47EB-482C-946F-3C9ECEA2AF6B}" name="Seed_Weight_mg" dataDxfId="1130"/>
    <tableColumn id="16" xr3:uid="{ED15C482-9E1C-4717-8888-69D284DA4321}" name="Crop_Min_Temp" dataDxfId="1129"/>
    <tableColumn id="17" xr3:uid="{E0BCB203-39DF-42F9-A50B-FAB55E94AD6B}" name="Base_Temp" dataDxfId="1128"/>
    <tableColumn id="18" xr3:uid="{0B664F29-4426-43AA-9668-161563E34B84}" name="Opt._Temp" dataDxfId="1127"/>
    <tableColumn id="19" xr3:uid="{93A55544-F914-4570-9763-61503310E42C}" name="Upper_Temp" dataDxfId="1126"/>
    <tableColumn id="89" xr3:uid="{DE92E661-D538-44D7-8F81-56D6EAA19648}" name="Loss / Degree" dataDxfId="1125"/>
    <tableColumn id="20" xr3:uid="{E842E4D2-E84C-48D1-9883-DC8F52709E9C}" name="Min_Days" dataDxfId="1124"/>
    <tableColumn id="21" xr3:uid="{419F67C8-3312-467C-9B61-385F697A1B56}" name="Max_Days" dataDxfId="1123"/>
    <tableColumn id="22" xr3:uid="{C03B274E-DCC0-49E2-AF52-8076655F7395}" name="Ripening_S_GDD" dataDxfId="1122">
      <calculatedColumnFormula>_xlfn.XLOOKUP("Ripening", CropPhenology_TindaGourd[Main_Stage], CropPhenology_TindaGourd[Start_GDD], "Not Found")</calculatedColumnFormula>
    </tableColumn>
    <tableColumn id="23" xr3:uid="{05DB741B-70F6-4DCF-A4CA-D58713104023}" name="Ripening_E_GDD" dataDxfId="1121">
      <calculatedColumnFormula array="1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calculatedColumnFormula>
    </tableColumn>
    <tableColumn id="24" xr3:uid="{33A57813-A5EE-446F-89DC-8A52416F8C63}" name="Avg. Daily GDD" dataDxfId="1120">
      <calculatedColumnFormula>MIN(Y366/V366,MAX(X366/W366,R366,(X366/W366+Y366/V366)/2))</calculatedColumnFormula>
    </tableColumn>
    <tableColumn id="25" xr3:uid="{77122B71-87CC-4A92-8D7F-224BB4DB833C}" name="Days_to_Ripening" dataDxfId="1119">
      <calculatedColumnFormula>Y366/Z366</calculatedColumnFormula>
    </tableColumn>
    <tableColumn id="26" xr3:uid="{056F1DFE-0558-4F55-A5B4-27FDD73AB5E5}" name="Sunshine" dataDxfId="1118"/>
    <tableColumn id="27" xr3:uid="{68950D3A-AB3E-4271-A145-0B584F22A812}" name="Soil_Temp_Min" dataDxfId="1117"/>
    <tableColumn id="28" xr3:uid="{8C9039EE-3725-414F-A87F-3D097E3DF5FE}" name="VPA_Max" dataDxfId="1116"/>
    <tableColumn id="29" xr3:uid="{D2B959C7-420A-46A1-A72E-87AA7464A6F8}" name="Humidity_Max" dataDxfId="1115"/>
    <tableColumn id="30" xr3:uid="{3A414E14-F1D9-4445-B0B4-CA3577E69827}" name="Dew_Point_Min" dataDxfId="1114"/>
    <tableColumn id="31" xr3:uid="{8C30982C-E1E0-4E65-BF0A-A5F47183FBFF}" name="WS_2m_Max" dataDxfId="1113"/>
    <tableColumn id="32" xr3:uid="{A5BAF57C-2EAF-402C-B274-0FC4B6DF2450}" name="GDD_Adjust" dataDxfId="1112">
      <calculatedColumnFormula>IFERROR((Y366-X366)/AA366,0)</calculatedColumnFormula>
    </tableColumn>
    <tableColumn id="33" xr3:uid="{46B40C6F-1385-4448-863A-AD500B2C17ED}" name="pH_Min" dataDxfId="1111"/>
    <tableColumn id="34" xr3:uid="{F766607C-0E7F-4AE9-975E-9BDF83914DBE}" name="pH_Max" dataDxfId="1110"/>
    <tableColumn id="87" xr3:uid="{37A5C528-E24C-41D2-A3F5-782CC74A63C3}" name="ECt" dataDxfId="1109"/>
    <tableColumn id="88" xr3:uid="{ABBE7570-6302-43B8-ACF0-EE19A7F0BC49}" name="Slope" dataDxfId="1108"/>
    <tableColumn id="35" xr3:uid="{4AD51447-72A6-4705-8D31-B9517DE2241B}" name="CWR_Min" dataDxfId="1107"/>
    <tableColumn id="36" xr3:uid="{F68B72D4-C0A7-4A3F-9536-E3288DBA115B}" name="CWR_Max" dataDxfId="1106"/>
    <tableColumn id="37" xr3:uid="{F1F3614E-D95E-499C-8936-8E07A4B08CF3}" name="Sowing_Depth_cm" dataDxfId="1105"/>
    <tableColumn id="38" xr3:uid="{B67A2737-4073-4BF1-859B-5B031E4FD8EF}" name="Root_Depth_cm" dataDxfId="1104"/>
    <tableColumn id="39" xr3:uid="{ECA8A193-BA1E-461F-AB1E-A105F0B299B7}" name="Stress_Tolerance_Index" dataDxfId="1103"/>
    <tableColumn id="40" xr3:uid="{52A6552C-A8D0-4DBC-A940-0194C5A38FCC}" name="Row_Spacing_cm" dataDxfId="1102"/>
    <tableColumn id="41" xr3:uid="{2BF3E5EA-99A5-4258-BB3A-DC6E1CD8A414}" name="Plant_to_Plant_cm" dataDxfId="1101"/>
    <tableColumn id="42" xr3:uid="{66FBC0B0-1CF9-4B71-83DB-C49FA5D93A80}" name="Seed_Per_Spot" dataDxfId="1100"/>
    <tableColumn id="43" xr3:uid="{5BBF9DE5-29ED-4264-B1B2-3C01B81CC8BC}" name="Seed_Rate_m2" dataDxfId="1099">
      <calculatedColumnFormula>IFERROR(10000/(AS366*AR366),0)*AT366</calculatedColumnFormula>
    </tableColumn>
    <tableColumn id="44" xr3:uid="{315B8C8D-8B23-4C27-8731-EA4B275460CA}" name="Seed_Weight_kg/ha" dataDxfId="1098">
      <calculatedColumnFormula>ROUND((P366/1000000)*AU366*10000,2)</calculatedColumnFormula>
    </tableColumn>
    <tableColumn id="45" xr3:uid="{33027D88-C867-4A4A-8547-75EC616D0CDC}" name="Germination_%" dataDxfId="1097"/>
    <tableColumn id="46" xr3:uid="{4FA87A68-C383-4275-BBFA-FE017C4B9CF1}" name="Effective_Plants_m2" dataDxfId="1096">
      <calculatedColumnFormula>IFERROR((AU366*AW366/100),0)</calculatedColumnFormula>
    </tableColumn>
    <tableColumn id="47" xr3:uid="{5932EE79-2C4C-48EE-BA0B-F276A8DD203A}" name="Tillers_Per_Plant" dataDxfId="1095"/>
    <tableColumn id="48" xr3:uid="{9112B26E-2B7D-4FB8-9528-1FD8669C441C}" name="Shoots_Per_m2" dataDxfId="1094">
      <calculatedColumnFormula>IFERROR(AX366*AY366,0)</calculatedColumnFormula>
    </tableColumn>
    <tableColumn id="49" xr3:uid="{4A16B070-88CD-47BE-817F-15F8CB74BDC2}" name="Survival_Ratio" dataDxfId="1093"/>
    <tableColumn id="50" xr3:uid="{0D118D0B-3A18-46E5-A76F-89053F5EB992}" name="Shoot_Bearing_m2" dataDxfId="1092">
      <calculatedColumnFormula>IFERROR(AZ366*BA366,0)</calculatedColumnFormula>
    </tableColumn>
    <tableColumn id="51" xr3:uid="{A6842A89-BCC0-4710-BC54-5E22336B35D0}" name="Leaf_Area_Per_Shoot_m2" dataDxfId="1091"/>
    <tableColumn id="52" xr3:uid="{F7054038-8F29-4637-848A-92607A38595A}" name="Start_LAI" dataDxfId="1090">
      <calculatedColumnFormula>IFERROR(
  MAX(0.05, MIN(0.5, CropNorms_TindaGroud[[#This Row],[Leaf_Area_Per_Shoot_m2]] * CropNorms_TindaGroud[[#This Row],[Shoot_Bearing_m2]] )),
  0.2
)</calculatedColumnFormula>
    </tableColumn>
    <tableColumn id="53" xr3:uid="{DE3A2EE0-AC65-4874-A1B4-D2A9969035E8}" name="LAI_Start_GDD" dataDxfId="1089">
      <calculatedColumnFormula>_xlfn.XLOOKUP(CropNorms_TindaGroud[[#This Row],[LAI_Start_BBCH]], CropPhenology_TindaGourd[Sub_Stage], CropPhenology_TindaGourd[Start_GDD], "Not Found")</calculatedColumnFormula>
    </tableColumn>
    <tableColumn id="54" xr3:uid="{2AA11653-02BF-400B-A64A-FB2E1F89C719}" name="Max_LAI" dataDxfId="1088">
      <calculatedColumnFormula>ROUND(CropNorms_TindaGroud[[#This Row],[Shoot_Bearing_m2]]*CropNorms_TindaGroud[[#This Row],[Leaf_Area_Per_Shoot_m2]],2)</calculatedColumnFormula>
    </tableColumn>
    <tableColumn id="55" xr3:uid="{6C3042E6-44A4-4B95-BB56-3FE00E4BF9B6}" name="LAI_Max_GDD" dataDxfId="1087">
      <calculatedColumnFormula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calculatedColumnFormula>
    </tableColumn>
    <tableColumn id="56" xr3:uid="{6B5063A8-22EE-4DF2-9491-BB007893E820}" name="End_LAI" dataDxfId="1086">
      <calculatedColumnFormula>IF(CropNorms_TindaGroud[[#This Row],[Max_LAI]]&gt;=1.2, 0.85*CropNorms_TindaGroud[[#This Row],[Max_LAI]], 1)</calculatedColumnFormula>
    </tableColumn>
    <tableColumn id="57" xr3:uid="{E1039EB3-2F37-49CB-A2E3-59468DDDE68E}" name="LAI_End_GDD" dataDxfId="1085">
      <calculatedColumnFormula>_xlfn.XLOOKUP(CropNorms_TindaGroud[[#This Row],[LAI_End_BBCH]], CropPhenology_TindaGourd[Sub_Stage], CropPhenology_TindaGourd[End_GDD], "Not Found")</calculatedColumnFormula>
    </tableColumn>
    <tableColumn id="58" xr3:uid="{A9165589-5AA0-4DFA-8D11-3A9BA22C3B7B}" name="RUE_Max" dataDxfId="1084">
      <calculatedColumnFormula array="1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2FE897D-2DD6-47F0-91FF-EB8C7808D760}" name="RUE_Asymptote_Frac" dataDxfId="1083">
      <calculatedColumnFormula array="1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FE26D26C-2634-497D-9C2E-B498023B5C9E}" name="RUE_LAI_Half_Sat" dataDxfId="1082">
      <calculatedColumnFormula array="1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327F0EE-141A-49A8-A177-2EF522DFC086}" name="RUE_Daily_Delta_Max" dataDxfId="1081">
      <calculatedColumnFormula array="1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3459192-DEE8-4606-8AB1-44146F3363EA}" name="HI" dataDxfId="1080"/>
    <tableColumn id="63" xr3:uid="{A38B402B-08E8-42C6-8F10-F5EB6DA8813B}" name="DM:FM" dataDxfId="1079"/>
    <tableColumn id="64" xr3:uid="{7BF3CAF5-5A1B-458D-ADBB-DEB100C5B1AD}" name="Yield_t/ha" dataDxfId="1078"/>
    <tableColumn id="65" xr3:uid="{C28FC48D-5E95-44CE-B45D-363B1849B706}" name="Yield_Type" dataDxfId="1077"/>
    <tableColumn id="66" xr3:uid="{C7F11F9B-65E5-44A3-A65D-00590D58ADB2}" name="LAI_Start_BBCH" dataDxfId="1076">
      <calculatedColumnFormula array="1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0966E498-AD73-4A9D-8DB1-A166456953BC}" name="LAI_Max_BBCH" dataDxfId="1075">
      <calculatedColumnFormula array="1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173FEE8C-BE8B-4221-A0D5-6E5A4A55CFE9}" name="LAI_End_BBCH" dataDxfId="1074">
      <calculatedColumnFormula array="1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5CB8D56F-8CE0-4AED-BD30-2D6DB1879B28}" name="Fruiting_Start_BBCH" dataDxfId="1073">
      <calculatedColumnFormula array="1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62EA6AB6-095C-4538-AE26-2BFEA6C4E721}" name="N_Deficiency_kg/ha" dataDxfId="1072"/>
    <tableColumn id="71" xr3:uid="{8A0914C8-A325-4BA1-88B2-3DB3C61A5E53}" name="P_Deficiency_kg/ha" dataDxfId="1071"/>
    <tableColumn id="72" xr3:uid="{EEDEA772-1F81-4B97-B76C-34D63CA47679}" name="K_deficiency_kg/ha" dataDxfId="1070"/>
    <tableColumn id="73" xr3:uid="{02B9BBE7-0E01-4C27-BACA-3811F6BCFC01}" name="Sowing_Start_Season" dataDxfId="1069"/>
    <tableColumn id="74" xr3:uid="{C1AF3C2E-3CE5-4DD5-A3F2-639B431346FD}" name="Sowing_End_Season" dataDxfId="1068"/>
    <tableColumn id="75" xr3:uid="{B247733D-BEEA-42C1-A2C3-703A994FEDE0}" name="Sand" dataDxfId="1067"/>
    <tableColumn id="76" xr3:uid="{E9C413E6-1925-48CD-BFF5-1D63366AD687}" name="Loamy Sand" dataDxfId="1066"/>
    <tableColumn id="77" xr3:uid="{C23E5A2D-09A2-4F39-869D-216B09E63270}" name="Sandy Loam" dataDxfId="1065"/>
    <tableColumn id="78" xr3:uid="{237B9B18-B4F0-4EB4-B131-46C930C943A9}" name="Loam" dataDxfId="1064"/>
    <tableColumn id="79" xr3:uid="{2B970AE7-4EC9-4B3F-9BDF-81FAC938BCA6}" name="Silt Loam" dataDxfId="1063"/>
    <tableColumn id="80" xr3:uid="{0BD936AA-7498-4373-8C08-EB20B3889AD8}" name="Clay Loam" dataDxfId="1062"/>
    <tableColumn id="81" xr3:uid="{F871DD18-045C-4609-BC86-3CE1A870F4B8}" name="Silt" dataDxfId="1061"/>
    <tableColumn id="82" xr3:uid="{D4EF3D43-A726-463C-9958-BC1841CB8145}" name="Sandy Clay" dataDxfId="1060"/>
    <tableColumn id="83" xr3:uid="{CCD430F7-568A-4A90-ABF0-18684CFE7730}" name="Silty Clay Loam" dataDxfId="1059"/>
    <tableColumn id="84" xr3:uid="{DB482B1A-F83F-45AC-B89E-EC88ED32FF3A}" name="Silty Clay" dataDxfId="1058"/>
    <tableColumn id="85" xr3:uid="{3E3073BB-FFB9-4AE3-AB82-FAEE4E791FBB}" name="Clay" dataDxfId="1057"/>
    <tableColumn id="86" xr3:uid="{B34087FA-77A2-484B-9D67-63CA30DEFBF1}" name="Sandy Clay Loam" dataDxfId="1056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6983D99A-D82E-4BAD-9B58-739FCF2EE76A}" name="CropNorms_Tomato" displayName="CropNorms_Tomato" ref="B370:CL387" totalsRowShown="0" headerRowDxfId="1055" dataDxfId="1053" headerRowBorderDxfId="1054" tableBorderDxfId="1052">
  <tableColumns count="89">
    <tableColumn id="1" xr3:uid="{D8C9E2E1-83A7-4A26-8C4A-BF5B13924D3B}" name="Crop_Name" dataDxfId="1051"/>
    <tableColumn id="2" xr3:uid="{FE619544-6843-4618-9136-B932F5B5826C}" name="Variety_Name" dataDxfId="1050"/>
    <tableColumn id="3" xr3:uid="{29F12BE5-425D-40E8-A668-D5AC401FB682}" name="Variety_Type" dataDxfId="1049"/>
    <tableColumn id="4" xr3:uid="{777F8716-415A-4A1A-A23F-A9472DFB6E2F}" name="Height_Class" dataDxfId="1048"/>
    <tableColumn id="5" xr3:uid="{EC401916-7FB8-404E-B58A-71E18BE2DD47}" name="Height_cm" dataDxfId="1047"/>
    <tableColumn id="6" xr3:uid="{E173D03C-0445-48BE-8550-DED984A9F1D2}" name="Nutrient_Content" dataDxfId="1046"/>
    <tableColumn id="7" xr3:uid="{63367F3B-1718-4E66-8BCB-6E08AF1D83C6}" name="Common_Disease_Tolerance" dataDxfId="1045"/>
    <tableColumn id="8" xr3:uid="{46CDFAF5-E777-4CA8-BE33-D53C331A870A}" name="Common_Pest_Tolerance" dataDxfId="1044"/>
    <tableColumn id="9" xr3:uid="{060EE54C-FEF1-4EC5-843D-6EAEFA0996F7}" name="Environmental_Resilience" dataDxfId="1043"/>
    <tableColumn id="10" xr3:uid="{2898D0A6-81D9-40F1-B49A-40B2A7A50977}" name="Category" dataDxfId="1042"/>
    <tableColumn id="11" xr3:uid="{290808EF-C88B-4343-A4A1-999C331D3BA6}" name="Country" dataDxfId="1041"/>
    <tableColumn id="12" xr3:uid="{768E5613-35FB-4B5D-A7D7-A990EFC15305}" name="Season" dataDxfId="1040"/>
    <tableColumn id="13" xr3:uid="{4D283CA9-BEE6-4948-BE08-57ED831F03A4}" name="PAR" dataDxfId="1039"/>
    <tableColumn id="14" xr3:uid="{E7C1DE54-046D-4196-ADB4-1015ACD0F80B}" name="Region" dataDxfId="1038"/>
    <tableColumn id="15" xr3:uid="{0A13A2E7-8C3C-44C4-8C57-44565D6A338A}" name="Seed_Weight_mg" dataDxfId="1037"/>
    <tableColumn id="16" xr3:uid="{AC22E390-40A6-475B-BAB7-78A401B48932}" name="Crop_Min_Temp" dataDxfId="1036"/>
    <tableColumn id="17" xr3:uid="{DC99C3D7-331C-4D4D-BC6D-BB2A74C691BE}" name="Base_Temp" dataDxfId="1035"/>
    <tableColumn id="18" xr3:uid="{269AC51D-327B-421F-9226-FFE38AB1E925}" name="Opt._Temp" dataDxfId="1034"/>
    <tableColumn id="19" xr3:uid="{47DCFB14-2461-48A6-8023-A19F7974AAA6}" name="Upper_Temp" dataDxfId="1033"/>
    <tableColumn id="89" xr3:uid="{E7FD406C-28EB-411A-8532-8A7ADFEBF5A3}" name="Loss / Degree" dataDxfId="1032"/>
    <tableColumn id="20" xr3:uid="{F758B103-0D3D-4CD6-952E-85DD61EEE147}" name="Min_Days" dataDxfId="1031"/>
    <tableColumn id="21" xr3:uid="{7DCCE6C3-ECD8-4D13-BE9D-09BF8CEDECDE}" name="Max_Days" dataDxfId="1030"/>
    <tableColumn id="22" xr3:uid="{A46CA969-09A3-425B-9D09-EDC7D6A72388}" name="Ripening_S_GDD" dataDxfId="1029">
      <calculatedColumnFormula>_xlfn.XLOOKUP("Ripening", CropPhenology_Tomato[Main_Stage], CropPhenology_Tomato[Start_GDD], "Not Found")</calculatedColumnFormula>
    </tableColumn>
    <tableColumn id="23" xr3:uid="{4AB637EF-9AF7-4AFF-B353-91D486C72751}" name="Ripening_E_GDD" dataDxfId="1028">
      <calculatedColumnFormula array="1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calculatedColumnFormula>
    </tableColumn>
    <tableColumn id="24" xr3:uid="{7DB7C2DE-148A-4C1B-B65B-96BBC6BCE0CD}" name="Avg. Daily GDD" dataDxfId="1027">
      <calculatedColumnFormula>MIN(Y371/V371,MAX(X371/W371,R371,(X371/W371+Y371/V371)/2))</calculatedColumnFormula>
    </tableColumn>
    <tableColumn id="25" xr3:uid="{63083B3B-BA5B-4049-883D-2A79D54A1900}" name="Days_to_Ripening" dataDxfId="1026">
      <calculatedColumnFormula>Y371/Z371</calculatedColumnFormula>
    </tableColumn>
    <tableColumn id="26" xr3:uid="{F3AB286E-D561-4326-AA42-5BB99E7C24CA}" name="Sunshine" dataDxfId="1025"/>
    <tableColumn id="27" xr3:uid="{B58A34D1-7E09-41CC-AF86-28F4E9C4D572}" name="Soil_Temp_Min" dataDxfId="1024"/>
    <tableColumn id="28" xr3:uid="{53A8ECE1-9D16-4815-AFCA-F30D8C6F6719}" name="VPA_Max" dataDxfId="1023"/>
    <tableColumn id="29" xr3:uid="{4FAA346A-4B86-4E80-8F26-5DFF4942E5D1}" name="Humidity_Max" dataDxfId="1022"/>
    <tableColumn id="30" xr3:uid="{F31CF471-F1E1-4289-AF86-5736B68B51A4}" name="Dew_Point_Min" dataDxfId="1021"/>
    <tableColumn id="31" xr3:uid="{52D5A574-A98A-43F0-B064-4B72E93CD0DC}" name="WS_2m_Max" dataDxfId="1020"/>
    <tableColumn id="32" xr3:uid="{9CBA8190-9DCB-4FAB-8C57-EC59DCB36524}" name="GDD_Adjust" dataDxfId="1019">
      <calculatedColumnFormula>IFERROR((Y371-X371)/AA371,0)</calculatedColumnFormula>
    </tableColumn>
    <tableColumn id="33" xr3:uid="{22CEFDEC-2B2B-49C8-9377-F8DC7FE92E58}" name="pH_Min" dataDxfId="1018"/>
    <tableColumn id="34" xr3:uid="{859CC18D-D77B-44D2-B435-2395E1614DA0}" name="pH_Max" dataDxfId="1017"/>
    <tableColumn id="87" xr3:uid="{458D7A96-0767-4446-B195-3408E1A84C76}" name="ECt" dataDxfId="1016"/>
    <tableColumn id="88" xr3:uid="{FC630188-6BDE-4F48-806D-4AC7818B848F}" name="Slope" dataDxfId="1015"/>
    <tableColumn id="35" xr3:uid="{7C538A42-46F3-47FA-9777-4946E510FC43}" name="CWR_Min" dataDxfId="1014"/>
    <tableColumn id="36" xr3:uid="{01C9802F-BB58-400D-932E-0CD768148AAB}" name="CWR_Max" dataDxfId="1013"/>
    <tableColumn id="37" xr3:uid="{EE9455F0-EBCC-4018-8AF1-4AE2EC0A354A}" name="Sowing_Depth_cm" dataDxfId="1012"/>
    <tableColumn id="38" xr3:uid="{CC4313A8-416F-4540-885F-451B97697563}" name="Root_Depth_cm" dataDxfId="1011"/>
    <tableColumn id="39" xr3:uid="{177B3D37-8D7F-41DF-A11C-715A304654AB}" name="Stress_Tolerance_Index" dataDxfId="1010"/>
    <tableColumn id="40" xr3:uid="{5B1D270A-873E-40B4-89E3-FE9766F78688}" name="Row_Spacing_cm" dataDxfId="1009"/>
    <tableColumn id="41" xr3:uid="{0CCD9CD2-242A-4F39-B491-EFA3E33E2D34}" name="Plant_to_Plant_cm" dataDxfId="1008"/>
    <tableColumn id="42" xr3:uid="{B0C3B546-8864-4A80-8BD7-FC079BE66703}" name="Seed_Per_Spot" dataDxfId="1007"/>
    <tableColumn id="43" xr3:uid="{1787282C-E7C5-4E21-964D-70A656E74A90}" name="Seed_Rate_m2" dataDxfId="1006">
      <calculatedColumnFormula>IFERROR(10000/(AS371*AR371),0)*AT371</calculatedColumnFormula>
    </tableColumn>
    <tableColumn id="44" xr3:uid="{0A442B3B-09D1-464E-90C7-79FC4666F78E}" name="Seed_Weight_kg/ha" dataDxfId="1005">
      <calculatedColumnFormula>ROUND((P371/1000000)*AU371*10000,2)</calculatedColumnFormula>
    </tableColumn>
    <tableColumn id="45" xr3:uid="{87DE61CE-8E00-480A-B5FA-6287E484C237}" name="Germination_%" dataDxfId="1004"/>
    <tableColumn id="46" xr3:uid="{7F3D98C0-F02B-41AC-9543-80AE4E996A9F}" name="Effective_Plants_m2" dataDxfId="1003">
      <calculatedColumnFormula>IFERROR((AU371*AW371/100),0)</calculatedColumnFormula>
    </tableColumn>
    <tableColumn id="47" xr3:uid="{775311C4-4935-488D-996E-3DE37FF4E54D}" name="Tillers_Per_Plant" dataDxfId="1002"/>
    <tableColumn id="48" xr3:uid="{26DCAAFD-9938-4024-A8CD-C0AD5E094C68}" name="Shoots_Per_m2" dataDxfId="1001">
      <calculatedColumnFormula>IFERROR(AX371*AY371,0)</calculatedColumnFormula>
    </tableColumn>
    <tableColumn id="49" xr3:uid="{5ED23663-F8BC-4208-917C-01F58BD53524}" name="Survival_Ratio" dataDxfId="1000"/>
    <tableColumn id="50" xr3:uid="{74B03C0D-C00F-4052-BC52-75F3923066FE}" name="Shoot_Bearing_m2" dataDxfId="999">
      <calculatedColumnFormula>IFERROR(AZ371*BA371,0)</calculatedColumnFormula>
    </tableColumn>
    <tableColumn id="51" xr3:uid="{31C4ED8D-ACCF-44FD-9AB5-F6654277EA0E}" name="Leaf_Area_Per_Shoot_m2" dataDxfId="998"/>
    <tableColumn id="52" xr3:uid="{0AC85ACD-662E-46AE-8021-5C1A9ED91258}" name="Start_LAI" dataDxfId="997">
      <calculatedColumnFormula>IFERROR(
  MAX(0.05, MIN(0.5, CropNorms_Tomato[[#This Row],[Leaf_Area_Per_Shoot_m2]] * CropNorms_Tomato[[#This Row],[Shoot_Bearing_m2]] )),
  0.2
)</calculatedColumnFormula>
    </tableColumn>
    <tableColumn id="53" xr3:uid="{170D8681-57C4-4E1F-BBE3-14F8039A60E4}" name="LAI_Start_GDD" dataDxfId="996">
      <calculatedColumnFormula>_xlfn.XLOOKUP(CropNorms_Tomato[[#This Row],[LAI_Start_BBCH]], CropPhenology_Tomato[Sub_Stage], CropPhenology_Tomato[Start_GDD], "Not Found")</calculatedColumnFormula>
    </tableColumn>
    <tableColumn id="54" xr3:uid="{34DE9A21-26D6-46AB-BA8F-4FA7D34D0856}" name="Max_LAI" dataDxfId="995">
      <calculatedColumnFormula>ROUND(CropNorms_Tomato[[#This Row],[Shoot_Bearing_m2]]*CropNorms_Tomato[[#This Row],[Leaf_Area_Per_Shoot_m2]],2)</calculatedColumnFormula>
    </tableColumn>
    <tableColumn id="55" xr3:uid="{75D9F65A-F057-49BF-B698-1FD2E879D0F4}" name="LAI_Max_GDD" dataDxfId="994">
      <calculatedColumnFormula>AVERAGE(
  _xlfn.XLOOKUP(CropNorms_Tomato[[#This Row],[LAI_Max_BBCH]], CropPhenology_Tomato[Sub_Stage], CropPhenology_Tomato[Start_GDD]),
  _xlfn.XLOOKUP(CropNorms_Tomato[[#This Row],[LAI_Max_BBCH]], CropPhenology_Tomato[Sub_Stage], CropPhenology_Tomato[End_GDD])
)</calculatedColumnFormula>
    </tableColumn>
    <tableColumn id="56" xr3:uid="{E3489A62-9030-4E99-8467-53AF6473EED0}" name="End_LAI" dataDxfId="993">
      <calculatedColumnFormula>IF(CropNorms_Tomato[[#This Row],[Max_LAI]]&gt;=1.2, 0.85*CropNorms_Tomato[[#This Row],[Max_LAI]], 1)</calculatedColumnFormula>
    </tableColumn>
    <tableColumn id="57" xr3:uid="{6F779794-E099-4401-B9D6-64A735D72E17}" name="LAI_End_GDD" dataDxfId="992">
      <calculatedColumnFormula>_xlfn.XLOOKUP(CropNorms_Tomato[[#This Row],[LAI_End_BBCH]], CropPhenology_Tomato[Sub_Stage], CropPhenology_Tomato[End_GDD], "Not Found")</calculatedColumnFormula>
    </tableColumn>
    <tableColumn id="58" xr3:uid="{71FD345D-AE55-436A-B859-57D387836CE1}" name="RUE_Max" dataDxfId="991">
      <calculatedColumnFormula array="1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28A4E24-605B-4928-B6A4-49D6CA1B35CC}" name="RUE_Asymptote_Frac" dataDxfId="990">
      <calculatedColumnFormula array="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D3C79FB-813D-48B8-94DA-EA87CEB7430E}" name="RUE_LAI_Half_Sat" dataDxfId="989">
      <calculatedColumnFormula array="1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AAC3656-B972-4B03-AE2A-CA5B1C3E2D37}" name="RUE_Daily_Delta_Max" dataDxfId="988">
      <calculatedColumnFormula array="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F86A9868-88C0-4816-9F35-E9FAC3EDEFDA}" name="HI" dataDxfId="987"/>
    <tableColumn id="63" xr3:uid="{62058FC4-1162-4E69-81E1-363E8585A51C}" name="DM:FM" dataDxfId="986"/>
    <tableColumn id="64" xr3:uid="{5BC4A6C1-1726-47EE-9D69-6DA78BA5A850}" name="Yield_t/ha" dataDxfId="985"/>
    <tableColumn id="65" xr3:uid="{2B2E936B-B356-44F2-9890-73745E95F2E4}" name="Yield_Type" dataDxfId="984"/>
    <tableColumn id="66" xr3:uid="{A7B69107-9767-4A93-8D94-740945B89C87}" name="LAI_Start_BBCH" dataDxfId="983">
      <calculatedColumnFormula array="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0C329D5-D239-469C-A0F1-2065053C1FDE}" name="LAI_Max_BBCH" dataDxfId="982">
      <calculatedColumnFormula array="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A29A460D-D2F0-43FD-9DE5-8DF37533DEE4}" name="LAI_End_BBCH" dataDxfId="981">
      <calculatedColumnFormula array="1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8AA50FD4-C9C1-47D2-86C6-62A54BD05A21}" name="Fruiting_Start_BBCH" dataDxfId="980">
      <calculatedColumnFormula array="1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7887B3D-A375-4E57-8E68-A77AC2C66642}" name="N_Deficiency_kg/ha" dataDxfId="979"/>
    <tableColumn id="71" xr3:uid="{0A116B6C-C90E-4715-8E0D-3F87A3353766}" name="P_Deficiency_kg/ha" dataDxfId="978"/>
    <tableColumn id="72" xr3:uid="{0BA3D27A-A7D4-4147-B454-93F48215E528}" name="K_deficiency_kg/ha" dataDxfId="977"/>
    <tableColumn id="73" xr3:uid="{79011029-E05B-48EC-8591-0F2D226C7991}" name="Sowing_Start_Season" dataDxfId="976"/>
    <tableColumn id="74" xr3:uid="{540AFE78-218D-42B9-9C4F-B5A0AE3F4A56}" name="Sowing_End_Season" dataDxfId="975"/>
    <tableColumn id="75" xr3:uid="{EA601119-9557-436C-8DF8-B198D587E5FC}" name="Sand" dataDxfId="974"/>
    <tableColumn id="76" xr3:uid="{AB8EB8FC-3AD7-435D-9350-F4BEECDFBC45}" name="Loamy Sand" dataDxfId="973"/>
    <tableColumn id="77" xr3:uid="{D431E26B-F939-426B-A93A-E0F4CCBA713F}" name="Sandy Loam" dataDxfId="972"/>
    <tableColumn id="78" xr3:uid="{7EF53BEF-A582-4C45-B303-3628134AB9FD}" name="Loam" dataDxfId="971"/>
    <tableColumn id="79" xr3:uid="{2C0D3616-BF61-41BA-9353-35F37287AEAF}" name="Silt Loam" dataDxfId="970"/>
    <tableColumn id="80" xr3:uid="{364495D3-05F3-49FB-B760-CA8FAECAECD9}" name="Clay Loam" dataDxfId="969"/>
    <tableColumn id="81" xr3:uid="{903BD10D-2FA3-4391-ABDB-D931034C5DEA}" name="Silt" dataDxfId="968"/>
    <tableColumn id="82" xr3:uid="{D810DA06-6911-4C5B-BC68-EDFCA71C621A}" name="Sandy Clay" dataDxfId="967"/>
    <tableColumn id="83" xr3:uid="{F73769DE-9239-45B4-AC27-9DBAAEC5789C}" name="Silty Clay Loam" dataDxfId="966"/>
    <tableColumn id="84" xr3:uid="{107B811E-0755-42E1-9260-58FBD537D48A}" name="Silty Clay" dataDxfId="965"/>
    <tableColumn id="85" xr3:uid="{321BACC6-F045-41A6-82DF-87C6CF1EBA85}" name="Clay" dataDxfId="964"/>
    <tableColumn id="86" xr3:uid="{85AE09F6-F537-46BE-BFCC-61296DBE0F66}" name="Sandy Clay Loam" dataDxfId="963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7A4E76BF-3183-4BC0-A2B6-833910E22BE6}" name="CropNorms_Turnip" displayName="CropNorms_Turnip" ref="B389:CL392" totalsRowShown="0" headerRowDxfId="962" dataDxfId="960" headerRowBorderDxfId="961" tableBorderDxfId="959">
  <tableColumns count="89">
    <tableColumn id="1" xr3:uid="{2C197AD4-2EF3-419C-BA8B-134EF1C34C4D}" name="Crop_Name" dataDxfId="958"/>
    <tableColumn id="2" xr3:uid="{B9658278-CA33-48ED-9E53-F84A79EBC658}" name="Variety_Name" dataDxfId="957"/>
    <tableColumn id="3" xr3:uid="{8B52CD58-74DA-402F-9D17-C2739C390CF7}" name="Variety_Type" dataDxfId="956"/>
    <tableColumn id="4" xr3:uid="{B96FF6BC-68A4-4AAC-B4B9-459AEEDCA60D}" name="Height_Class" dataDxfId="955"/>
    <tableColumn id="5" xr3:uid="{1F1767D4-E65C-4EE6-A589-1FDA8A6B7C3D}" name="Height_cm" dataDxfId="954"/>
    <tableColumn id="6" xr3:uid="{C2968C17-65AE-43A6-8D34-6FF5F0F16ED9}" name="Nutrient_Content" dataDxfId="953"/>
    <tableColumn id="7" xr3:uid="{F1E61757-99FB-41DA-A38F-5FE2264D3E5A}" name="Common_Disease_Tolerance" dataDxfId="952"/>
    <tableColumn id="8" xr3:uid="{2C8CD802-E39C-4DC7-B334-732E6F3553BC}" name="Common_Pest_Tolerance" dataDxfId="951"/>
    <tableColumn id="9" xr3:uid="{2C1C0290-CAE5-4EB9-8233-609A383EDB48}" name="Environmental_Resilience" dataDxfId="950"/>
    <tableColumn id="10" xr3:uid="{B826A071-AB42-48AC-92B6-8B27D48A71C2}" name="Category" dataDxfId="949"/>
    <tableColumn id="11" xr3:uid="{482C73A3-42F4-4319-AB9E-09382F0F2CDC}" name="Country" dataDxfId="948"/>
    <tableColumn id="12" xr3:uid="{13C1BF58-2AC7-403F-9709-2B24F11FF97A}" name="Season" dataDxfId="947"/>
    <tableColumn id="13" xr3:uid="{EA25FBFE-DBED-4685-8DC0-42BB70A138E6}" name="PAR" dataDxfId="946"/>
    <tableColumn id="14" xr3:uid="{88B00EFE-0210-49D0-BD4D-F3797B905E77}" name="Region" dataDxfId="945"/>
    <tableColumn id="15" xr3:uid="{74DE1BE1-53A8-46CC-BF9B-7FCAC79B9FDD}" name="Seed_Weight_mg" dataDxfId="944"/>
    <tableColumn id="16" xr3:uid="{54B4CC93-2C52-4E98-A5DB-139442B098B8}" name="Crop_Min_Temp" dataDxfId="943"/>
    <tableColumn id="17" xr3:uid="{0187112C-1616-441C-8C4B-0260983A1CA8}" name="Base_Temp" dataDxfId="942"/>
    <tableColumn id="18" xr3:uid="{8AE1F606-45F1-408A-97B0-B5EABFA3C08B}" name="Opt._Temp" dataDxfId="941"/>
    <tableColumn id="19" xr3:uid="{03393F6A-C038-4AC7-8F36-F9D15CA78AAF}" name="Upper_Temp" dataDxfId="940"/>
    <tableColumn id="89" xr3:uid="{4A9D38FE-6969-44F9-8D92-EDA5FBE85883}" name="Loss / Degree" dataDxfId="939"/>
    <tableColumn id="20" xr3:uid="{A98DAC36-3907-4087-B4AB-9813E71A7CA3}" name="Min_Days" dataDxfId="938"/>
    <tableColumn id="21" xr3:uid="{59AB686D-DF91-4A25-8E37-7FA85A030F08}" name="Max_Days" dataDxfId="937"/>
    <tableColumn id="22" xr3:uid="{F05792C9-7183-44A6-9E15-D6D2E121291A}" name="Ripening_S_GDD" dataDxfId="936">
      <calculatedColumnFormula>_xlfn.XLOOKUP("Ripening", CropPhenology_Turnip[Main_Stage], CropPhenology_Turnip[Start_GDD], "Not Found")</calculatedColumnFormula>
    </tableColumn>
    <tableColumn id="23" xr3:uid="{5A96D2D0-C2DF-4610-861D-6E32F559CA5F}" name="Ripening_E_GDD" dataDxfId="935">
      <calculatedColumnFormula array="1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calculatedColumnFormula>
    </tableColumn>
    <tableColumn id="24" xr3:uid="{3777D304-EF53-4668-9767-B0A52406CDF0}" name="Avg. Daily GDD" dataDxfId="934">
      <calculatedColumnFormula>MIN(Y390/V390,MAX(X390/W390,R390,(X390/W390+Y390/V390)/2))</calculatedColumnFormula>
    </tableColumn>
    <tableColumn id="25" xr3:uid="{F343B06F-8BF2-4128-B457-41BCE09D5F1A}" name="Days_to_Ripening" dataDxfId="933">
      <calculatedColumnFormula>Y390/Z390</calculatedColumnFormula>
    </tableColumn>
    <tableColumn id="26" xr3:uid="{7C75AB60-ECC0-41FC-90C6-D1D706F369C1}" name="Sunshine" dataDxfId="932"/>
    <tableColumn id="27" xr3:uid="{849165A0-5797-415C-9546-FF66C11D2561}" name="Soil_Temp_Min" dataDxfId="931"/>
    <tableColumn id="28" xr3:uid="{AF02C346-EBBE-4D4D-83A4-1C35A8BF8A77}" name="VPA_Max" dataDxfId="930"/>
    <tableColumn id="29" xr3:uid="{F84EBA57-7A9A-4C24-9D94-7B71DCCE41B4}" name="Humidity_Max" dataDxfId="929"/>
    <tableColumn id="30" xr3:uid="{4064DEAF-1944-4929-BB32-5C2F092ABC16}" name="Dew_Point_Min" dataDxfId="928"/>
    <tableColumn id="31" xr3:uid="{B75B8751-80D6-445A-91E5-7C03290C5875}" name="WS_2m_Max" dataDxfId="927"/>
    <tableColumn id="32" xr3:uid="{6AF5CA03-8F6A-421E-AE2B-783B4913DCF3}" name="GDD_Adjust" dataDxfId="926">
      <calculatedColumnFormula>IFERROR((Y390-X390)/AA390,0)</calculatedColumnFormula>
    </tableColumn>
    <tableColumn id="33" xr3:uid="{1C3ADDEC-6EA3-4B33-A708-F5A620AE7E96}" name="pH_Min" dataDxfId="925"/>
    <tableColumn id="34" xr3:uid="{F5FD07D3-C839-4881-9120-56A158CF496D}" name="pH_Max" dataDxfId="924"/>
    <tableColumn id="87" xr3:uid="{CA546F8D-565E-48EE-8931-9B95D80BC087}" name="ECt" dataDxfId="923"/>
    <tableColumn id="88" xr3:uid="{65807190-CDED-4475-B487-C01720DCBBBA}" name="Slope" dataDxfId="922"/>
    <tableColumn id="35" xr3:uid="{5B0CBAB9-2002-432C-8678-08E36FB7602E}" name="CWR_Min" dataDxfId="921"/>
    <tableColumn id="36" xr3:uid="{57888D5D-283C-4375-AC67-E17746D0B867}" name="CWR_Max" dataDxfId="920"/>
    <tableColumn id="37" xr3:uid="{8524409A-9E23-4102-9FAA-4CC815DC8B88}" name="Sowing_Depth_cm" dataDxfId="919"/>
    <tableColumn id="38" xr3:uid="{83BC3387-B82F-4B7D-8680-306F99998A48}" name="Root_Depth_cm" dataDxfId="918"/>
    <tableColumn id="39" xr3:uid="{4A8FA59A-6A9C-4089-ABBE-6108E43D224F}" name="Stress_Tolerance_Index" dataDxfId="917"/>
    <tableColumn id="40" xr3:uid="{73D3F19B-7BBE-4F4B-977C-646FE9737D3F}" name="Row_Spacing_cm" dataDxfId="916"/>
    <tableColumn id="41" xr3:uid="{63517A47-58A9-4396-B636-B249CB3F85A1}" name="Plant_to_Plant_cm" dataDxfId="915"/>
    <tableColumn id="42" xr3:uid="{30C19761-9FB3-4F56-9C95-9EC7B3349EEF}" name="Seed_Per_Spot" dataDxfId="914"/>
    <tableColumn id="43" xr3:uid="{05C2956F-DC91-4AE0-87BF-7E334CB5DFEA}" name="Seed_Rate_m2" dataDxfId="913">
      <calculatedColumnFormula>IFERROR(10000/(AS390*AR390),0)*AT390</calculatedColumnFormula>
    </tableColumn>
    <tableColumn id="44" xr3:uid="{714D5DAF-4D48-4710-8CE7-B2934B9C429A}" name="Seed_Weight_kg/ha" dataDxfId="912">
      <calculatedColumnFormula>ROUND((P390/1000000)*AU390*10000,2)</calculatedColumnFormula>
    </tableColumn>
    <tableColumn id="45" xr3:uid="{AFA67320-BFFB-4C7D-98CB-DD47997A6FCC}" name="Germination_%" dataDxfId="911"/>
    <tableColumn id="46" xr3:uid="{C0F50358-0273-4A6D-A5A2-838F503DEB68}" name="Effective_Plants_m2" dataDxfId="910">
      <calculatedColumnFormula>IFERROR((AU390*AW390/100),0)</calculatedColumnFormula>
    </tableColumn>
    <tableColumn id="47" xr3:uid="{F6DB6B91-1171-423F-9DE0-EDE9DC4F6999}" name="Tillers_Per_Plant" dataDxfId="909"/>
    <tableColumn id="48" xr3:uid="{F8CF32BA-52C6-4FA9-9E03-6DF7E4ACFC5A}" name="Shoots_Per_m2" dataDxfId="908">
      <calculatedColumnFormula>IFERROR(AX390*AY390,0)</calculatedColumnFormula>
    </tableColumn>
    <tableColumn id="49" xr3:uid="{C33A2F17-EDAC-4346-95E6-2A0FAFCDFF06}" name="Survival_Ratio" dataDxfId="907"/>
    <tableColumn id="50" xr3:uid="{8A847891-15D3-4DE5-BDF6-25CC8CB6F1D7}" name="Shoot_Bearing_m2" dataDxfId="906">
      <calculatedColumnFormula>IFERROR(AZ390*BA390,0)</calculatedColumnFormula>
    </tableColumn>
    <tableColumn id="51" xr3:uid="{4FE49380-F4BA-4F20-ABBF-77C0ED373CB7}" name="Leaf_Area_Per_Shoot_m2" dataDxfId="905"/>
    <tableColumn id="52" xr3:uid="{D9A9B263-EE2C-449F-A9E2-6AA79407C7F1}" name="Start_LAI" dataDxfId="904">
      <calculatedColumnFormula>IFERROR(
  MAX(0.05, MIN(0.5, CropNorms_Turnip[[#This Row],[Leaf_Area_Per_Shoot_m2]] * CropNorms_Turnip[[#This Row],[Shoot_Bearing_m2]] )),
  0.2
)</calculatedColumnFormula>
    </tableColumn>
    <tableColumn id="53" xr3:uid="{D1DD964E-02F7-44B3-A3C4-3DCC19AAFD2E}" name="LAI_Start_GDD" dataDxfId="903">
      <calculatedColumnFormula>_xlfn.XLOOKUP(CropNorms_Turnip[[#This Row],[LAI_Start_BBCH]], CropPhenology_Turnip[Sub_Stage], CropPhenology_Turnip[Start_GDD], "Not Found")</calculatedColumnFormula>
    </tableColumn>
    <tableColumn id="54" xr3:uid="{133546C1-D816-47EC-9CAC-A58330E928B3}" name="Max_LAI" dataDxfId="902">
      <calculatedColumnFormula>ROUND(CropNorms_Turnip[[#This Row],[Shoot_Bearing_m2]]*CropNorms_Turnip[[#This Row],[Leaf_Area_Per_Shoot_m2]],2)</calculatedColumnFormula>
    </tableColumn>
    <tableColumn id="55" xr3:uid="{503AA73F-3B4D-480A-B4EA-D64F8282BD15}" name="LAI_Max_GDD" dataDxfId="901">
      <calculatedColumnFormula>AVERAGE(
  _xlfn.XLOOKUP(CropNorms_Turnip[[#This Row],[LAI_Max_BBCH]], CropPhenology_Turnip[Sub_Stage], CropPhenology_Turnip[Start_GDD]),
  _xlfn.XLOOKUP(CropNorms_Turnip[[#This Row],[LAI_Max_BBCH]], CropPhenology_Turnip[Sub_Stage], CropPhenology_Turnip[End_GDD])
)</calculatedColumnFormula>
    </tableColumn>
    <tableColumn id="56" xr3:uid="{559DC17E-D1AD-4918-BA1F-CE939FE8E72E}" name="End_LAI" dataDxfId="900">
      <calculatedColumnFormula>IF(CropNorms_Turnip[[#This Row],[Max_LAI]]&gt;=1.2, 0.85*CropNorms_Turnip[[#This Row],[Max_LAI]], 1)</calculatedColumnFormula>
    </tableColumn>
    <tableColumn id="57" xr3:uid="{140B283D-D44A-46B8-BC79-FB91A9890DC3}" name="LAI_End_GDD" dataDxfId="899">
      <calculatedColumnFormula>_xlfn.XLOOKUP(CropNorms_Turnip[[#This Row],[LAI_End_BBCH]], CropPhenology_Turnip[Sub_Stage], CropPhenology_Turnip[End_GDD], "Not Found")</calculatedColumnFormula>
    </tableColumn>
    <tableColumn id="58" xr3:uid="{66DD4FA9-9B0B-4377-B931-4D05701DBA39}" name="RUE_Max" dataDxfId="898">
      <calculatedColumnFormula array="1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74EDE34-9F7B-4244-B16E-B17BCF38C334}" name="RUE_Asymptote_Frac" dataDxfId="897">
      <calculatedColumnFormula array="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E9B0F23-6644-4FE2-8191-83BDA33555A1}" name="RUE_LAI_Half_Sat" dataDxfId="896">
      <calculatedColumnFormula array="1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F6F8CD3-FFD9-424C-8C3E-D6C320DADA7C}" name="RUE_Daily_Delta_Max" dataDxfId="895">
      <calculatedColumnFormula array="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ACF71DE-06C9-4C34-A4D9-2A71E1973607}" name="HI" dataDxfId="894"/>
    <tableColumn id="63" xr3:uid="{894213E6-ABDD-4FD0-B4B6-A16320CF63D9}" name="DM:FM" dataDxfId="893"/>
    <tableColumn id="64" xr3:uid="{4DA33D2A-E4B3-4E13-AB89-4271BE91BC05}" name="Yield_t/ha" dataDxfId="892"/>
    <tableColumn id="65" xr3:uid="{E6F3C432-78F9-4376-AF67-BB056491E337}" name="Yield_Type" dataDxfId="891"/>
    <tableColumn id="66" xr3:uid="{6DFA0BB7-944B-47EA-A99E-B3C782AB3B82}" name="LAI_Start_BBCH" dataDxfId="890">
      <calculatedColumnFormula array="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146E932-FAA7-44AA-90E5-2331BAF96C97}" name="LAI_Max_BBCH" dataDxfId="889">
      <calculatedColumnFormula array="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888F0E1-D383-4C28-95C4-878DB6E5873F}" name="LAI_End_BBCH" dataDxfId="888">
      <calculatedColumnFormula array="1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0BF8CB2-82CC-4FD0-B64F-CBF9DE23FBA8}" name="Fruiting_Start_BBCH" dataDxfId="887">
      <calculatedColumnFormula array="1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FD6CA5D-D0FA-46C6-8717-6C965CB66508}" name="N_Deficiency_kg/ha" dataDxfId="886"/>
    <tableColumn id="71" xr3:uid="{617DF736-DE07-427B-9D11-2584BEF9EFD8}" name="P_Deficiency_kg/ha" dataDxfId="885"/>
    <tableColumn id="72" xr3:uid="{50219453-DE51-45B8-AEC1-6A8F23B1A72B}" name="K_deficiency_kg/ha" dataDxfId="884"/>
    <tableColumn id="73" xr3:uid="{AB4D7DD0-242A-404A-87A0-C62C26683F6B}" name="Sowing_Start_Season" dataDxfId="883"/>
    <tableColumn id="74" xr3:uid="{DDA0B00F-9BF5-4AC6-B3D7-1D0225E3C988}" name="Sowing_End_Season" dataDxfId="882"/>
    <tableColumn id="75" xr3:uid="{EBDA0090-809E-4986-945D-74F6D161E619}" name="Sand" dataDxfId="881"/>
    <tableColumn id="76" xr3:uid="{84A357F0-81FD-41D4-BE57-74839119C9A2}" name="Loamy Sand" dataDxfId="880"/>
    <tableColumn id="77" xr3:uid="{C194E964-83D6-47E4-9A33-2FBC94719BBD}" name="Sandy Loam" dataDxfId="879"/>
    <tableColumn id="78" xr3:uid="{93DBEEDF-FE62-4BB8-AAEF-4E8468075B77}" name="Loam" dataDxfId="878"/>
    <tableColumn id="79" xr3:uid="{F1A82267-6B88-44D1-88C4-F21F965C3F33}" name="Silt Loam" dataDxfId="877"/>
    <tableColumn id="80" xr3:uid="{7A408872-A487-435F-B14B-DA9D86175DE9}" name="Clay Loam" dataDxfId="876"/>
    <tableColumn id="81" xr3:uid="{EFE572A5-0D4B-4FEF-B0AC-42CEC7552E5B}" name="Silt" dataDxfId="875"/>
    <tableColumn id="82" xr3:uid="{BB484DF0-7735-4A50-9549-314FEBB3463D}" name="Sandy Clay" dataDxfId="874"/>
    <tableColumn id="83" xr3:uid="{30C35F79-640F-4479-9A94-6C8F792112B3}" name="Silty Clay Loam" dataDxfId="873"/>
    <tableColumn id="84" xr3:uid="{F7F3CF4C-62A4-4ADE-977B-2CC86F3AF99C}" name="Silty Clay" dataDxfId="872"/>
    <tableColumn id="85" xr3:uid="{03B6CEEA-099F-4B58-9B91-E84E60A98901}" name="Clay" dataDxfId="871"/>
    <tableColumn id="86" xr3:uid="{C5B0C98B-4660-4D1D-A2B7-64DCF58451A7}" name="Sandy Clay Loam" dataDxfId="87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7353661-2B20-4AC9-B002-123887ED6831}" name="CropNorms_VegetableMarrow" displayName="CropNorms_VegetableMarrow" ref="B394:CL400" totalsRowShown="0" headerRowDxfId="869" dataDxfId="867" headerRowBorderDxfId="868" tableBorderDxfId="866">
  <tableColumns count="89">
    <tableColumn id="1" xr3:uid="{C7BA8AAF-7A73-4F33-8FC2-A121326736F3}" name="Crop_Name" dataDxfId="865"/>
    <tableColumn id="2" xr3:uid="{922E437B-AA7F-48F0-89C0-F2D466DB11DB}" name="Variety_Name" dataDxfId="864"/>
    <tableColumn id="3" xr3:uid="{D161942F-F779-4395-82AD-644FEA04B2E1}" name="Variety_Type" dataDxfId="863"/>
    <tableColumn id="4" xr3:uid="{9BE8AC07-0348-4375-9033-F3A1EFAC128C}" name="Height_Class" dataDxfId="862"/>
    <tableColumn id="5" xr3:uid="{233B3472-26BC-4493-821C-07F733B037FC}" name="Height_cm" dataDxfId="861"/>
    <tableColumn id="6" xr3:uid="{E352615C-D596-4FA3-A6A0-47F33AFB20DD}" name="Nutrient_Content" dataDxfId="860"/>
    <tableColumn id="7" xr3:uid="{930E3CCB-3670-4749-81BF-22D1B2837A15}" name="Common_Disease_Tolerance" dataDxfId="859"/>
    <tableColumn id="8" xr3:uid="{41B56C25-4F13-4331-B957-D7697642B34D}" name="Common_Pest_Tolerance" dataDxfId="858"/>
    <tableColumn id="9" xr3:uid="{8175256B-16B3-4221-8AB5-2182BBF9F062}" name="Environmental_Resilience" dataDxfId="857"/>
    <tableColumn id="10" xr3:uid="{28ECC241-D118-4DCA-A1B2-D118AAAB6BBD}" name="Category" dataDxfId="856"/>
    <tableColumn id="11" xr3:uid="{9B56BF5F-C62E-405D-807E-98A240288E81}" name="Country" dataDxfId="855"/>
    <tableColumn id="12" xr3:uid="{0F1E5004-1E82-4843-92C8-9CFDF2BBA454}" name="Season" dataDxfId="854"/>
    <tableColumn id="13" xr3:uid="{DE5DDE11-03D4-4D6F-B066-3D22693AFC89}" name="PAR" dataDxfId="853"/>
    <tableColumn id="14" xr3:uid="{E77B99D0-EDEE-454A-833E-0A67FB5FC695}" name="Region" dataDxfId="852"/>
    <tableColumn id="15" xr3:uid="{950E8096-1C0B-45D1-861D-A0483E9FF9CB}" name="Seed_Weight_mg" dataDxfId="851"/>
    <tableColumn id="16" xr3:uid="{93BF5064-0921-47F9-B51F-F247823A300E}" name="Crop_Min_Temp" dataDxfId="850"/>
    <tableColumn id="17" xr3:uid="{3D62DD71-0721-4380-93F5-77EF7F2F6BB7}" name="Base_Temp" dataDxfId="849"/>
    <tableColumn id="18" xr3:uid="{44773B53-92F9-474E-94F6-48F05C091BCF}" name="Opt._Temp" dataDxfId="848"/>
    <tableColumn id="19" xr3:uid="{8A5FB44B-F62B-429B-82CD-A7497451A445}" name="Upper_Temp" dataDxfId="847"/>
    <tableColumn id="89" xr3:uid="{8D017AB0-DC1F-4743-9201-C5B7554BFD23}" name="Loss / Degree" dataDxfId="846"/>
    <tableColumn id="20" xr3:uid="{0B07E7E4-8F05-4F45-920B-BD6237221C90}" name="Min_Days" dataDxfId="845"/>
    <tableColumn id="21" xr3:uid="{E1AD45BE-C8C6-4D38-959B-BC1676F81814}" name="Max_Days" dataDxfId="844"/>
    <tableColumn id="22" xr3:uid="{B3EF7827-C4E4-42BE-914D-492B67556B01}" name="Ripening_S_GDD" dataDxfId="843">
      <calculatedColumnFormula>_xlfn.XLOOKUP("Ripening", CropPhenology_VegetableMarrow[Main_Stage], CropPhenology_VegetableMarrow[Start_GDD], "Not Found")</calculatedColumnFormula>
    </tableColumn>
    <tableColumn id="23" xr3:uid="{4B98625C-535E-4237-BFC3-A5BD3360EA56}" name="Ripening_E_GDD" dataDxfId="842">
      <calculatedColumnFormula array="1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calculatedColumnFormula>
    </tableColumn>
    <tableColumn id="24" xr3:uid="{C3C0A614-FA80-4834-9CB7-CB7A713BAA5A}" name="Avg. Daily GDD" dataDxfId="841">
      <calculatedColumnFormula>MIN(Y395/V395,MAX(X395/W395,R395,(X395/W395+Y395/V395)/2))</calculatedColumnFormula>
    </tableColumn>
    <tableColumn id="25" xr3:uid="{B7493C91-1DED-46EF-914B-30A382F45B32}" name="Days_to_Ripening" dataDxfId="840">
      <calculatedColumnFormula>Y395/Z395</calculatedColumnFormula>
    </tableColumn>
    <tableColumn id="26" xr3:uid="{5E8FF623-3167-49EB-8A44-CBC52CD08467}" name="Sunshine" dataDxfId="839"/>
    <tableColumn id="27" xr3:uid="{80928942-E2FF-4638-8E06-F892CFB0116C}" name="Soil_Temp_Min" dataDxfId="838"/>
    <tableColumn id="28" xr3:uid="{66F3497F-353B-4ABB-B2E8-61C450F03DE1}" name="VPA_Max" dataDxfId="837"/>
    <tableColumn id="29" xr3:uid="{27C28311-7CBB-47F7-A65D-CB00ECD7F409}" name="Humidity_Max" dataDxfId="836"/>
    <tableColumn id="30" xr3:uid="{3531CC4B-1876-482E-AB14-774C429BFA90}" name="Dew_Point_Min" dataDxfId="835"/>
    <tableColumn id="31" xr3:uid="{445C39B5-10C9-413F-8C0B-FD57798687D4}" name="WS_2m_Max" dataDxfId="834"/>
    <tableColumn id="32" xr3:uid="{A10545BE-7B83-4844-AC21-2951226F89F5}" name="GDD_Adjust" dataDxfId="833">
      <calculatedColumnFormula>IFERROR((Y395-X395)/AA395,0)</calculatedColumnFormula>
    </tableColumn>
    <tableColumn id="33" xr3:uid="{4F881424-2D15-4B34-91A5-CFE9A9B815AE}" name="pH_Min" dataDxfId="832"/>
    <tableColumn id="34" xr3:uid="{6089637A-29B6-4390-93C4-887960582EF9}" name="pH_Max" dataDxfId="831"/>
    <tableColumn id="87" xr3:uid="{3F9FA79B-EAB0-4A5E-8C97-B1E105E54FED}" name="ECt" dataDxfId="830"/>
    <tableColumn id="88" xr3:uid="{E0AEA0D7-7DFC-489D-85D1-4D604BBA3DA9}" name="Slope" dataDxfId="829"/>
    <tableColumn id="35" xr3:uid="{762036E4-D085-4AF2-B25B-AA5877B42F01}" name="CWR_Min" dataDxfId="828"/>
    <tableColumn id="36" xr3:uid="{D828B0A3-E60F-4FE5-A8FB-65BCC75CE4FD}" name="CWR_Max" dataDxfId="827"/>
    <tableColumn id="37" xr3:uid="{45159D55-8CD1-4A46-97D2-E37DA96E2F5D}" name="Sowing_Depth_cm" dataDxfId="826"/>
    <tableColumn id="38" xr3:uid="{BB10BAB5-04FB-4830-8176-EB0D7714CEAB}" name="Root_Depth_cm" dataDxfId="825"/>
    <tableColumn id="39" xr3:uid="{224FA09E-54EB-4FF4-BA45-38D18F2656B5}" name="Stress_Tolerance_Index" dataDxfId="824"/>
    <tableColumn id="40" xr3:uid="{5FF747A6-AFEF-43E8-AB73-ABEF2E19F775}" name="Row_Spacing_cm" dataDxfId="823"/>
    <tableColumn id="41" xr3:uid="{A26C8433-FD00-4722-9888-59FC4819BCE5}" name="Plant_to_Plant_cm" dataDxfId="822"/>
    <tableColumn id="42" xr3:uid="{FF8AC5F5-E1E7-4DB9-A745-A4330BF99E9D}" name="Seed_Per_Spot" dataDxfId="821"/>
    <tableColumn id="43" xr3:uid="{E3D68157-EBC2-4EFA-B1B2-FC12F3C06719}" name="Seed_Rate_m2" dataDxfId="820">
      <calculatedColumnFormula>IFERROR(10000/(AS395*AR395),0)*AT395</calculatedColumnFormula>
    </tableColumn>
    <tableColumn id="44" xr3:uid="{7E8FE693-DF7A-4BA5-BA75-A020032467CF}" name="Seed_Weight_kg/ha" dataDxfId="819">
      <calculatedColumnFormula>ROUND((P395/1000000)*AU395*10000,2)</calculatedColumnFormula>
    </tableColumn>
    <tableColumn id="45" xr3:uid="{79F1DE0B-0A63-4156-83C1-CAD036B29729}" name="Germination_%" dataDxfId="818"/>
    <tableColumn id="46" xr3:uid="{1C1B8126-CB5F-4D0E-84CB-82BA92AC19DF}" name="Effective_Plants_m2" dataDxfId="817">
      <calculatedColumnFormula>IFERROR((AU395*AW395/100),0)</calculatedColumnFormula>
    </tableColumn>
    <tableColumn id="47" xr3:uid="{EF373DF6-9DE1-4B30-8471-5F871B500817}" name="Tillers_Per_Plant" dataDxfId="816"/>
    <tableColumn id="48" xr3:uid="{D8417E12-7D5D-4B6D-B45B-B74BEB86A52C}" name="Shoots_Per_m2" dataDxfId="815">
      <calculatedColumnFormula>IFERROR(AX395*AY395,0)</calculatedColumnFormula>
    </tableColumn>
    <tableColumn id="49" xr3:uid="{9F8324DA-D2E3-4364-A670-7BF9ECB35680}" name="Survival_Ratio" dataDxfId="814"/>
    <tableColumn id="50" xr3:uid="{63E8DA9C-951C-488A-BF84-379C3B11C08B}" name="Shoot_Bearing_m2" dataDxfId="813">
      <calculatedColumnFormula>IFERROR(AZ395*BA395,0)</calculatedColumnFormula>
    </tableColumn>
    <tableColumn id="51" xr3:uid="{A7E880C6-062D-4027-B8E0-7EA4919EC5AA}" name="Leaf_Area_Per_Shoot_m2" dataDxfId="812"/>
    <tableColumn id="52" xr3:uid="{8171DD0D-DD07-49F7-B502-C938234D1502}" name="Start_LAI" dataDxfId="811">
      <calculatedColumnFormula>IFERROR(
  MAX(0.05, MIN(0.5, CropNorms_VegetableMarrow[[#This Row],[Leaf_Area_Per_Shoot_m2]] * CropNorms_VegetableMarrow[[#This Row],[Shoot_Bearing_m2]] )),
  0.2
)</calculatedColumnFormula>
    </tableColumn>
    <tableColumn id="53" xr3:uid="{34CD00BF-5B31-4D60-9C44-8BFEC850BE49}" name="LAI_Start_GDD" dataDxfId="810">
      <calculatedColumnFormula>_xlfn.XLOOKUP(CropNorms_VegetableMarrow[[#This Row],[LAI_Start_BBCH]], CropPhenology_VegetableMarrow[Sub_Stage], CropPhenology_VegetableMarrow[Start_GDD], "Not Found")</calculatedColumnFormula>
    </tableColumn>
    <tableColumn id="54" xr3:uid="{9D69C72C-CFBA-4CA3-8963-05D30330C630}" name="Max_LAI" dataDxfId="809">
      <calculatedColumnFormula>ROUND(CropNorms_VegetableMarrow[[#This Row],[Shoot_Bearing_m2]]*CropNorms_VegetableMarrow[[#This Row],[Leaf_Area_Per_Shoot_m2]],2)</calculatedColumnFormula>
    </tableColumn>
    <tableColumn id="55" xr3:uid="{88925A18-ADE8-4B7B-9887-E777AF5F8DB3}" name="LAI_Max_GDD" dataDxfId="808">
      <calculatedColumnFormula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calculatedColumnFormula>
    </tableColumn>
    <tableColumn id="56" xr3:uid="{5607EF38-D28B-45EB-8B4E-3FBABFCB4BD3}" name="End_LAI" dataDxfId="807">
      <calculatedColumnFormula>IF(CropNorms_VegetableMarrow[[#This Row],[Max_LAI]]&gt;=1.2, 0.85*CropNorms_VegetableMarrow[[#This Row],[Max_LAI]], 1)</calculatedColumnFormula>
    </tableColumn>
    <tableColumn id="57" xr3:uid="{062247A7-6105-4FFD-80D2-C9C71077CAAC}" name="LAI_End_GDD" dataDxfId="806">
      <calculatedColumnFormula>_xlfn.XLOOKUP(CropNorms_VegetableMarrow[[#This Row],[LAI_End_BBCH]], CropPhenology_VegetableMarrow[Sub_Stage], CropPhenology_VegetableMarrow[End_GDD], "Not Found")</calculatedColumnFormula>
    </tableColumn>
    <tableColumn id="58" xr3:uid="{01A704B5-9320-4E7A-AD42-572EBE162BE4}" name="RUE_Max" dataDxfId="805">
      <calculatedColumnFormula array="1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4484C9B9-63D9-4213-941C-3687FACBD51F}" name="RUE_Asymptote_Frac" dataDxfId="804">
      <calculatedColumnFormula array="1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1D5259B-CFA0-4383-9C29-462705D43591}" name="RUE_LAI_Half_Sat" dataDxfId="803">
      <calculatedColumnFormula array="1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D1645B8-1CD9-45A4-BF11-AA2596DA3EF8}" name="RUE_Daily_Delta_Max" dataDxfId="802">
      <calculatedColumnFormula array="1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027E83B3-6EEA-4746-8693-85CFA69C1D9E}" name="HI" dataDxfId="801"/>
    <tableColumn id="63" xr3:uid="{BDE22592-6F2A-408E-9194-88255332ACD6}" name="DM:FM" dataDxfId="800"/>
    <tableColumn id="64" xr3:uid="{3D475092-A614-46B1-A13E-CBA7824100FB}" name="Yield_t/ha" dataDxfId="799"/>
    <tableColumn id="65" xr3:uid="{61A3FA0F-BE84-4C91-9EC6-504357EDD98B}" name="Yield_Type" dataDxfId="798"/>
    <tableColumn id="66" xr3:uid="{31FE16E4-97CD-4AFE-87AC-23915033AC7E}" name="LAI_Start_BBCH" dataDxfId="797">
      <calculatedColumnFormula array="1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C187EB0-8DFF-478F-AE8C-B4F1E7E747E3}" name="LAI_Max_BBCH" dataDxfId="796">
      <calculatedColumnFormula array="1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5B64FDF4-1E94-41F3-8550-CBFB21CC3AA9}" name="LAI_End_BBCH" dataDxfId="795">
      <calculatedColumnFormula array="1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6761BB8-5F8B-4435-AC25-3108D247BD8E}" name="Fruiting_Start_BBCH" dataDxfId="794">
      <calculatedColumnFormula array="1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3AE0271-2580-4E6A-A30A-12648807BFA9}" name="N_Deficiency_kg/ha" dataDxfId="793"/>
    <tableColumn id="71" xr3:uid="{2ECCFA97-B5E0-46E8-9040-005A37094A1A}" name="P_Deficiency_kg/ha" dataDxfId="792"/>
    <tableColumn id="72" xr3:uid="{190D67DF-DE07-4ED1-BFE2-611209E91872}" name="K_deficiency_kg/ha" dataDxfId="791"/>
    <tableColumn id="73" xr3:uid="{22E51DE7-3073-4BA2-A459-2C479DC0DB7E}" name="Sowing_Start_Season" dataDxfId="790"/>
    <tableColumn id="74" xr3:uid="{A4CA4C3A-8258-415F-A40A-92B99AD59B92}" name="Sowing_End_Season" dataDxfId="789"/>
    <tableColumn id="75" xr3:uid="{60392CF0-3115-41E1-808A-3C3835D6153C}" name="Sand" dataDxfId="788"/>
    <tableColumn id="76" xr3:uid="{76334E37-CFE5-42C0-A4D7-4F36665A9119}" name="Loamy Sand" dataDxfId="787"/>
    <tableColumn id="77" xr3:uid="{136AD999-C494-4CBB-BF13-8F518FB50B7A}" name="Sandy Loam" dataDxfId="786"/>
    <tableColumn id="78" xr3:uid="{44EAD84C-3581-4922-8B32-7CE5B626BD6D}" name="Loam" dataDxfId="785"/>
    <tableColumn id="79" xr3:uid="{67F5084F-A067-4A3D-AAE6-DC58430C925E}" name="Silt Loam" dataDxfId="784"/>
    <tableColumn id="80" xr3:uid="{2CC40D10-02E8-42B7-853D-53B645F305D8}" name="Clay Loam" dataDxfId="783"/>
    <tableColumn id="81" xr3:uid="{50EC6809-377C-41C5-8D07-F496EF0B948C}" name="Silt" dataDxfId="782"/>
    <tableColumn id="82" xr3:uid="{D036CD50-1318-436F-8434-D0B50D2B9C82}" name="Sandy Clay" dataDxfId="781"/>
    <tableColumn id="83" xr3:uid="{4B382C0B-D6BF-486A-8EC9-BF54C686C6D0}" name="Silty Clay Loam" dataDxfId="780"/>
    <tableColumn id="84" xr3:uid="{631B170C-1B99-4D8B-919B-64B3D2D2079C}" name="Silty Clay" dataDxfId="779"/>
    <tableColumn id="85" xr3:uid="{E6A95773-4D9D-4B5B-93B5-F2139D3C1735}" name="Clay" dataDxfId="778"/>
    <tableColumn id="86" xr3:uid="{13097D75-0280-4290-A08D-F7BA0150A30A}" name="Sandy Clay Loam" dataDxfId="7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40B9261C-EF65-4047-9488-64A6A3A3EC49}" name="CropNorms_Alfalfa" displayName="CropNorms_Alfalfa" ref="B3:CL6" totalsRowShown="0" headerRowDxfId="776" dataDxfId="774" headerRowBorderDxfId="775" tableBorderDxfId="773">
  <tableColumns count="89">
    <tableColumn id="1" xr3:uid="{B7FFC689-3FC5-4ED1-8454-F0B41B8CF971}" name="Crop_Name" dataDxfId="772"/>
    <tableColumn id="2" xr3:uid="{0C151695-A5EA-422C-B60A-8729E3E00B39}" name="Variety_Name" dataDxfId="771"/>
    <tableColumn id="3" xr3:uid="{95849E0B-98F8-4282-9259-DD97380A778E}" name="Variety_Type" dataDxfId="770"/>
    <tableColumn id="4" xr3:uid="{F4B34193-E310-4ADF-9A89-D9DD767F0539}" name="Height_Class" dataDxfId="769"/>
    <tableColumn id="5" xr3:uid="{096CAE15-FD3B-4A28-9925-5E439B00F4AE}" name="Height_cm" dataDxfId="768"/>
    <tableColumn id="6" xr3:uid="{2D47230A-63CD-4CC1-964E-778175A66C7F}" name="Nutrient_Content" dataDxfId="767"/>
    <tableColumn id="7" xr3:uid="{13102FB8-A59E-409F-AE6F-2EAC84BBA548}" name="Common_Disease_Tolerance" dataDxfId="766"/>
    <tableColumn id="8" xr3:uid="{07576CE8-579D-4C0D-B09C-6ECC8A406592}" name="Common_Pest_Tolerance" dataDxfId="765"/>
    <tableColumn id="9" xr3:uid="{F2583429-959C-401C-B824-09A58CD7ADCE}" name="Environmental_Resilience" dataDxfId="764"/>
    <tableColumn id="10" xr3:uid="{FE187FC2-A48B-4583-BBD1-212D7422A3EC}" name="Category" dataDxfId="763"/>
    <tableColumn id="11" xr3:uid="{E8A1FE48-00E6-47E5-8A6E-0910DBE56A5E}" name="Country" dataDxfId="762"/>
    <tableColumn id="12" xr3:uid="{FBD54EFF-E3F9-4848-BC73-5AC304AD4E8D}" name="Season" dataDxfId="761"/>
    <tableColumn id="13" xr3:uid="{60EEC318-3828-4B76-9780-59F34C529DAE}" name="PAR" dataDxfId="760"/>
    <tableColumn id="14" xr3:uid="{197D008A-A80F-449C-A96B-5D849793569F}" name="Region" dataDxfId="759"/>
    <tableColumn id="15" xr3:uid="{A23239A2-2B4A-48F9-801B-4F7EB160C3CA}" name="Seed_Weight_mg" dataDxfId="758"/>
    <tableColumn id="16" xr3:uid="{7DCB0589-1EC3-4362-B45D-439F8848C098}" name="Crop_Min_Temp" dataDxfId="757"/>
    <tableColumn id="17" xr3:uid="{2591B4E4-47AD-443F-876F-6B9F4CBE7F25}" name="Base_Temp" dataDxfId="756"/>
    <tableColumn id="18" xr3:uid="{72A2D45A-5BE0-4DC5-B44E-D7BEBCB0CBC0}" name="Opt._Temp" dataDxfId="755"/>
    <tableColumn id="19" xr3:uid="{524FB4B2-C783-4888-9C6D-5DFC048F6493}" name="Upper_Temp" dataDxfId="754"/>
    <tableColumn id="89" xr3:uid="{6905E35E-C22F-4849-AFD2-9724708BCD26}" name="Loss / Degree" dataDxfId="753"/>
    <tableColumn id="20" xr3:uid="{746167F8-A15E-4848-846F-02AF759AD4D8}" name="Min_Days" dataDxfId="752"/>
    <tableColumn id="21" xr3:uid="{075292AD-EDD1-4225-AE57-83802D237D2D}" name="Max_Days" dataDxfId="751"/>
    <tableColumn id="22" xr3:uid="{BC048DCD-234C-4E3A-8826-D528C5E4E5B7}" name="Ripening_S_GDD" dataDxfId="750">
      <calculatedColumnFormula>_xlfn.XLOOKUP("Ripening", CropPhenology_Alfalfa[Main_Stage], CropPhenology_Alfalfa[Start_GDD], "Not Found")</calculatedColumnFormula>
    </tableColumn>
    <tableColumn id="23" xr3:uid="{8ADEA77C-EEBE-410E-8E6E-933ED37575D3}" name="Ripening_E_GDD" dataDxfId="749">
      <calculatedColumnFormula array="1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calculatedColumnFormula>
    </tableColumn>
    <tableColumn id="24" xr3:uid="{5C453195-921A-47EC-AD42-E21D55E1A346}" name="Avg. Daily GDD" dataDxfId="748">
      <calculatedColumnFormula>MIN(Y4/V4,MAX(X4/W4,R4,(X4/W4+Y4/V4)/2))</calculatedColumnFormula>
    </tableColumn>
    <tableColumn id="25" xr3:uid="{9710446C-B428-4A75-AA3D-6FBB8CD01136}" name="Days_to_Ripening" dataDxfId="747">
      <calculatedColumnFormula>Y4/Z4</calculatedColumnFormula>
    </tableColumn>
    <tableColumn id="26" xr3:uid="{8C3F63C5-56AF-46A0-9081-B32AD54C9FD9}" name="Sunshine" dataDxfId="746"/>
    <tableColumn id="27" xr3:uid="{DE82E655-B335-4819-9D6D-84C32EA0F27C}" name="Soil_Temp_Min" dataDxfId="745"/>
    <tableColumn id="28" xr3:uid="{29EAE88B-6554-4056-9F18-91285BCBDD3D}" name="VPA_Max" dataDxfId="744"/>
    <tableColumn id="29" xr3:uid="{32B43737-973D-4A24-B37A-7B5FD7918FB5}" name="Humidity_Max" dataDxfId="743"/>
    <tableColumn id="30" xr3:uid="{E1D8323D-CAB6-4E32-A1FC-FB75DF25D09B}" name="Dew_Point_Min" dataDxfId="742"/>
    <tableColumn id="31" xr3:uid="{A32AE12C-9202-4431-8764-4478D73CA740}" name="WS_2m_Max" dataDxfId="741"/>
    <tableColumn id="32" xr3:uid="{FB17F820-5F1F-47F8-BD19-6590F0B6E271}" name="GDD_Adjust" dataDxfId="740">
      <calculatedColumnFormula>IFERROR((Y4-X4)/AA4,0)</calculatedColumnFormula>
    </tableColumn>
    <tableColumn id="33" xr3:uid="{C5EAF6C7-BA22-4D61-8606-21A8C285B8AD}" name="pH_Min" dataDxfId="739"/>
    <tableColumn id="34" xr3:uid="{0F185583-D9AC-4C43-91AD-1D2C70EAA8B3}" name="pH_Max" dataDxfId="738"/>
    <tableColumn id="87" xr3:uid="{D1217A84-A7A0-4AEE-9679-7464F5098E23}" name="ECt" dataDxfId="737"/>
    <tableColumn id="88" xr3:uid="{2CE1812F-8312-42E8-889A-FDB9B52C36F7}" name="Slope" dataDxfId="736"/>
    <tableColumn id="35" xr3:uid="{794CDD24-8D07-461C-AAFF-7FE618182B76}" name="CWR_Min" dataDxfId="735"/>
    <tableColumn id="36" xr3:uid="{AE2612D8-373E-42E2-BDE0-5E4C51B467D9}" name="CWR_Max" dataDxfId="734"/>
    <tableColumn id="37" xr3:uid="{AFCDA086-5841-47BC-87F2-6E02ADF348E8}" name="Sowing_Depth_cm" dataDxfId="733"/>
    <tableColumn id="38" xr3:uid="{46C91D45-FE3E-4C7F-992F-9E253C63A279}" name="Root_Depth_cm" dataDxfId="732"/>
    <tableColumn id="39" xr3:uid="{C176D6BB-13BA-4B37-AFD8-A41BF138E514}" name="Stress_Tolerance_Index" dataDxfId="731"/>
    <tableColumn id="40" xr3:uid="{7B34B13C-93B7-408E-AC44-A80DB4E4619F}" name="Row_Spacing_cm" dataDxfId="730"/>
    <tableColumn id="41" xr3:uid="{4DBEF6F5-C0A6-4AC3-AB60-8FE9B97EC8CD}" name="Plant_to_Plant_cm" dataDxfId="729"/>
    <tableColumn id="42" xr3:uid="{0F73117A-2141-48E1-9842-C53B8571DBAF}" name="Seed_Per_Spot" dataDxfId="728"/>
    <tableColumn id="43" xr3:uid="{AE70AA19-7512-4013-B165-5D557DC34A0E}" name="Seed_Rate_m2" dataDxfId="727">
      <calculatedColumnFormula>IFERROR(10000/(AS4*AR4),0)*AT4</calculatedColumnFormula>
    </tableColumn>
    <tableColumn id="44" xr3:uid="{88658110-9ABC-46F8-AFA5-6009E32D8707}" name="Seed_Weight_kg/ha" dataDxfId="726">
      <calculatedColumnFormula>ROUND((P4/1000000)*AU4*10000,2)</calculatedColumnFormula>
    </tableColumn>
    <tableColumn id="45" xr3:uid="{5CF3B118-4A27-4864-B7B1-DF4E91A7B5C6}" name="Germination_%" dataDxfId="725"/>
    <tableColumn id="46" xr3:uid="{66B003ED-DF7B-4F32-ACB7-1D27FE4FDD52}" name="Effective_Plants_m2" dataDxfId="724">
      <calculatedColumnFormula>ROUND(AU4*AW4/100,2)</calculatedColumnFormula>
    </tableColumn>
    <tableColumn id="47" xr3:uid="{4DF652A9-34CD-492F-9779-D4988D1BCC9C}" name="Tillers_Per_Plant" dataDxfId="723"/>
    <tableColumn id="48" xr3:uid="{39A81C06-C32E-4CD3-8E9F-1F1A904357FB}" name="Shoots_Per_m2" dataDxfId="722">
      <calculatedColumnFormula>IFERROR(AX4*AY4,0)</calculatedColumnFormula>
    </tableColumn>
    <tableColumn id="49" xr3:uid="{3A50FD6E-8390-42C8-9FC2-B6D64E5B941B}" name="Survival_Ratio" dataDxfId="721"/>
    <tableColumn id="50" xr3:uid="{5AAB329A-CA3F-453A-8220-724BF2F68E3E}" name="Shoot_Bearing_m2" dataDxfId="720">
      <calculatedColumnFormula>IFERROR(AZ4*BA4,0)</calculatedColumnFormula>
    </tableColumn>
    <tableColumn id="51" xr3:uid="{E483992E-C33B-41D3-B425-6B28E15A794B}" name="Leaf_Area_Per_Shoot_m2" dataDxfId="719"/>
    <tableColumn id="52" xr3:uid="{892A93FC-D37B-4270-AAE2-5DA03B00953A}" name="Start_LAI" dataDxfId="718">
      <calculatedColumnFormula>IFERROR(
  MAX(0.05, MIN(0.5, CropNorms_Alfalfa[[#This Row],[Leaf_Area_Per_Shoot_m2]] * CropNorms_Alfalfa[[#This Row],[Shoot_Bearing_m2]] )),
  0.2
)</calculatedColumnFormula>
    </tableColumn>
    <tableColumn id="53" xr3:uid="{13EDEA04-7676-42C4-9851-87CC60E5DE05}" name="LAI_Start_GDD" dataDxfId="717">
      <calculatedColumnFormula>_xlfn.XLOOKUP(CropNorms_Alfalfa[[#This Row],[LAI_Start_BBCH]], CropPhenology_Alfalfa[Sub_Stage], CropPhenology_Alfalfa[Start_GDD], "Not Found")</calculatedColumnFormula>
    </tableColumn>
    <tableColumn id="54" xr3:uid="{A6C11E7D-2F0D-4B05-9B70-4D64D6A1A11C}" name="Max_LAI" dataDxfId="716">
      <calculatedColumnFormula>ROUND(CropNorms_Alfalfa[[#This Row],[Shoot_Bearing_m2]]*CropNorms_Alfalfa[[#This Row],[Leaf_Area_Per_Shoot_m2]],2)</calculatedColumnFormula>
    </tableColumn>
    <tableColumn id="55" xr3:uid="{FEA78929-24A6-47AC-A056-5E4A42651B30}" name="LAI_Max_GDD" dataDxfId="715">
      <calculatedColumnFormula>AVERAGE(
  _xlfn.XLOOKUP(CropNorms_Alfalfa[[#This Row],[LAI_Max_BBCH]], CropPhenology_Alfalfa[Sub_Stage], CropPhenology_Alfalfa[Start_GDD]),
  _xlfn.XLOOKUP(CropNorms_Alfalfa[[#This Row],[LAI_Max_BBCH]], CropPhenology_Alfalfa[Sub_Stage], CropPhenology_Alfalfa[End_GDD])
)</calculatedColumnFormula>
    </tableColumn>
    <tableColumn id="56" xr3:uid="{7A06D402-5B39-4847-B2DB-6CA6E9DCDDA7}" name="End_LAI" dataDxfId="714">
      <calculatedColumnFormula>IF(CropNorms_Alfalfa[[#This Row],[Max_LAI]]&gt;=1.2, 0.85*CropNorms_Alfalfa[[#This Row],[Max_LAI]], 1)</calculatedColumnFormula>
    </tableColumn>
    <tableColumn id="57" xr3:uid="{4EA970B1-A343-4FF2-8D59-8C80603E4D9C}" name="LAI_End_GDD" dataDxfId="713">
      <calculatedColumnFormula>_xlfn.XLOOKUP(CropNorms_Alfalfa[[#This Row],[LAI_End_BBCH]], CropPhenology_Alfalfa[Sub_Stage], CropPhenology_Alfalfa[End_GDD], "Not Found")</calculatedColumnFormula>
    </tableColumn>
    <tableColumn id="58" xr3:uid="{FBEBF3F1-8E9D-4CCC-A4EE-FC8B784A42CB}" name="RUE_Max" dataDxfId="712">
      <calculatedColumnFormula array="1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86EB923-7E73-48BD-9E0F-F6C040795FB4}" name="RUE_Asymptote_Frac" dataDxfId="711">
      <calculatedColumnFormula array="1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EFE8FEA-ACFA-435A-93B7-8F31D4A8DD2C}" name="RUE_LAI_Half_Sat" dataDxfId="710">
      <calculatedColumnFormula array="1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4BF2530B-0183-4587-93EF-3A88EDC951FC}" name="RUE_Daily_Delta_Max" dataDxfId="709">
      <calculatedColumnFormula array="1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8A7854C-7D9C-44E5-9E45-38FBF2886BF0}" name="HI" dataDxfId="708"/>
    <tableColumn id="63" xr3:uid="{228982B7-E61F-49B9-AA45-58DBE2AD7439}" name="DM:FM" dataDxfId="707"/>
    <tableColumn id="64" xr3:uid="{A811D7A7-2C99-45E6-8A71-C04CC2A91476}" name="Yield_t/ha" dataDxfId="706"/>
    <tableColumn id="65" xr3:uid="{E6180686-ACF1-4A8F-B1A8-E22B10BC21C2}" name="Yield_Type" dataDxfId="705"/>
    <tableColumn id="66" xr3:uid="{CC3C95EC-F455-4899-ABF0-2B47015B70A1}" name="LAI_Start_BBCH" dataDxfId="704">
      <calculatedColumnFormula array="1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DAE99052-B0D1-4638-AE07-0269D39C1AED}" name="LAI_Max_BBCH" dataDxfId="703">
      <calculatedColumnFormula array="1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6F53682-BEBC-4FD0-836C-625B3EBF0E77}" name="LAI_End_BBCH" dataDxfId="702">
      <calculatedColumnFormula array="1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37A6531-84B4-41BA-9B66-D1C558C3FB9F}" name="Fruiting_Start_BBCH" dataDxfId="701">
      <calculatedColumnFormula array="1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B1F3A61-0097-443A-BF4E-2DCCEC8585D1}" name="N_Deficiency_kg/ha" dataDxfId="700"/>
    <tableColumn id="71" xr3:uid="{A46572F1-9071-4EE7-A280-7C440C92EE4F}" name="P_Deficiency_kg/ha" dataDxfId="699"/>
    <tableColumn id="72" xr3:uid="{C1A66B83-9C8F-42F7-B91A-AC8C9041A538}" name="K_deficiency_kg/ha" dataDxfId="698"/>
    <tableColumn id="73" xr3:uid="{CCA23A10-DD3B-4CDF-8191-B8DC51AD4821}" name="Sowing_Start_Season" dataDxfId="697"/>
    <tableColumn id="74" xr3:uid="{3EBD970F-E0F6-4CA0-9DD0-D120F01E4D12}" name="Sowing_End_Season" dataDxfId="696"/>
    <tableColumn id="75" xr3:uid="{0BF653B4-002F-4622-8237-A8637A5E7DE9}" name="Sand" dataDxfId="695"/>
    <tableColumn id="76" xr3:uid="{7E7DA9E2-3342-4D93-9688-103C0FB7CD84}" name="Loamy Sand" dataDxfId="694"/>
    <tableColumn id="77" xr3:uid="{DF9B50B3-40A2-4BAF-9B4C-28E87719708B}" name="Sandy Loam" dataDxfId="693"/>
    <tableColumn id="78" xr3:uid="{9B4EEA14-1D7D-41E0-A5AE-9B2969E8F5F9}" name="Loam" dataDxfId="692"/>
    <tableColumn id="79" xr3:uid="{8859CD3F-8D2E-4B59-BA60-EBDB4196177A}" name="Silt Loam" dataDxfId="691"/>
    <tableColumn id="80" xr3:uid="{EB77B146-A1CC-4967-A8F7-1859FAF24BAF}" name="Clay Loam" dataDxfId="690"/>
    <tableColumn id="81" xr3:uid="{B0AB0F1D-12C5-4AA2-9D78-DB8101F0DBBF}" name="Silt" dataDxfId="689"/>
    <tableColumn id="82" xr3:uid="{D6CADD57-F26A-4A07-BC43-BAA35EF6B34D}" name="Sandy Clay" dataDxfId="688"/>
    <tableColumn id="83" xr3:uid="{7EC66386-09C0-4C75-82AC-08EAE1012CA6}" name="Silty Clay Loam" dataDxfId="687"/>
    <tableColumn id="84" xr3:uid="{D7995809-D9EF-4F2C-B32B-6801FCE0B138}" name="Silty Clay" dataDxfId="686"/>
    <tableColumn id="85" xr3:uid="{3083788C-0F0D-47CB-BC2B-3F3141DBC69D}" name="Clay" dataDxfId="685"/>
    <tableColumn id="86" xr3:uid="{3813E8F4-15CA-479A-8A11-6952AFE76F03}" name="Sandy Clay Loam" dataDxfId="684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EB3E3BFA-CD24-4257-B775-4CE56D683E9B}" name="CropPhenology_Alfalfa" displayName="CropPhenology_Alfalfa" ref="A1:L39" totalsRowShown="0" headerRowDxfId="683" dataDxfId="681" headerRowBorderDxfId="682" tableBorderDxfId="680">
  <tableColumns count="12">
    <tableColumn id="1" xr3:uid="{42E1CB11-7583-4BD3-93DE-FD61AB7979C9}" name="Crop_Name" dataDxfId="679"/>
    <tableColumn id="2" xr3:uid="{665754E3-729F-46E8-83BA-005AFEC1F73C}" name="Principal_Stage" dataDxfId="678"/>
    <tableColumn id="3" xr3:uid="{19998497-8AF8-4C08-9558-91065C44A318}" name="Main_Stage" dataDxfId="677"/>
    <tableColumn id="4" xr3:uid="{708BB254-EEA6-4769-AD30-E00EA3AF1383}" name="Sub_Stage" dataDxfId="676"/>
    <tableColumn id="5" xr3:uid="{B8928AEA-FFBE-4D99-B7D3-BE69A7707D73}" name="Start_GDD" dataDxfId="675">
      <calculatedColumnFormula>F1+1</calculatedColumnFormula>
    </tableColumn>
    <tableColumn id="6" xr3:uid="{1B46758D-9298-465A-BE4A-B93323CBC2A2}" name="End_GDD" dataDxfId="674"/>
    <tableColumn id="7" xr3:uid="{CE1B89AD-3A84-4DD9-A7AA-8E10D59EA55E}" name="Daily_N_Kg/ha" dataDxfId="673"/>
    <tableColumn id="8" xr3:uid="{9B288259-1542-4E60-A5D5-F6E66E3F76B5}" name="Daily_P_Kg/ha" dataDxfId="672"/>
    <tableColumn id="9" xr3:uid="{16B0B40C-023B-4C97-83B9-E8E2815940B3}" name="Daily_K_Kg/ha" dataDxfId="671"/>
    <tableColumn id="10" xr3:uid="{5C9E8840-9F2F-408E-BC7F-DD36830F9113}" name="Crop_Coefficient" dataDxfId="670"/>
    <tableColumn id="11" xr3:uid="{F20FDB1C-FBF8-4AF4-A39E-4C41DBF19E16}" name="K_Ext (PAR)" dataDxfId="669"/>
    <tableColumn id="12" xr3:uid="{8AA74642-F4CE-44B0-93EE-B979D7BF481F}" name="SalineSensitivity" dataDxfId="66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B4A4EA-3B0A-4E95-8000-82D3699C67D9}" name="CropPhenology_Barley" displayName="CropPhenology_Barley" ref="A1:L54" totalsRowShown="0" headerRowDxfId="667" dataDxfId="665" headerRowBorderDxfId="666" tableBorderDxfId="664">
  <tableColumns count="12">
    <tableColumn id="1" xr3:uid="{432FA115-1F72-4007-8B46-92C97ECC31E6}" name="Crop_Name" dataDxfId="663"/>
    <tableColumn id="2" xr3:uid="{6B5BD52A-C1F5-4448-91C3-30F36652A8AD}" name="Principal_Stage" dataDxfId="662"/>
    <tableColumn id="3" xr3:uid="{6ADECF75-B3FF-431E-A6A7-964209BD0424}" name="Main_Stage" dataDxfId="661"/>
    <tableColumn id="4" xr3:uid="{498CFDC2-9CC0-4075-99E6-1F12DEAC3D7A}" name="Sub_Stage" dataDxfId="660"/>
    <tableColumn id="5" xr3:uid="{864F991A-15C5-497E-8590-1EBA38B6E090}" name="Start_GDD" dataDxfId="659">
      <calculatedColumnFormula>F1+1</calculatedColumnFormula>
    </tableColumn>
    <tableColumn id="6" xr3:uid="{40843BDB-B2AC-4A57-96E3-D98151CD91F4}" name="End_GDD" dataDxfId="658"/>
    <tableColumn id="7" xr3:uid="{8DBDB9AC-1E70-459B-8DDA-65A9DFCE2333}" name="Daily_N_Kg/ha" dataDxfId="657"/>
    <tableColumn id="8" xr3:uid="{6305CAFB-1507-45B9-A7F9-7E2C7C80616F}" name="Daily_P_Kg/ha" dataDxfId="656"/>
    <tableColumn id="9" xr3:uid="{9634474C-E791-4EF7-BC56-370F24BC849F}" name="Daily_K_Kg/ha" dataDxfId="655"/>
    <tableColumn id="10" xr3:uid="{B88E3AD7-2BF6-4C6F-9FFB-9C478BC696CC}" name="Crop_Coefficient" dataDxfId="654"/>
    <tableColumn id="11" xr3:uid="{73BA6E7B-AF77-45DF-B25D-92D821ED54AC}" name="K_Ext (PAR)" dataDxfId="653"/>
    <tableColumn id="12" xr3:uid="{7A082124-5719-4AD6-AF31-537E0C18CBD5}" name="SalineSensitivity" dataDxfId="652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C74D4A-1105-4AA5-BAEE-67C616D44FB7}" name="CropPhenology_BottleGourd" displayName="CropPhenology_BottleGourd" ref="A1:L37" totalsRowShown="0" headerRowDxfId="651" dataDxfId="649" headerRowBorderDxfId="650" tableBorderDxfId="648">
  <tableColumns count="12">
    <tableColumn id="1" xr3:uid="{0F81FB02-5B49-4035-A846-1998709557E4}" name="Crop_Name" dataDxfId="647"/>
    <tableColumn id="2" xr3:uid="{E80B1EC9-0BC7-4618-BC0C-C352835DCDCA}" name="Principal_Stage" dataDxfId="646"/>
    <tableColumn id="3" xr3:uid="{BD325CE5-F7D5-41C8-84A6-48765018B31A}" name="Main_Stage" dataDxfId="645"/>
    <tableColumn id="4" xr3:uid="{D28BD91E-4006-4EDB-BE0B-38F13666E6A0}" name="Sub_Stage" dataDxfId="644"/>
    <tableColumn id="5" xr3:uid="{C2CB2C80-068C-4A1C-9E6D-01D3B005D412}" name="Start_GDD" dataDxfId="643">
      <calculatedColumnFormula>F1+1</calculatedColumnFormula>
    </tableColumn>
    <tableColumn id="6" xr3:uid="{EEF2512E-A3F1-41FA-8531-33C2AC95E390}" name="End_GDD" dataDxfId="642"/>
    <tableColumn id="7" xr3:uid="{95CAE31B-25F1-4946-82B4-2C8CD8D5FE0F}" name="Daily_N_Kg/ha" dataDxfId="641"/>
    <tableColumn id="8" xr3:uid="{114E1678-0E48-4ADC-BAA9-A99B54725C89}" name="Daily_P_Kg/ha" dataDxfId="640"/>
    <tableColumn id="9" xr3:uid="{145B1855-CF9F-448F-AD3E-E38F60AFB6B3}" name="Daily_K_Kg/ha" dataDxfId="639"/>
    <tableColumn id="10" xr3:uid="{96441C6D-885D-4786-B859-57A789EE0A7E}" name="Crop_Coefficient" dataDxfId="638"/>
    <tableColumn id="11" xr3:uid="{8B2594FE-833D-4E45-B6FC-9F06A3F0C2B8}" name="K_Ext (PAR)" dataDxfId="637"/>
    <tableColumn id="12" xr3:uid="{0F416A5F-FE7A-4A94-9C3F-441929A5AF35}" name="SalineSensitivity" dataDxfId="63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C77843-CDE5-49C5-A47C-8D3D73557F5E}" name="CropPhenology_Brinjal" displayName="CropPhenology_Brinjal" ref="A1:L38" totalsRowShown="0" headerRowDxfId="635" dataDxfId="633" headerRowBorderDxfId="634" tableBorderDxfId="632">
  <tableColumns count="12">
    <tableColumn id="1" xr3:uid="{E3015A0E-653F-4DB9-B39F-1FDB50C9162A}" name="Crop_Name" dataDxfId="631"/>
    <tableColumn id="2" xr3:uid="{2EA4BA5E-AAAD-4C89-AADB-86749DA8F51A}" name="Principal_Stage" dataDxfId="630"/>
    <tableColumn id="3" xr3:uid="{335334EE-F9BF-4028-B4A8-2FF888BC25EF}" name="Main_Stage" dataDxfId="629"/>
    <tableColumn id="4" xr3:uid="{A0655109-A7E0-4B2F-B2A5-E8A088D22A82}" name="Sub_Stage" dataDxfId="628"/>
    <tableColumn id="5" xr3:uid="{554A1B43-4979-48E5-955B-263C359309A3}" name="Start_GDD" dataDxfId="627">
      <calculatedColumnFormula>F1+1</calculatedColumnFormula>
    </tableColumn>
    <tableColumn id="6" xr3:uid="{D9106C96-6019-442C-BD59-8FA5AAD2F22E}" name="End_GDD" dataDxfId="626"/>
    <tableColumn id="7" xr3:uid="{70C5E8B7-F032-4E35-8599-33F71EFC24AB}" name="Daily_N_Kg/ha" dataDxfId="625"/>
    <tableColumn id="8" xr3:uid="{549CD415-DBAE-4624-B8EC-D817FBABD20A}" name="Daily_P_Kg/ha" dataDxfId="624"/>
    <tableColumn id="9" xr3:uid="{D0628056-219F-4E6E-A3A5-D5B11320B981}" name="Daily_K_Kg/ha" dataDxfId="623"/>
    <tableColumn id="10" xr3:uid="{7155B7F7-9F95-4F00-A67C-D494D13039ED}" name="Crop_Coefficient" dataDxfId="622"/>
    <tableColumn id="11" xr3:uid="{96A2DD54-988D-4CFA-B0FF-A4E54BBA8BC5}" name="K_Ext (PAR)" dataDxfId="621"/>
    <tableColumn id="12" xr3:uid="{1381AE3D-F0FD-44F5-8DAB-49D7560DF520}" name="SalineSensitivity" dataDxfId="62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B3E1ED-7568-4152-ADEC-8F825B17EBA4}" name="CropPhenology_Broccoli" displayName="CropPhenology_Broccoli" ref="A1:L65" totalsRowShown="0" headerRowDxfId="619" dataDxfId="617" headerRowBorderDxfId="618" tableBorderDxfId="616">
  <tableColumns count="12">
    <tableColumn id="1" xr3:uid="{17C0B5F6-61DE-45D3-BB1E-27F64C6921B0}" name="Crop_Name" dataDxfId="615"/>
    <tableColumn id="2" xr3:uid="{5BB3D547-94D2-4CA0-BED4-6ACF5CB6A26D}" name="Principal_Stage" dataDxfId="614"/>
    <tableColumn id="3" xr3:uid="{761E900F-5132-4BD8-8266-6C84E98A41C3}" name="Main_Stage" dataDxfId="613"/>
    <tableColumn id="4" xr3:uid="{0694C0B1-8A7D-4E41-8121-CE8987201D7E}" name="Sub_Stage" dataDxfId="612"/>
    <tableColumn id="5" xr3:uid="{6A21DB83-FF6A-4B98-AE0F-ECB4AC781D9D}" name="Start_GDD" dataDxfId="611">
      <calculatedColumnFormula>F1+1</calculatedColumnFormula>
    </tableColumn>
    <tableColumn id="6" xr3:uid="{358DC694-1146-44F7-A806-6AF3DDD89A79}" name="End_GDD" dataDxfId="610"/>
    <tableColumn id="7" xr3:uid="{06BA88A8-1ECC-473D-900C-4676648B7F43}" name="Daily_N_Kg/ha" dataDxfId="609"/>
    <tableColumn id="8" xr3:uid="{912D4F2E-D925-440A-99C7-02C322B07AEB}" name="Daily_P_Kg/ha" dataDxfId="608"/>
    <tableColumn id="9" xr3:uid="{7D17B2A2-150A-4934-9A13-256D5551431A}" name="Daily_K_Kg/ha" dataDxfId="607"/>
    <tableColumn id="10" xr3:uid="{036A07D1-BF2D-44D5-97D0-85697B555005}" name="Crop_Coefficient" dataDxfId="606"/>
    <tableColumn id="11" xr3:uid="{3E42ECA4-39A3-4341-A8C7-20198212CE89}" name="K_Ext (PAR)" dataDxfId="605"/>
    <tableColumn id="12" xr3:uid="{D4CD0D7A-6524-4791-8529-E6DD92ADA3D3}" name="SalineSensitivity" dataDxfId="604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751C27-86AF-4105-A395-6531DDBEF4A0}" name="CropPhenology_Cabbage" displayName="CropPhenology_Cabbage" ref="A1:L56" totalsRowShown="0" headerRowDxfId="603" dataDxfId="601" headerRowBorderDxfId="602" tableBorderDxfId="600">
  <tableColumns count="12">
    <tableColumn id="1" xr3:uid="{33C75885-CF2D-4E36-9713-0311EE8A333E}" name="Crop_Name" dataDxfId="599"/>
    <tableColumn id="2" xr3:uid="{A8EEFAE4-3816-469B-94DC-D11152F0232D}" name="Principal_Stage" dataDxfId="598"/>
    <tableColumn id="3" xr3:uid="{E0E83578-1434-424D-9385-49D301C675C1}" name="Main_Stage" dataDxfId="597"/>
    <tableColumn id="4" xr3:uid="{40DEE7C2-3365-4ACC-8577-B97B29487A2C}" name="Sub_Stage" dataDxfId="596"/>
    <tableColumn id="5" xr3:uid="{A4A2C189-5BA6-462D-8C9E-61CD8AE9684C}" name="Start_GDD" dataDxfId="595">
      <calculatedColumnFormula>F1+1</calculatedColumnFormula>
    </tableColumn>
    <tableColumn id="6" xr3:uid="{DA7F4DEA-F585-4E2F-AC92-DF889E4CAD8C}" name="End_GDD" dataDxfId="594"/>
    <tableColumn id="7" xr3:uid="{FD96E267-6E2F-4807-8CD4-08B3F19A3129}" name="Daily_N_Kg/ha" dataDxfId="593"/>
    <tableColumn id="8" xr3:uid="{5BD356BF-C5A1-4C4A-A474-B6BCE0C57D69}" name="Daily_P_Kg/ha" dataDxfId="592"/>
    <tableColumn id="9" xr3:uid="{CD1FFA60-5738-40E3-9EF7-8F769B9FCEAC}" name="Daily_K_Kg/ha" dataDxfId="591"/>
    <tableColumn id="10" xr3:uid="{E32C37F7-34EB-41EE-8A41-23FB549EFC8D}" name="Crop_Coefficient" dataDxfId="590"/>
    <tableColumn id="11" xr3:uid="{EE52FF25-5BAB-46EF-8F84-B57615CC824D}" name="K_Ext (PAR)" dataDxfId="589"/>
    <tableColumn id="12" xr3:uid="{40027B05-31CD-4E6E-9143-A97F83BF567E}" name="SalineSensitivity" dataDxfId="58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C793BA-026F-44FF-B6FB-CF62C68B7E67}" name="CropPhenology_CanarySeed" displayName="CropPhenology_CanarySeed" ref="A1:L54" totalsRowShown="0" headerRowDxfId="587" dataDxfId="585" headerRowBorderDxfId="586" tableBorderDxfId="584">
  <tableColumns count="12">
    <tableColumn id="1" xr3:uid="{2D05A48E-FEF4-41B2-AEB5-3F1950F8105F}" name="Crop_Name" dataDxfId="583"/>
    <tableColumn id="2" xr3:uid="{39FA6AFB-7AC2-4026-812D-39CA846384BD}" name="Principal_Stage" dataDxfId="582"/>
    <tableColumn id="3" xr3:uid="{3D6B4788-0AAA-4318-A09C-63124901C014}" name="Main_Stage" dataDxfId="581"/>
    <tableColumn id="4" xr3:uid="{CB8EB21E-4E77-40AC-B816-0BC9CBB1600C}" name="Sub_Stage" dataDxfId="580"/>
    <tableColumn id="5" xr3:uid="{09D8C6D7-244F-4528-8827-EA3B8579C16A}" name="Start_GDD" dataDxfId="579">
      <calculatedColumnFormula>F1+1</calculatedColumnFormula>
    </tableColumn>
    <tableColumn id="6" xr3:uid="{DB2FE72B-FCF1-4131-A69F-F44600DF2B75}" name="End_GDD" dataDxfId="578"/>
    <tableColumn id="7" xr3:uid="{B7049240-B27C-421A-B658-A825F8B19D3E}" name="Daily_N_Kg/ha" dataDxfId="577"/>
    <tableColumn id="8" xr3:uid="{CF852ACE-4FD0-4CB0-BDEB-6524682B455C}" name="Daily_P_Kg/ha" dataDxfId="576"/>
    <tableColumn id="9" xr3:uid="{3A7384B4-EB3A-4408-A6AF-FDE8E8CE2F6D}" name="Daily_K_Kg/ha" dataDxfId="575"/>
    <tableColumn id="10" xr3:uid="{990FEBA5-969D-4128-8ED0-56E0FC595EE2}" name="Crop_Coefficient" dataDxfId="574"/>
    <tableColumn id="11" xr3:uid="{27B08149-0157-4963-A2A0-4D9A3BA0D3B8}" name="K_Ext (PAR)" dataDxfId="573"/>
    <tableColumn id="12" xr3:uid="{B2A1910A-C486-4E8D-9062-A78F133913C5}" name="SalineSensitivity" dataDxfId="572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70C884C-D62E-4DB0-9E5A-2A9B1F272A7A}" name="CropPhenology_Canola" displayName="CropPhenology_Canola" ref="A1:L59" totalsRowShown="0" headerRowDxfId="571" dataDxfId="569" headerRowBorderDxfId="570" tableBorderDxfId="568">
  <tableColumns count="12">
    <tableColumn id="1" xr3:uid="{A3351378-6D5B-4919-934D-613DFFF4FB18}" name="Crop_Name" dataDxfId="567"/>
    <tableColumn id="2" xr3:uid="{44959849-23D5-408A-B2CC-78E1537F770E}" name="Principal_Stage" dataDxfId="566"/>
    <tableColumn id="3" xr3:uid="{F4E63BCC-62E3-4F9F-9264-FDF15C6636FF}" name="Main_Stage" dataDxfId="565"/>
    <tableColumn id="4" xr3:uid="{8B554EDF-B1A2-41EB-9DF6-2058206AA34C}" name="Sub_Stage" dataDxfId="564"/>
    <tableColumn id="5" xr3:uid="{A3EF0005-FA15-4E65-B01E-CE0AD3A49DCA}" name="Start_GDD" dataDxfId="563">
      <calculatedColumnFormula>F1+1</calculatedColumnFormula>
    </tableColumn>
    <tableColumn id="6" xr3:uid="{B7F31647-50F5-4EE2-B001-DCC31DB0FCC7}" name="End_GDD" dataDxfId="562"/>
    <tableColumn id="7" xr3:uid="{FE54BFDD-E2BD-4FF8-B04D-FD1C7F4431E5}" name="Daily_N_Kg/ha" dataDxfId="561"/>
    <tableColumn id="8" xr3:uid="{57CC47F7-C84E-4ABF-92AA-0808652E1F8F}" name="Daily_P_Kg/ha" dataDxfId="560"/>
    <tableColumn id="9" xr3:uid="{FDD54A55-8666-4259-B22A-A0B746E121CD}" name="Daily_K_Kg/ha" dataDxfId="559"/>
    <tableColumn id="10" xr3:uid="{D5F4855C-B809-4B83-90BE-7FA76D98956B}" name="Crop_Coefficient" dataDxfId="558"/>
    <tableColumn id="11" xr3:uid="{3E2067E8-6F2A-4320-BA5A-1E23149413ED}" name="K_Ext (PAR)" dataDxfId="557"/>
    <tableColumn id="12" xr3:uid="{32D173F7-98E3-4A2B-882F-273BC4391E28}" name="SalineSensitivity" dataDxfId="556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410C989-57CB-4BDA-811C-D23BF3E4E5F5}" name="CropPhenology_Carrot" displayName="CropPhenology_Carrot" ref="A1:L64" totalsRowShown="0" headerRowDxfId="555" dataDxfId="553" headerRowBorderDxfId="554" tableBorderDxfId="552">
  <tableColumns count="12">
    <tableColumn id="1" xr3:uid="{CA0840D5-E64A-426D-8F8B-A714A496E31E}" name="Crop_Name" dataDxfId="551"/>
    <tableColumn id="2" xr3:uid="{E8553135-AD00-4687-A5DF-694E94A0A519}" name="Principal_Stage" dataDxfId="550"/>
    <tableColumn id="3" xr3:uid="{5D14186C-28EA-4D6F-BE63-5E70912FC456}" name="Main_Stage" dataDxfId="549"/>
    <tableColumn id="4" xr3:uid="{34464022-FAE3-407B-B166-64E07124C968}" name="Sub_Stage" dataDxfId="548"/>
    <tableColumn id="5" xr3:uid="{8A7B27E3-6631-4E35-B1CE-687926607155}" name="Start_GDD" dataDxfId="547">
      <calculatedColumnFormula>F1+1</calculatedColumnFormula>
    </tableColumn>
    <tableColumn id="6" xr3:uid="{5BB846F2-C38F-4BA3-A556-8FE07719D95B}" name="End_GDD" dataDxfId="546"/>
    <tableColumn id="7" xr3:uid="{79B0CB5A-453E-40CC-888B-586C992637D0}" name="Daily_N_Kg/ha" dataDxfId="545"/>
    <tableColumn id="8" xr3:uid="{40383C24-097B-48E2-98FE-E3208212E9A7}" name="Daily_P_Kg/ha" dataDxfId="544"/>
    <tableColumn id="9" xr3:uid="{C6A05676-4578-43F9-96A5-80E2B06DF708}" name="Daily_K_Kg/ha" dataDxfId="543"/>
    <tableColumn id="10" xr3:uid="{098AF387-08E1-4C22-93FF-A7E07D52194F}" name="Crop_Coefficient" dataDxfId="542"/>
    <tableColumn id="11" xr3:uid="{EC498CC0-8F77-4EFF-889B-039BC0250DCF}" name="K_Ext (PAR)" dataDxfId="541"/>
    <tableColumn id="12" xr3:uid="{7432D45A-2D42-4E9C-A97A-37DF64639D11}" name="SalineSensitivity" dataDxfId="540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6C800C6-A849-499E-8A20-78979A19670D}" name="CropPhenology_Cauliflower" displayName="CropPhenology_Cauliflower" ref="A1:L70" totalsRowShown="0" headerRowDxfId="539" dataDxfId="537" headerRowBorderDxfId="538" tableBorderDxfId="536">
  <tableColumns count="12">
    <tableColumn id="1" xr3:uid="{42FADB49-C094-4498-84A4-CD58D7D8061F}" name="Crop_Name" dataDxfId="535"/>
    <tableColumn id="2" xr3:uid="{FE44FEAC-FF10-46CD-80D8-6F5E3AC524C6}" name="Principal_Stage" dataDxfId="534"/>
    <tableColumn id="3" xr3:uid="{E7361D90-2F03-4FF5-A9C7-B944DB9FB357}" name="Main_Stage" dataDxfId="533"/>
    <tableColumn id="4" xr3:uid="{E21730BA-9967-4E3E-B654-4D586713502A}" name="Sub_Stage" dataDxfId="532"/>
    <tableColumn id="5" xr3:uid="{D16366A9-168A-4D28-8D5F-E5C966CF65BB}" name="Start_GDD" dataDxfId="531">
      <calculatedColumnFormula>F1+1</calculatedColumnFormula>
    </tableColumn>
    <tableColumn id="6" xr3:uid="{C3F7777D-38B3-4BE5-A283-7AEFB8C3D4D3}" name="End_GDD" dataDxfId="530"/>
    <tableColumn id="7" xr3:uid="{47660170-E42F-4502-9631-91D64BDC5B69}" name="Daily_N_Kg/ha" dataDxfId="529"/>
    <tableColumn id="8" xr3:uid="{86DD4BB6-A409-4EBD-8845-675EC86CE030}" name="Daily_P_Kg/ha" dataDxfId="528"/>
    <tableColumn id="9" xr3:uid="{C0E7E208-DF5E-461C-B61F-812151DB7792}" name="Daily_K_Kg/ha" dataDxfId="527"/>
    <tableColumn id="10" xr3:uid="{A679C37C-7AD7-43ED-8DA2-5F733879E8DE}" name="Crop_Coefficient" dataDxfId="526"/>
    <tableColumn id="11" xr3:uid="{7B552A5D-1EAC-4EC1-8FE1-FEA57F27937B}" name="K_Ext (PAR)" dataDxfId="525"/>
    <tableColumn id="12" xr3:uid="{2EA5B98E-EBBF-4929-AE1C-D88FE11F3780}" name="SalineSensitivity" dataDxfId="524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2BFF853-4208-404B-B09C-FC4B0200E951}" name="CropPhenology_ChickpeaKabuli" displayName="CropPhenology_ChickpeaKabuli" ref="A1:L53" totalsRowShown="0" headerRowDxfId="523" dataDxfId="521" headerRowBorderDxfId="522">
  <tableColumns count="12">
    <tableColumn id="1" xr3:uid="{F554AAC5-84A1-4A0D-B796-AE68A8693212}" name="Crop_Name" dataDxfId="520"/>
    <tableColumn id="2" xr3:uid="{D9571F79-5F6D-400D-B673-F5BF82124E67}" name="Principal_Stage" dataDxfId="519"/>
    <tableColumn id="3" xr3:uid="{7BA974B5-B84C-4050-8343-C77002E4D618}" name="Main_Stage" dataDxfId="518"/>
    <tableColumn id="4" xr3:uid="{49FFFD31-AFFB-4E30-AA51-7E76BC365B70}" name="Sub_Stage" dataDxfId="517"/>
    <tableColumn id="5" xr3:uid="{F76886F4-F3E0-43BC-8111-9608A6A4E4D6}" name="Start_GDD" dataDxfId="516">
      <calculatedColumnFormula>F1+1</calculatedColumnFormula>
    </tableColumn>
    <tableColumn id="6" xr3:uid="{33B13058-024B-47AD-8B3A-CB882F34338D}" name="End_GDD" dataDxfId="515"/>
    <tableColumn id="7" xr3:uid="{FCC06ADE-3E53-4580-BA25-F852F94E7B7F}" name="Daily_N_Kg/ha" dataDxfId="514"/>
    <tableColumn id="8" xr3:uid="{8D5D7FE3-6CCE-41F6-88A2-F73A5764E7A6}" name="Daily_P_Kg/ha" dataDxfId="513"/>
    <tableColumn id="9" xr3:uid="{9A78E3B2-8E50-4224-934E-E7D248458B3D}" name="Daily_K_Kg/ha" dataDxfId="512"/>
    <tableColumn id="10" xr3:uid="{A9874E10-7BB1-43BB-AF12-9EED277174A8}" name="Crop_Coefficient" dataDxfId="511"/>
    <tableColumn id="11" xr3:uid="{E3F837DC-0D2F-4B5B-8595-EF2C80CAD927}" name="K_Ext (PAR)" dataDxfId="510"/>
    <tableColumn id="12" xr3:uid="{2DEA688D-0E87-44CE-BD54-9FCD61636469}" name="SalineSensitivity" dataDxfId="509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1213955-5E98-44FA-8744-F52E768C0B1B}" name="CropPhenology_CorianderSeed" displayName="CropPhenology_CorianderSeed" ref="A1:L60" totalsRowShown="0" headerRowDxfId="508" dataDxfId="506" headerRowBorderDxfId="507" tableBorderDxfId="505">
  <tableColumns count="12">
    <tableColumn id="1" xr3:uid="{F30A590C-D5D9-4BF1-A5DB-86D5EEFEFD3A}" name="Crop_Name" dataDxfId="504"/>
    <tableColumn id="2" xr3:uid="{5D2A0BC6-D670-4F86-86EF-44437C4F1ED7}" name="Principal_Stage" dataDxfId="503"/>
    <tableColumn id="3" xr3:uid="{8A5E95F2-B054-44C3-B216-7412E774B7B8}" name="Main_Stage" dataDxfId="502"/>
    <tableColumn id="4" xr3:uid="{212E7C83-7450-4D5E-B43E-3AB6F1630CDB}" name="Sub_Stage" dataDxfId="501"/>
    <tableColumn id="5" xr3:uid="{4FE3B6EC-756E-4707-AD00-FD3BDFBAAD65}" name="Start_GDD" dataDxfId="500">
      <calculatedColumnFormula>F1+1</calculatedColumnFormula>
    </tableColumn>
    <tableColumn id="6" xr3:uid="{11DC69A9-BDF1-4C0C-9447-1506613FD1BA}" name="End_GDD" dataDxfId="499"/>
    <tableColumn id="7" xr3:uid="{DE8EF38B-6664-4DA2-A75B-510866406FF9}" name="Daily_N_Kg/ha" dataDxfId="498"/>
    <tableColumn id="8" xr3:uid="{171242FF-77E6-424E-94B8-A3C860C399E1}" name="Daily_P_Kg/ha" dataDxfId="497"/>
    <tableColumn id="9" xr3:uid="{5E571309-5A7D-4B95-B32A-821EA287D385}" name="Daily_K_Kg/ha" dataDxfId="496"/>
    <tableColumn id="10" xr3:uid="{97208218-546E-4AB3-B494-D11E88874ABA}" name="Crop_Coefficient" dataDxfId="495"/>
    <tableColumn id="11" xr3:uid="{650524E0-78F4-4CD2-8353-D6EBCFB95A59}" name="K_Ext (PAR)" dataDxfId="494"/>
    <tableColumn id="12" xr3:uid="{EADE437A-AF39-4F4A-887D-E0C41A5D1A41}" name="SalineSensitivity" dataDxfId="493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9336D42-7B61-4A59-B76D-45F2E1922A7D}" name="CropPhenology_Cotton" displayName="CropPhenology_Cotton" ref="A1:L63" totalsRowShown="0" headerRowDxfId="492" dataDxfId="490" headerRowBorderDxfId="491" tableBorderDxfId="489">
  <tableColumns count="12">
    <tableColumn id="1" xr3:uid="{7D17D804-FBA7-49AB-9705-C14C72658061}" name="Crop_Name" dataDxfId="488"/>
    <tableColumn id="2" xr3:uid="{1C661ABE-C541-4000-A10C-51A2E0975426}" name="Principal_Stage" dataDxfId="487"/>
    <tableColumn id="3" xr3:uid="{3E162824-6CEC-4199-9098-B52286367BCA}" name="Main_Stage" dataDxfId="486"/>
    <tableColumn id="4" xr3:uid="{3E0307BA-464D-45F5-842C-055230E02474}" name="Sub_Stage" dataDxfId="485"/>
    <tableColumn id="5" xr3:uid="{4C583B85-A981-43A0-A30F-58D6D4563964}" name="Start_GDD" dataDxfId="484">
      <calculatedColumnFormula>F1+1</calculatedColumnFormula>
    </tableColumn>
    <tableColumn id="6" xr3:uid="{16D35138-9EF3-4CAC-A86A-30DB669CD072}" name="End_GDD" dataDxfId="483"/>
    <tableColumn id="7" xr3:uid="{D3680C3D-5A07-4EEC-93D7-A69A150F0ED3}" name="Daily_N_Kg/ha" dataDxfId="482"/>
    <tableColumn id="8" xr3:uid="{D0B874E4-73CD-4654-AEE9-3F709F5DA9AC}" name="Daily_P_Kg/ha" dataDxfId="481"/>
    <tableColumn id="9" xr3:uid="{E153A7EB-3184-45B1-A505-FB09433BE59B}" name="Daily_K_Kg/ha" dataDxfId="480"/>
    <tableColumn id="10" xr3:uid="{63EB0A28-0258-47CF-B669-0D3E23AC9A6B}" name="Crop_Coefficient" dataDxfId="479"/>
    <tableColumn id="11" xr3:uid="{34488FBC-A993-42E4-90A7-A90E065F6FE0}" name="K_Ext (PAR)" dataDxfId="478"/>
    <tableColumn id="12" xr3:uid="{0599C897-5000-4B70-BFE6-8E1707D8144C}" name="SalineSensitivity" dataDxfId="477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27564E4-95D5-4BA9-B61B-FBA357AC9022}" name="CropPhenology_Cucumber" displayName="CropPhenology_Cucumber" ref="A1:L38" totalsRowShown="0" headerRowDxfId="476" dataDxfId="474" headerRowBorderDxfId="475" tableBorderDxfId="473">
  <tableColumns count="12">
    <tableColumn id="1" xr3:uid="{0D70B982-D57D-4B5C-AA20-1EA993914193}" name="Crop_Name" dataDxfId="472"/>
    <tableColumn id="2" xr3:uid="{104A4BE6-AE40-47BE-BF22-86A6E6086A71}" name="Principal_Stage" dataDxfId="471"/>
    <tableColumn id="3" xr3:uid="{98D5B368-10EA-4AEB-A487-67DB93F744BD}" name="Main_Stage" dataDxfId="470"/>
    <tableColumn id="4" xr3:uid="{81CA5BEC-EC14-4C31-B740-D00E4889B6CF}" name="Sub_Stage" dataDxfId="469"/>
    <tableColumn id="5" xr3:uid="{04074C4D-66B0-414B-AA0C-741BDDD83621}" name="Start_GDD" dataDxfId="468">
      <calculatedColumnFormula>F1+1</calculatedColumnFormula>
    </tableColumn>
    <tableColumn id="6" xr3:uid="{D33A95EF-80D9-45A1-AE5E-DE19352EFBC3}" name="End_GDD" dataDxfId="467"/>
    <tableColumn id="7" xr3:uid="{3D19167E-7FD2-4790-97BF-0E38D614C7B0}" name="Daily_N_Kg/ha" dataDxfId="466"/>
    <tableColumn id="8" xr3:uid="{D9D0567F-F297-4094-8F23-F846CC4BCBA4}" name="Daily_P_Kg/ha" dataDxfId="465"/>
    <tableColumn id="9" xr3:uid="{141E574B-DB32-4436-8402-405212784469}" name="Daily_K_Kg/ha" dataDxfId="464"/>
    <tableColumn id="10" xr3:uid="{28D0D6AE-7EAA-4BB5-80B2-A74D05CBB88D}" name="Crop_Coefficient" dataDxfId="463"/>
    <tableColumn id="11" xr3:uid="{B9A0CB29-4E6F-45C5-A7F9-BB9209AA491B}" name="K_Ext (PAR)" dataDxfId="462"/>
    <tableColumn id="12" xr3:uid="{07DE3D12-C62F-44A9-B478-263128F74A1E}" name="SalineSensitivity" dataDxfId="461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A06D6BD-E70D-4FEA-A74B-247B0CDA817C}" name="CropPhenology_FlaxSeed" displayName="CropPhenology_FlaxSeed" ref="A1:L60" totalsRowShown="0" headerRowDxfId="460" dataDxfId="458" headerRowBorderDxfId="459" tableBorderDxfId="457">
  <tableColumns count="12">
    <tableColumn id="1" xr3:uid="{DD98665E-4E16-4B42-9F14-0542D88743DA}" name="Crop_Name" dataDxfId="456"/>
    <tableColumn id="2" xr3:uid="{B499DEA0-F4CE-47FF-824E-C526387A47A0}" name="Principal_Stage" dataDxfId="455"/>
    <tableColumn id="3" xr3:uid="{8DADB888-32A0-4A7D-9154-A3C013A37C5F}" name="Main_Stage" dataDxfId="454"/>
    <tableColumn id="4" xr3:uid="{75A3758E-F1D4-4474-9C56-7EE261A5EDCA}" name="Sub_Stage" dataDxfId="453"/>
    <tableColumn id="5" xr3:uid="{4B404112-CF3F-4637-8A37-1B235F308F5E}" name="Start_GDD" dataDxfId="452">
      <calculatedColumnFormula>F1+1</calculatedColumnFormula>
    </tableColumn>
    <tableColumn id="6" xr3:uid="{2945DEB7-CF62-438E-BB33-1495C77D4BA9}" name="End_GDD" dataDxfId="451"/>
    <tableColumn id="7" xr3:uid="{D177A0D4-10A4-4EEF-B6CB-0D9F731D6E6C}" name="Daily_N_Kg/ha" dataDxfId="450"/>
    <tableColumn id="8" xr3:uid="{4C0170C4-1E99-4EB3-8C17-B1DCCA03D3BE}" name="Daily_P_Kg/ha" dataDxfId="449"/>
    <tableColumn id="9" xr3:uid="{46825AAE-33D3-435D-8CEC-65AED7B0D17B}" name="Daily_K_Kg/ha" dataDxfId="448"/>
    <tableColumn id="10" xr3:uid="{A104AFBF-574F-4001-8F5A-B47D61AC8508}" name="Crop_Coefficient" dataDxfId="447"/>
    <tableColumn id="11" xr3:uid="{81C954E5-EE81-458C-A782-C4AB14AA470B}" name="K_Ext (PAR)" dataDxfId="446"/>
    <tableColumn id="12" xr3:uid="{CF7AC11A-734E-4511-9C69-A86E6A7BE78A}" name="SalineSensitivity" dataDxfId="445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9D8B6AE-1515-4DF7-A309-D63257A3035A}" name="CropPhenology_FrenchBeans" displayName="CropPhenology_FrenchBeans" ref="A1:L46" totalsRowShown="0" headerRowDxfId="444" dataDxfId="442" headerRowBorderDxfId="443" tableBorderDxfId="441">
  <tableColumns count="12">
    <tableColumn id="1" xr3:uid="{C9877C62-CBBB-4389-A27E-3CC286D1F56F}" name="Crop_Name" dataDxfId="440"/>
    <tableColumn id="2" xr3:uid="{1BD17330-3DFA-4FAE-A9EA-1C5495B998A7}" name="Principal_Stage" dataDxfId="439"/>
    <tableColumn id="3" xr3:uid="{2AC80822-D675-4349-BA07-A2AC8ACC5A23}" name="Main_Stage" dataDxfId="438"/>
    <tableColumn id="4" xr3:uid="{F5C95730-05B6-47A2-9611-2CC088084630}" name="Sub_Stage" dataDxfId="437"/>
    <tableColumn id="5" xr3:uid="{238BEB30-AF48-4316-841D-1AC27301E5DB}" name="Start_GDD" dataDxfId="436">
      <calculatedColumnFormula>F1+1</calculatedColumnFormula>
    </tableColumn>
    <tableColumn id="6" xr3:uid="{8B189B77-509C-4222-86F9-FDB3117B1BBB}" name="End_GDD" dataDxfId="435"/>
    <tableColumn id="7" xr3:uid="{3540F3A3-0775-4447-8F6D-92CD13D71FF7}" name="Daily_N_Kg/ha" dataDxfId="434"/>
    <tableColumn id="8" xr3:uid="{8E627DAC-A619-4013-A957-599D982670B1}" name="Daily_P_Kg/ha" dataDxfId="433"/>
    <tableColumn id="9" xr3:uid="{506C8938-66AB-4CD8-9F4D-E91E7E53C1F3}" name="Daily_K_Kg/ha" dataDxfId="432"/>
    <tableColumn id="10" xr3:uid="{0FC2D6F3-81A1-443B-A6AF-D484DBFC3842}" name="Crop_Coefficient" dataDxfId="431"/>
    <tableColumn id="11" xr3:uid="{9F25984B-993A-4E05-A9E4-4020641BDC33}" name="K_Ext (PAR)" dataDxfId="430"/>
    <tableColumn id="12" xr3:uid="{8067B907-6BB2-4D39-AF63-E447E09B6E1E}" name="SalineSensitivity" dataDxfId="429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3BAD59F-D2CD-49B6-9D84-B26DE989F408}" name="CropPhenology_KidneyBeans" displayName="CropPhenology_KidneyBeans" ref="A1:L47" totalsRowShown="0" headerRowDxfId="428" dataDxfId="426" headerRowBorderDxfId="427" tableBorderDxfId="425">
  <tableColumns count="12">
    <tableColumn id="1" xr3:uid="{B8C25A06-8B87-49C5-8B52-8D58964CCB14}" name="Crop_Name" dataDxfId="424"/>
    <tableColumn id="2" xr3:uid="{6148CF05-8348-4C0E-9019-0D72AC2086A4}" name="Principal_Stage" dataDxfId="423"/>
    <tableColumn id="3" xr3:uid="{063F1F92-5166-417F-AA6E-A2C2ED0EC53B}" name="Main_Stage" dataDxfId="422"/>
    <tableColumn id="4" xr3:uid="{0E30F054-0437-424F-8DF4-54A7A1421151}" name="Sub_Stage" dataDxfId="421"/>
    <tableColumn id="5" xr3:uid="{527F0F6C-9464-40F6-BB08-DE21FBA86BBA}" name="Start_GDD" dataDxfId="420">
      <calculatedColumnFormula>F1+1</calculatedColumnFormula>
    </tableColumn>
    <tableColumn id="6" xr3:uid="{7A725608-1B3E-40EA-9DDE-E9C4D2389B55}" name="End_GDD" dataDxfId="419"/>
    <tableColumn id="7" xr3:uid="{74B9AD18-88EA-46A1-B648-FB0F4408B361}" name="Daily_N_Kg/ha" dataDxfId="418"/>
    <tableColumn id="8" xr3:uid="{7E34E4A1-4A4D-408D-934D-9FB7372818CE}" name="Daily_P_Kg/ha" dataDxfId="417"/>
    <tableColumn id="9" xr3:uid="{B652801B-744B-4B4E-B1CA-706072C7FAF6}" name="Daily_K_Kg/ha" dataDxfId="416"/>
    <tableColumn id="10" xr3:uid="{3EDE99AD-78E1-415C-A82B-49B597C59C39}" name="Crop_Coefficient" dataDxfId="415"/>
    <tableColumn id="11" xr3:uid="{56D70716-209E-43F6-88DF-1A5842FEB722}" name="K_Ext (PAR)" dataDxfId="414"/>
    <tableColumn id="12" xr3:uid="{BC197D52-828C-4FA6-845F-2AF2BA083D4B}" name="SalineSensitivity" dataDxfId="413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79A1ABC-E3E1-4FA3-B797-92A743861B7F}" name="CropPhenology_Lentil" displayName="CropPhenology_Lentil" ref="A1:L47" totalsRowShown="0" headerRowDxfId="412" dataDxfId="410" headerRowBorderDxfId="411" tableBorderDxfId="409">
  <tableColumns count="12">
    <tableColumn id="1" xr3:uid="{947C3AEB-244E-4B82-9BD9-51434C94BD6C}" name="Crop_Name" dataDxfId="408"/>
    <tableColumn id="2" xr3:uid="{6DF28CF1-E442-4CD2-9558-80CB81A67CD9}" name="Principal_Stage" dataDxfId="407"/>
    <tableColumn id="3" xr3:uid="{E8C1FAC8-CC14-4575-8C2C-5F1D34C1A88C}" name="Main_Stage" dataDxfId="406"/>
    <tableColumn id="4" xr3:uid="{15422307-CBF4-4DC3-9961-7D1B64352FF4}" name="Sub_Stage" dataDxfId="405"/>
    <tableColumn id="5" xr3:uid="{53B17FC2-627F-4521-AAC0-3AC6B01BD611}" name="Start_GDD" dataDxfId="404">
      <calculatedColumnFormula>F1+1</calculatedColumnFormula>
    </tableColumn>
    <tableColumn id="6" xr3:uid="{28BB073B-FC83-4D26-B658-BC054CF2E605}" name="End_GDD" dataDxfId="403"/>
    <tableColumn id="7" xr3:uid="{C6EA045D-327A-4139-ACEF-FED10F372C2E}" name="Daily_N_Kg/ha" dataDxfId="402"/>
    <tableColumn id="8" xr3:uid="{1BD44E06-374B-4C70-9F86-9DDFD119A9DB}" name="Daily_P_Kg/ha" dataDxfId="401"/>
    <tableColumn id="9" xr3:uid="{F2D45E0D-6262-42ED-8C26-7DE5F8BE8C80}" name="Daily_K_Kg/ha" dataDxfId="400"/>
    <tableColumn id="10" xr3:uid="{3E79ADEE-324B-485B-BF23-B7E0E9566979}" name="Crop_Coefficient" dataDxfId="399"/>
    <tableColumn id="11" xr3:uid="{73885972-7A2D-4BCB-96EF-CC3835571A69}" name="K_Ext (PAR)" dataDxfId="398"/>
    <tableColumn id="12" xr3:uid="{2CCB5104-623F-4F52-AC51-3CE7D84700C0}" name="SalineSensitivity" dataDxfId="397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1228255-FEE1-45F0-85D5-E20ABADF6964}" name="CropPhenology_Maize" displayName="CropPhenology_Maize" ref="A1:L55" totalsRowShown="0" headerRowDxfId="396" dataDxfId="394" headerRowBorderDxfId="395" tableBorderDxfId="393">
  <tableColumns count="12">
    <tableColumn id="1" xr3:uid="{E234F81E-4709-4484-B3CC-4EDA363511B6}" name="Crop_Name" dataDxfId="392"/>
    <tableColumn id="2" xr3:uid="{A0450CEC-E9F5-4C41-ADE3-0A382B1C9E23}" name="Principal_Stage" dataDxfId="391"/>
    <tableColumn id="3" xr3:uid="{16D67F8A-CAF0-4652-975F-3F8F1CB612EC}" name="Main_Stage" dataDxfId="390"/>
    <tableColumn id="4" xr3:uid="{439BE9E8-8423-4E0F-877D-BA4EABC948DE}" name="Sub_Stage" dataDxfId="389"/>
    <tableColumn id="5" xr3:uid="{F129E74F-4B09-44C3-B31E-AF26E797D050}" name="Start_GDD" dataDxfId="388">
      <calculatedColumnFormula>F1+1</calculatedColumnFormula>
    </tableColumn>
    <tableColumn id="6" xr3:uid="{BDC84F17-CEE7-4527-95A1-04AEB8B32559}" name="End_GDD" dataDxfId="387"/>
    <tableColumn id="7" xr3:uid="{B493CF37-E8E2-4A32-9230-4391139B8CC6}" name="Daily_N_Kg/ha" dataDxfId="386"/>
    <tableColumn id="8" xr3:uid="{04F183A1-E857-4376-B9E5-4ED749ABCDA7}" name="Daily_P_Kg/ha" dataDxfId="385"/>
    <tableColumn id="9" xr3:uid="{1AA3E10A-1AF7-413A-A574-06E89DC9D459}" name="Daily_K_Kg/ha" dataDxfId="384"/>
    <tableColumn id="10" xr3:uid="{39B80655-E9B8-4C4B-B821-D0920FF367E5}" name="Crop_Coefficient" dataDxfId="383"/>
    <tableColumn id="11" xr3:uid="{8684C6AB-CEBB-447C-8779-C93B4C82DF8D}" name="K_Ext (PAR)" dataDxfId="382"/>
    <tableColumn id="12" xr3:uid="{939BFC78-95DE-441F-AB90-C6C2B684B030}" name="SalineSensitivity" dataDxfId="381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C42CA6C-31F7-4A5E-B1ED-4A1EB4881CF9}" name="CropPhenology_Mash" displayName="CropPhenology_Mash" ref="A1:L47" totalsRowShown="0" headerRowDxfId="380" dataDxfId="378" headerRowBorderDxfId="379" tableBorderDxfId="377">
  <tableColumns count="12">
    <tableColumn id="1" xr3:uid="{5E7A5560-8DEF-41E3-BC77-1409CECA8D57}" name="Crop_Name" dataDxfId="376"/>
    <tableColumn id="2" xr3:uid="{E93A6767-FF56-4CA4-9E55-BCA5A8F15E78}" name="Principal_Stage" dataDxfId="375"/>
    <tableColumn id="3" xr3:uid="{02FB6227-BF03-47E1-98FF-14050C47A9C9}" name="Main_Stage" dataDxfId="374"/>
    <tableColumn id="4" xr3:uid="{527C241D-4E92-413A-A116-90E1DD0D17BB}" name="Sub_Stage" dataDxfId="373"/>
    <tableColumn id="5" xr3:uid="{C7784734-A743-4325-A185-65692340AEFB}" name="Start_GDD" dataDxfId="372">
      <calculatedColumnFormula>F1+1</calculatedColumnFormula>
    </tableColumn>
    <tableColumn id="6" xr3:uid="{95AAD2F9-63E8-406E-B18A-4F7BE5239D4D}" name="End_GDD" dataDxfId="371"/>
    <tableColumn id="7" xr3:uid="{20785B87-4E39-45AC-BB07-E882D876B522}" name="Daily_N_Kg/ha" dataDxfId="370"/>
    <tableColumn id="8" xr3:uid="{4882450C-DC64-4855-9D4C-7B8BD966C989}" name="Daily_P_Kg/ha" dataDxfId="369"/>
    <tableColumn id="9" xr3:uid="{498DEB1D-E91F-4CB8-9B72-F43FA418A444}" name="Daily_K_Kg/ha" dataDxfId="368"/>
    <tableColumn id="10" xr3:uid="{0803D210-D9DD-45EB-89C2-9CACE2AC2E9A}" name="Crop_Coefficient" dataDxfId="367"/>
    <tableColumn id="11" xr3:uid="{8B27830B-EE55-4D32-A313-5E642A515534}" name="K_Ext (PAR)" dataDxfId="366"/>
    <tableColumn id="12" xr3:uid="{C9707741-86C9-4847-A824-858C19E444B9}" name="SalineSensitivity" dataDxfId="36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F909B6A-C2FB-4463-8E9B-82F64D07F99F}" name="CropPhenology_Millet" displayName="CropPhenology_Millet" ref="A1:L54" totalsRowShown="0" headerRowDxfId="364" dataDxfId="362" headerRowBorderDxfId="363" tableBorderDxfId="361">
  <tableColumns count="12">
    <tableColumn id="1" xr3:uid="{91729724-8373-4473-AF97-543EE5F0AA9E}" name="Crop_Name" dataDxfId="360"/>
    <tableColumn id="2" xr3:uid="{38EA3A7C-D15E-4971-BD9B-C400991A8156}" name="Principal_Stage" dataDxfId="359"/>
    <tableColumn id="3" xr3:uid="{ED2D9928-85CD-4314-A62A-0D5AC0D5CD9E}" name="Main_Stage" dataDxfId="358"/>
    <tableColumn id="4" xr3:uid="{92ECF9A0-6FC6-4440-B9E0-6515B3BDC7EC}" name="Sub_Stage" dataDxfId="357"/>
    <tableColumn id="5" xr3:uid="{7780DD8B-F8E9-4EC0-9A04-AF5464FFD270}" name="Start_GDD" dataDxfId="356">
      <calculatedColumnFormula>F1+1</calculatedColumnFormula>
    </tableColumn>
    <tableColumn id="6" xr3:uid="{DDE7A743-490F-4844-A6F7-6413121DDF37}" name="End_GDD" dataDxfId="355"/>
    <tableColumn id="7" xr3:uid="{2382A722-E6D0-4E8C-A509-D6A7744E4AAF}" name="Daily_N_Kg/ha" dataDxfId="354"/>
    <tableColumn id="8" xr3:uid="{A40EA281-0A96-4F57-B91C-A5112B1A8BCA}" name="Daily_P_Kg/ha" dataDxfId="353"/>
    <tableColumn id="9" xr3:uid="{0859CDE6-9B97-4809-9AC3-2D655398E261}" name="Daily_K_Kg/ha" dataDxfId="352"/>
    <tableColumn id="10" xr3:uid="{F9390641-5180-483B-9D9B-4F8CE17B1DD6}" name="Crop_Coefficient" dataDxfId="351"/>
    <tableColumn id="11" xr3:uid="{400AABB2-985C-4CAE-8048-E37BEC8974A3}" name="K_Ext (PAR)" dataDxfId="350"/>
    <tableColumn id="12" xr3:uid="{1EAD24B2-BF81-4F55-A8BE-8024FD74FD5E}" name="SalineSensitivity" dataDxfId="349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1099808-ABA3-42A2-95BC-8EEC856C5994}" name="CropPhenology_Mustard" displayName="CropPhenology_Mustard" ref="A1:L58" totalsRowShown="0" headerRowDxfId="348" dataDxfId="346" headerRowBorderDxfId="347">
  <tableColumns count="12">
    <tableColumn id="1" xr3:uid="{075F28D8-EAEB-4BB5-927C-11C72CF4E459}" name="Crop_Name" dataDxfId="345"/>
    <tableColumn id="2" xr3:uid="{30C4590C-CDDD-41F1-BD57-06681CCAEC2B}" name="Principal_Stage" dataDxfId="344"/>
    <tableColumn id="3" xr3:uid="{309C9D46-AA3F-4EE0-9F8B-817FA1D0874B}" name="Main_Stage" dataDxfId="343"/>
    <tableColumn id="4" xr3:uid="{CA47C2B7-C020-4124-8FA0-426D6519E4FA}" name="Sub_Stage" dataDxfId="342"/>
    <tableColumn id="5" xr3:uid="{4C3B3CD6-05D7-4BCB-9771-BA7F95FA6B37}" name="Start_GDD" dataDxfId="341">
      <calculatedColumnFormula>F1+1</calculatedColumnFormula>
    </tableColumn>
    <tableColumn id="6" xr3:uid="{43911F00-C069-4961-B343-1FA53B628B36}" name="End_GDD" dataDxfId="340"/>
    <tableColumn id="7" xr3:uid="{A1A940CE-52FC-43B1-8D10-A825A5788AD9}" name="Daily_N_Kg/ha" dataDxfId="339"/>
    <tableColumn id="8" xr3:uid="{D394EEE5-D3CD-4155-B75C-3BA3E50EB6D1}" name="Daily_P_Kg/ha" dataDxfId="338"/>
    <tableColumn id="9" xr3:uid="{4DE7211E-41F9-43A1-8BDF-F617AED7F650}" name="Daily_K_Kg/ha" dataDxfId="337"/>
    <tableColumn id="10" xr3:uid="{0FD8C4BD-7E2B-40A2-9FFC-4F6D3D831397}" name="Crop_Coefficient" dataDxfId="336"/>
    <tableColumn id="11" xr3:uid="{C20EC02C-390D-4792-A838-BF68D87EE115}" name="K_Ext (PAR)" dataDxfId="335"/>
    <tableColumn id="12" xr3:uid="{92F01DFA-3D81-49A8-8966-EF96CF6F2C5A}" name="SalineSensitivity" dataDxfId="334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7EB7A86-EC32-4C14-A778-3EB235F825E6}" name="CropPhenology_Oat" displayName="CropPhenology_Oat" ref="A1:L51" totalsRowShown="0" headerRowDxfId="333" dataDxfId="331" headerRowBorderDxfId="332" tableBorderDxfId="330">
  <tableColumns count="12">
    <tableColumn id="1" xr3:uid="{BE337986-579B-4C4A-AF61-7B0A3156E6BB}" name="Crop_Name" dataDxfId="329"/>
    <tableColumn id="2" xr3:uid="{118838A2-85F5-47D8-AF82-AF22B506C491}" name="Principal_Stage" dataDxfId="328"/>
    <tableColumn id="3" xr3:uid="{2BC48726-A8A7-48FC-A227-9F86763B55A1}" name="Main_Stage" dataDxfId="327"/>
    <tableColumn id="4" xr3:uid="{F7569995-9F5B-4DF6-BD6A-4919483276F1}" name="Sub_Stage" dataDxfId="326"/>
    <tableColumn id="5" xr3:uid="{90530258-926A-47FF-94AF-A4C076DA0ABD}" name="Start_GDD" dataDxfId="325">
      <calculatedColumnFormula>F1+1</calculatedColumnFormula>
    </tableColumn>
    <tableColumn id="6" xr3:uid="{30D0B0AC-D1B9-422F-9712-66F5208148FF}" name="End_GDD" dataDxfId="324"/>
    <tableColumn id="7" xr3:uid="{131D2E4F-2DD0-4AE9-B2D8-6C0D4D8F0EC1}" name="Daily_N_Kg/ha" dataDxfId="323"/>
    <tableColumn id="8" xr3:uid="{E6E217E5-C77B-4794-BFCE-09C5085E90B1}" name="Daily_P_Kg/ha" dataDxfId="322"/>
    <tableColumn id="9" xr3:uid="{77774CB0-224D-4732-A236-3DBE572C1263}" name="Daily_K_Kg/ha" dataDxfId="321"/>
    <tableColumn id="10" xr3:uid="{2E836DB8-69AF-47D3-A64F-27D496CF06B2}" name="Crop_Coefficient" dataDxfId="320"/>
    <tableColumn id="11" xr3:uid="{D1D2B296-116F-432F-86AE-58EBCB34164C}" name="K_Ext (PAR)" dataDxfId="319"/>
    <tableColumn id="12" xr3:uid="{B01DD54F-4820-4C26-B7D3-113C9D2B033E}" name="SalineSensitivity" dataDxfId="318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B83F9A2-B31E-4904-96AC-90809192A04B}" name="CropPhenology_Okra" displayName="CropPhenology_Okra" ref="A1:L39" totalsRowShown="0" headerRowDxfId="317" dataDxfId="316" tableBorderDxfId="315">
  <tableColumns count="12">
    <tableColumn id="1" xr3:uid="{3B2185C6-2D8C-4A0A-A1FF-178D6BBA84B5}" name="Crop_Name" dataDxfId="314"/>
    <tableColumn id="2" xr3:uid="{00579B4A-4DEE-4835-B0F7-CD2B49123116}" name="Principal_Stage" dataDxfId="313"/>
    <tableColumn id="3" xr3:uid="{F3A93559-DA38-479E-91BD-E6B74DD997A2}" name="Main_Stage" dataDxfId="312"/>
    <tableColumn id="4" xr3:uid="{32D5162A-9E36-4912-96A9-C70F2A1FA66B}" name="Sub_Stage" dataDxfId="311"/>
    <tableColumn id="5" xr3:uid="{3F775E4C-DF46-41A2-A725-3A8E1A69DEAC}" name="Start_GDD" dataDxfId="310">
      <calculatedColumnFormula>F1+1</calculatedColumnFormula>
    </tableColumn>
    <tableColumn id="6" xr3:uid="{26E7CFD7-51A5-428F-8F0E-1E3E6D621A9B}" name="End_GDD" dataDxfId="309"/>
    <tableColumn id="7" xr3:uid="{09E93827-C53F-4923-BAF8-A56D3C867F7F}" name="Daily_N_Kg/ha" dataDxfId="308"/>
    <tableColumn id="8" xr3:uid="{FDD0F0C4-99E9-49B7-91F8-48FDBA6003D7}" name="Daily_P_Kg/ha" dataDxfId="307"/>
    <tableColumn id="9" xr3:uid="{4993BBC4-71C3-4998-BC11-9D058727DE7B}" name="Daily_K_Kg/ha" dataDxfId="306"/>
    <tableColumn id="10" xr3:uid="{C09C31BD-36F5-490B-85C5-B290CD6CD502}" name="Crop_Coefficient" dataDxfId="305"/>
    <tableColumn id="11" xr3:uid="{B8E2D423-CEAB-468D-B5F3-18B704C9FECE}" name="K_Ext (PAR)" dataDxfId="304"/>
    <tableColumn id="12" xr3:uid="{F554D6B4-0303-40BA-99E0-5EF750E99306}" name="SalineSensitivity" dataDxfId="303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51B89BCE-B13E-446B-997A-2723EF31D35F}" name="CropPhenology_Onion" displayName="CropPhenology_Onion" ref="A1:L48" totalsRowShown="0" headerRowDxfId="302" dataDxfId="300" headerRowBorderDxfId="301" tableBorderDxfId="299">
  <tableColumns count="12">
    <tableColumn id="1" xr3:uid="{4A4A38EA-C304-49FC-80B3-56418A20C7C0}" name="Crop_Name" dataDxfId="298"/>
    <tableColumn id="2" xr3:uid="{1132A47E-6C79-490D-972D-54B0E58BD685}" name="Principal_Stage" dataDxfId="297"/>
    <tableColumn id="3" xr3:uid="{F870553C-0A38-4B45-B7DD-CA7019C52208}" name="Main_Stage" dataDxfId="296"/>
    <tableColumn id="4" xr3:uid="{B76E49E4-3546-4BDA-B97C-62B7376975AC}" name="Sub_Stage" dataDxfId="295"/>
    <tableColumn id="5" xr3:uid="{EB34020E-996B-4E9A-A24B-E6D6DF3C79FC}" name="Start_GDD" dataDxfId="294">
      <calculatedColumnFormula>F1+1</calculatedColumnFormula>
    </tableColumn>
    <tableColumn id="6" xr3:uid="{1901B78A-C4C1-4B63-B04D-F44B93D0601C}" name="End_GDD" dataDxfId="293"/>
    <tableColumn id="7" xr3:uid="{0CA67947-EA6B-4AB7-9749-0D7343501E6B}" name="Daily_N_Kg/ha" dataDxfId="292"/>
    <tableColumn id="8" xr3:uid="{8D347731-C1F6-46B1-BFD2-D6299C3050C7}" name="Daily_P_Kg/ha" dataDxfId="291"/>
    <tableColumn id="9" xr3:uid="{5FB467D9-6F9A-48D3-8794-FB28118C6F89}" name="Daily_K_Kg/ha" dataDxfId="290"/>
    <tableColumn id="10" xr3:uid="{EBF82A94-75CF-447C-9F5B-C6B1CA4E57B6}" name="Crop_Coefficient" dataDxfId="289"/>
    <tableColumn id="11" xr3:uid="{78A7BBC6-830F-491A-91A3-626EB80521F0}" name="K_Ext (PAR)" dataDxfId="288"/>
    <tableColumn id="12" xr3:uid="{C1CA58D0-E30A-49C5-B25A-28947BF895D3}" name="SalineSensitivity" dataDxfId="287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E841EFC-725F-4C87-B82B-D715F5C6C366}" name="CropPhenology_Pea" displayName="CropPhenology_Pea" ref="A1:L48" totalsRowShown="0" headerRowDxfId="286" dataDxfId="284" headerRowBorderDxfId="285" tableBorderDxfId="283">
  <tableColumns count="12">
    <tableColumn id="1" xr3:uid="{A02609A7-2799-4942-A07E-6C6E9E3189B6}" name="Crop_Name" dataDxfId="282"/>
    <tableColumn id="2" xr3:uid="{614BF09E-AD1B-4C3D-BB32-3A3830506790}" name="Principal_Stage" dataDxfId="281"/>
    <tableColumn id="3" xr3:uid="{EBA7F79D-575E-4728-A105-163F96225E52}" name="Main_Stage" dataDxfId="280"/>
    <tableColumn id="4" xr3:uid="{57B8AFF0-69D4-49F0-A602-581E91B080F3}" name="Sub_Stage" dataDxfId="279"/>
    <tableColumn id="5" xr3:uid="{7F583902-5F85-4142-A786-907A9293457A}" name="Start_GDD" dataDxfId="278">
      <calculatedColumnFormula>F1+1</calculatedColumnFormula>
    </tableColumn>
    <tableColumn id="6" xr3:uid="{3E01DAF6-675D-4076-B513-1B8455CD039D}" name="End_GDD" dataDxfId="277"/>
    <tableColumn id="7" xr3:uid="{7E648741-273A-447D-AF95-2EA865640568}" name="Daily_N_Kg/ha" dataDxfId="276"/>
    <tableColumn id="8" xr3:uid="{4B014913-D76D-4E4D-9E00-2490930F52EB}" name="Daily_P_Kg/ha" dataDxfId="275"/>
    <tableColumn id="9" xr3:uid="{0686A290-44AA-4F64-9A0F-813ED2E35F57}" name="Daily_K_Kg/ha" dataDxfId="274"/>
    <tableColumn id="10" xr3:uid="{16FE7DD7-1D3A-4D8A-9477-F19F2A44CD76}" name="Crop_Coefficient" dataDxfId="273"/>
    <tableColumn id="11" xr3:uid="{EDACAD6D-6634-414C-AE88-BD4F2BA3B492}" name="K_Ext (PAR)" dataDxfId="272"/>
    <tableColumn id="12" xr3:uid="{46D08728-D1BF-40B1-807C-13DD1247F5A8}" name="SalineSensitivity" dataDxfId="271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10AFA66-58C3-4000-8ABF-21DEB632A167}" name="CropPhenology_Peanut" displayName="CropPhenology_Peanut" ref="A1:L60" totalsRowShown="0" headerRowDxfId="270" dataDxfId="268" headerRowBorderDxfId="269" tableBorderDxfId="267">
  <tableColumns count="12">
    <tableColumn id="1" xr3:uid="{91A5017F-A9F7-48E5-AA0B-E1AD43098EF5}" name="Crop_Name" dataDxfId="266"/>
    <tableColumn id="2" xr3:uid="{3BE75B2A-BF64-48E4-83FF-7DC390302B17}" name="Principal_Stage" dataDxfId="265"/>
    <tableColumn id="3" xr3:uid="{65A3B797-57C6-49C8-8B2A-A02327ACCFA0}" name="Main_Stage" dataDxfId="264"/>
    <tableColumn id="4" xr3:uid="{5CD79181-098D-44F6-A569-E9F90419486D}" name="Sub_Stage" dataDxfId="263"/>
    <tableColumn id="5" xr3:uid="{16C106F6-113D-4DC7-A1DD-AC1ED80B22C1}" name="Start_GDD" dataDxfId="262">
      <calculatedColumnFormula>F1+1</calculatedColumnFormula>
    </tableColumn>
    <tableColumn id="6" xr3:uid="{02C0F150-518C-439A-B44B-03F1D153B270}" name="End_GDD" dataDxfId="261"/>
    <tableColumn id="7" xr3:uid="{7ED55D2B-1BBA-4BD2-A618-E910047B9800}" name="Daily_N_Kg/ha" dataDxfId="260"/>
    <tableColumn id="8" xr3:uid="{890B43BC-E273-469A-934F-8D936F9C3F98}" name="Daily_P_Kg/ha" dataDxfId="259"/>
    <tableColumn id="9" xr3:uid="{56D3F6CB-AADD-4BE3-A705-DDB366678927}" name="Daily_K_Kg/ha" dataDxfId="258"/>
    <tableColumn id="10" xr3:uid="{04B04218-D96E-4361-95E3-A643E3B1D2F0}" name="Crop_Coefficient" dataDxfId="257"/>
    <tableColumn id="11" xr3:uid="{EA749B5B-A384-4FC3-9680-5FE70162BC75}" name="K_Ext (PAR)" dataDxfId="256"/>
    <tableColumn id="12" xr3:uid="{DCA4839F-6BB6-43E9-B511-B24DB139FEC7}" name="SalineSensitivity" dataDxfId="255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0A5BCA2-D510-4632-A4D8-620A83C21340}" name="CropPhenology_Potato" displayName="CropPhenology_Potato" ref="A1:L59" totalsRowShown="0" headerRowDxfId="254" dataDxfId="252" headerRowBorderDxfId="253" tableBorderDxfId="251">
  <tableColumns count="12">
    <tableColumn id="1" xr3:uid="{2D75DFB5-5FC5-4C5F-9C98-793BD663ACA4}" name="Crop_Name" dataDxfId="250"/>
    <tableColumn id="2" xr3:uid="{EBF19EE4-8126-4547-842B-21D710ED8EA5}" name="Principal_Stage" dataDxfId="249"/>
    <tableColumn id="3" xr3:uid="{E2DFC3B5-1A6A-4E6F-B66B-F76C80D69C74}" name="Main_Stage" dataDxfId="248"/>
    <tableColumn id="4" xr3:uid="{56354A16-4976-4B62-8BDA-BF3C2C0EF4FD}" name="Sub_Stage" dataDxfId="247"/>
    <tableColumn id="5" xr3:uid="{2DA01C73-CA6A-471B-B012-5D3BD3B0B485}" name="Start_GDD" dataDxfId="246">
      <calculatedColumnFormula>F1+1</calculatedColumnFormula>
    </tableColumn>
    <tableColumn id="6" xr3:uid="{9608C134-1F34-44BC-808F-ED265448772D}" name="End_GDD" dataDxfId="245"/>
    <tableColumn id="7" xr3:uid="{D26C04C6-BCC7-4B65-AEB3-219E8DDFF05D}" name="Daily_N_Kg/ha" dataDxfId="244"/>
    <tableColumn id="8" xr3:uid="{EAC8A15F-658E-4FA1-B99C-3EA105800EA5}" name="Daily_P_Kg/ha" dataDxfId="243"/>
    <tableColumn id="9" xr3:uid="{2F4C5744-42B3-46C6-B152-55737A3EAD2D}" name="Daily_K_Kg/ha" dataDxfId="242"/>
    <tableColumn id="10" xr3:uid="{6411A766-466D-4A3E-A28E-3C0CBEBA7129}" name="Crop_Coefficient" dataDxfId="241"/>
    <tableColumn id="11" xr3:uid="{B3061EFD-E9CF-4F51-8DA6-2DA0729DC39A}" name="K_Ext (PAR)" dataDxfId="240"/>
    <tableColumn id="12" xr3:uid="{FED761D2-439A-4593-BA65-CDECE973530E}" name="SalineSensitivity" dataDxfId="239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B0CE280F-6580-485D-AE84-A07814FF2546}" name="CropPhenology_Radish" displayName="CropPhenology_Radish" ref="A1:L50" totalsRowShown="0" headerRowDxfId="238" dataDxfId="236" headerRowBorderDxfId="237" tableBorderDxfId="235">
  <tableColumns count="12">
    <tableColumn id="1" xr3:uid="{1A7A089F-531A-430A-8436-346A309628CB}" name="Crop_Name" dataDxfId="234"/>
    <tableColumn id="2" xr3:uid="{1FE10219-A998-4AF4-8379-0F7F470ED7D8}" name="Principal_Stage" dataDxfId="233"/>
    <tableColumn id="3" xr3:uid="{F771C66D-734B-4266-9748-E02CD7A52E09}" name="Main_Stage" dataDxfId="232"/>
    <tableColumn id="4" xr3:uid="{173DF68F-6305-477E-9D6E-E3399362F19E}" name="Sub_Stage" dataDxfId="231"/>
    <tableColumn id="5" xr3:uid="{4A95E463-1DCA-47E5-98CC-FD95B49F9694}" name="Start_GDD" dataDxfId="230">
      <calculatedColumnFormula>F1+1</calculatedColumnFormula>
    </tableColumn>
    <tableColumn id="6" xr3:uid="{53397D83-D940-4023-958E-61E5AF8B16D4}" name="End_GDD" dataDxfId="229"/>
    <tableColumn id="7" xr3:uid="{784EAD99-9765-49CC-8921-CF65B49FE9F8}" name="Daily_N_Kg/ha" dataDxfId="228"/>
    <tableColumn id="8" xr3:uid="{B4D58E1C-70E8-4E3B-9E4A-7A0A4F21B6AA}" name="Daily_P_Kg/ha" dataDxfId="227"/>
    <tableColumn id="9" xr3:uid="{3C68C821-031C-4387-A0B8-F75643C9D357}" name="Daily_K_Kg/ha" dataDxfId="226"/>
    <tableColumn id="10" xr3:uid="{00BE58BF-41DE-4B25-8888-FE82D2AF11EB}" name="Crop_Coefficient" dataDxfId="225"/>
    <tableColumn id="11" xr3:uid="{00A23673-DFE7-4B29-B775-76BBAA83BFDD}" name="K_Ext (PAR)" dataDxfId="224"/>
    <tableColumn id="12" xr3:uid="{11F42C6D-3F32-4257-B12C-9DD05BC8EA95}" name="SalineSensitivity" dataDxfId="223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C2A9542-8E35-4085-8488-3B2539899A40}" name="CropPhenology_Rice" displayName="CropPhenology_Rice" ref="A1:L50" totalsRowShown="0" headerRowDxfId="222" dataDxfId="220" headerRowBorderDxfId="221" tableBorderDxfId="219">
  <tableColumns count="12">
    <tableColumn id="1" xr3:uid="{55A6051A-73EA-4C71-BF8D-FAD52711C139}" name="Crop_Name" dataDxfId="218"/>
    <tableColumn id="2" xr3:uid="{31499856-72DB-476F-913B-2ED38061EC84}" name="Principal_Stage" dataDxfId="217"/>
    <tableColumn id="3" xr3:uid="{EF9A9295-1F1D-4085-8DEF-F9BE05A93AB6}" name="Main_Stage" dataDxfId="216"/>
    <tableColumn id="4" xr3:uid="{EA4D235E-2F7C-4E03-A8F6-CAED7E102062}" name="Sub_Stage" dataDxfId="215"/>
    <tableColumn id="5" xr3:uid="{37696B38-BF6F-44C7-AC09-32EB66A528D5}" name="Start_GDD" dataDxfId="214">
      <calculatedColumnFormula>F1+1</calculatedColumnFormula>
    </tableColumn>
    <tableColumn id="6" xr3:uid="{B807AE0E-DA8C-4F95-A8C1-E7B681C47315}" name="End_GDD" dataDxfId="213"/>
    <tableColumn id="7" xr3:uid="{70B004F8-BC33-43AB-9639-79FD3E62DBB1}" name="Daily_N_Kg/ha" dataDxfId="212"/>
    <tableColumn id="8" xr3:uid="{66FF0539-4A70-4D6D-A089-08A629424894}" name="Daily_P_Kg/ha" dataDxfId="211"/>
    <tableColumn id="9" xr3:uid="{53F5DEA1-B240-4392-AFE1-2B9C1FCE1BB6}" name="Daily_K_Kg/ha" dataDxfId="210"/>
    <tableColumn id="10" xr3:uid="{463A10FB-ECCD-4AC6-B858-8F13638C0BDB}" name="Crop_Coefficient" dataDxfId="209"/>
    <tableColumn id="11" xr3:uid="{648482F2-2B3D-418B-8951-E34E72299FCE}" name="K_Ext (PAR)" dataDxfId="208"/>
    <tableColumn id="12" xr3:uid="{EDB23C54-744C-44FA-A172-77D5A932D804}" name="SalineSensitivity" dataDxfId="207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58E2338-C62F-45E7-B860-4729B56BAA5E}" name="CropPhenology_Sesame" displayName="CropPhenology_Sesame" ref="A1:L58" totalsRowShown="0" headerRowDxfId="206" dataDxfId="204" headerRowBorderDxfId="205" tableBorderDxfId="203">
  <tableColumns count="12">
    <tableColumn id="1" xr3:uid="{171F48F1-8B42-427A-B959-562191A09D5C}" name="Crop_Name" dataDxfId="202"/>
    <tableColumn id="2" xr3:uid="{A5DA4BFB-C3C3-4C12-83BD-E95262817318}" name="Principal_Stage" dataDxfId="201"/>
    <tableColumn id="3" xr3:uid="{A2B1A0EA-D6A2-4FDE-B30A-B3E639683BD9}" name="Main_Stage" dataDxfId="200"/>
    <tableColumn id="4" xr3:uid="{407F48F8-3CD8-422A-92DF-E2BEAC1D7160}" name="Sub_Stage" dataDxfId="199"/>
    <tableColumn id="5" xr3:uid="{AA790594-E454-4E5B-B671-D235BA49EA03}" name="Start_GDD" dataDxfId="198">
      <calculatedColumnFormula>F1+1</calculatedColumnFormula>
    </tableColumn>
    <tableColumn id="6" xr3:uid="{EF43AA37-9807-49BC-BE90-8B2C55D4B2E1}" name="End_GDD" dataDxfId="197"/>
    <tableColumn id="7" xr3:uid="{EB89CDC6-10A9-4592-AE32-C696C62939FE}" name="Daily_N_Kg/ha" dataDxfId="196"/>
    <tableColumn id="8" xr3:uid="{01B50377-15D9-4CDC-A3B7-A7F13967FDC4}" name="Daily_P_Kg/ha" dataDxfId="195"/>
    <tableColumn id="9" xr3:uid="{4AE25FA6-9348-4D22-BA1B-44D771BB08DF}" name="Daily_K_Kg/ha" dataDxfId="194"/>
    <tableColumn id="10" xr3:uid="{17F4090E-003E-4B74-AB74-ABC568862377}" name="Crop_Coefficient" dataDxfId="193"/>
    <tableColumn id="11" xr3:uid="{8696C295-9579-462E-91CF-44555FFA3663}" name="K_Ext (PAR)" dataDxfId="192"/>
    <tableColumn id="12" xr3:uid="{F27E347E-6C14-4458-9E45-ADCC9F67A320}" name="SalineSensitivity" dataDxfId="191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4F83BAF-DA83-4904-99EA-64AE9FA84668}" name="CropPhenology_Sorghum" displayName="CropPhenology_Sorghum" ref="A1:L45" totalsRowShown="0" headerRowDxfId="190" dataDxfId="188" headerRowBorderDxfId="189" tableBorderDxfId="187">
  <tableColumns count="12">
    <tableColumn id="1" xr3:uid="{3F8D3A25-F086-4819-9140-6C347E9B14A0}" name="Crop_Name" dataDxfId="186"/>
    <tableColumn id="2" xr3:uid="{8F500BFA-DCD8-4E7F-99D9-C515759F34B3}" name="Principal_Stage" dataDxfId="185"/>
    <tableColumn id="3" xr3:uid="{817D7283-990C-4F85-ADFD-449429FC32B7}" name="Main_Stage" dataDxfId="184"/>
    <tableColumn id="4" xr3:uid="{87C1D7D1-24C0-4CC7-8755-CAB3E0E13230}" name="Sub_Stage" dataDxfId="183"/>
    <tableColumn id="5" xr3:uid="{E951E8D0-E841-43A9-AF24-3CBCBB6DD5AE}" name="Start_GDD" dataDxfId="182">
      <calculatedColumnFormula>F1+1</calculatedColumnFormula>
    </tableColumn>
    <tableColumn id="6" xr3:uid="{2EDC8A03-1766-4001-AF9D-435A24EAD964}" name="End_GDD" dataDxfId="181"/>
    <tableColumn id="7" xr3:uid="{696A6192-23D7-414B-B1B2-9140505EC802}" name="Daily_N_Kg/ha" dataDxfId="180"/>
    <tableColumn id="8" xr3:uid="{3FFE9E26-458C-4337-96AC-9050AD91E0EC}" name="Daily_P_Kg/ha" dataDxfId="179"/>
    <tableColumn id="9" xr3:uid="{3211DCC1-1243-44C5-990B-C5ABCAF95865}" name="Daily_K_Kg/ha" dataDxfId="178"/>
    <tableColumn id="10" xr3:uid="{C0078666-E88B-4437-BA28-3C1251D3C522}" name="Crop_Coefficient" dataDxfId="177"/>
    <tableColumn id="11" xr3:uid="{0BDCC1EB-ACB2-4E8D-990C-F8E899176CD2}" name="K_Ext (PAR)" dataDxfId="176"/>
    <tableColumn id="12" xr3:uid="{68B67264-FA9D-4B75-9D4F-ADA59216A48F}" name="SalineSensitivity" dataDxfId="175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69C85D7F-2C23-4417-B122-C1D64F73402D}" name="CropPhenology_SpongeGourd" displayName="CropPhenology_SpongeGourd" ref="A1:L38" totalsRowShown="0" headerRowDxfId="174" dataDxfId="172" headerRowBorderDxfId="173" tableBorderDxfId="171">
  <tableColumns count="12">
    <tableColumn id="1" xr3:uid="{B424767B-D2E0-4656-BE7A-2BF90A6F6EC2}" name="Crop_Name" dataDxfId="170"/>
    <tableColumn id="2" xr3:uid="{455E14CF-5693-4241-8AE0-DEB37CDF3110}" name="Principal_Stage" dataDxfId="169"/>
    <tableColumn id="3" xr3:uid="{C5573982-CA2C-43EC-8DF3-0555119E360A}" name="Main_Stage" dataDxfId="168"/>
    <tableColumn id="4" xr3:uid="{93C00FF1-F722-459B-96B2-1568A033064B}" name="Sub_Stage" dataDxfId="167"/>
    <tableColumn id="5" xr3:uid="{9C8AD769-5A88-41B6-A307-7759B3ADAE7E}" name="Start_GDD" dataDxfId="166">
      <calculatedColumnFormula>F1+1</calculatedColumnFormula>
    </tableColumn>
    <tableColumn id="6" xr3:uid="{F49E7E7C-A429-4162-946E-F004A195F071}" name="End_GDD" dataDxfId="165"/>
    <tableColumn id="7" xr3:uid="{176C3F90-9F85-40BE-9617-17DC60C5CF25}" name="Daily_N_Kg/ha" dataDxfId="164"/>
    <tableColumn id="8" xr3:uid="{7FA7BD55-B6A0-4CD2-A9A9-76C86278A313}" name="Daily_P_Kg/ha" dataDxfId="163"/>
    <tableColumn id="9" xr3:uid="{1D736DFF-605E-44E2-A1C8-8B089BB11BBA}" name="Daily_K_Kg/ha" dataDxfId="162"/>
    <tableColumn id="10" xr3:uid="{6C2EB272-6FE7-45ED-9362-9C5A99CB0613}" name="Crop_Coefficient" dataDxfId="161"/>
    <tableColumn id="11" xr3:uid="{722F414F-6F98-477D-85AE-094B9E6F841D}" name="K_Ext (PAR)" dataDxfId="160"/>
    <tableColumn id="12" xr3:uid="{E996A80D-C50D-4B2B-A025-6BCCBFA5CC66}" name="SalineSensitivity" dataDxfId="159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31A40BD9-DAF1-4EB6-9807-B719AF48A5BB}" name="CropPhenology_SugarBeet" displayName="CropPhenology_SugarBeet" ref="A1:L48" totalsRowShown="0" headerRowDxfId="158" dataDxfId="156" headerRowBorderDxfId="157" tableBorderDxfId="155">
  <tableColumns count="12">
    <tableColumn id="1" xr3:uid="{89FEC707-0BC6-4D3A-ABBB-BEDEEF4DB0CB}" name="Crop_Name" dataDxfId="154"/>
    <tableColumn id="2" xr3:uid="{856AB587-3542-41F6-913E-C82A6105F5EA}" name="Principal_Stage" dataDxfId="153"/>
    <tableColumn id="3" xr3:uid="{7B0D14CD-01A1-4D6D-A780-A8A59C112EBA}" name="Main_Stage" dataDxfId="152"/>
    <tableColumn id="4" xr3:uid="{17CE21F0-58DE-48A7-B702-9407091A02C0}" name="Sub_Stage" dataDxfId="151"/>
    <tableColumn id="5" xr3:uid="{D0F295DC-4F6C-4A13-9614-547BED5C516E}" name="Start_GDD" dataDxfId="150">
      <calculatedColumnFormula>F1+1</calculatedColumnFormula>
    </tableColumn>
    <tableColumn id="6" xr3:uid="{872A5484-0DD7-4135-9B12-A07615E992C0}" name="End_GDD" dataDxfId="149"/>
    <tableColumn id="7" xr3:uid="{C4BCF670-199D-4F50-B1FB-4BAD4762FC12}" name="Daily_N_Kg/ha" dataDxfId="148"/>
    <tableColumn id="8" xr3:uid="{836E25F6-529F-42DD-8761-A1B2E0B1D4AD}" name="Daily_P_Kg/ha" dataDxfId="147"/>
    <tableColumn id="9" xr3:uid="{DC22B522-7CE9-499C-AA4C-A3B4B40C0DE9}" name="Daily_K_Kg/ha" dataDxfId="146"/>
    <tableColumn id="10" xr3:uid="{05692E11-ADBC-4C33-8591-A13BB20994C1}" name="Crop_Coefficient" dataDxfId="145"/>
    <tableColumn id="11" xr3:uid="{9AD56476-A25D-4ADE-9690-4741FC297D50}" name="K_Ext (PAR)" dataDxfId="144"/>
    <tableColumn id="12" xr3:uid="{6C2B6BA7-A59F-48B8-B9AA-505938683866}" name="SalineSensitivity" dataDxfId="143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7793DC5C-D903-44A0-98E7-31782103E17A}" name="CropPhenology_Sunflower" displayName="CropPhenology_Sunflower" ref="A1:L45" totalsRowShown="0" headerRowDxfId="142" dataDxfId="140" headerRowBorderDxfId="141" tableBorderDxfId="139">
  <tableColumns count="12">
    <tableColumn id="1" xr3:uid="{26FBE579-78D2-4D40-9449-160A1797DA23}" name="Crop_Name" dataDxfId="138"/>
    <tableColumn id="2" xr3:uid="{864F9992-B3BB-4ED6-B983-0D3D2C87DB8C}" name="Principal_Stage" dataDxfId="137"/>
    <tableColumn id="3" xr3:uid="{1A027233-3096-47EE-91B4-6C9C65E86CDE}" name="Main_Stage" dataDxfId="136"/>
    <tableColumn id="4" xr3:uid="{6E1EAC00-5FF7-4FD1-BDD0-0D0E6747D6F5}" name="Sub_Stage" dataDxfId="135"/>
    <tableColumn id="5" xr3:uid="{513839C7-CC84-422E-A90E-1A24B1EE389E}" name="Start_GDD" dataDxfId="134">
      <calculatedColumnFormula>F1+1</calculatedColumnFormula>
    </tableColumn>
    <tableColumn id="6" xr3:uid="{A7E3810A-BF4E-4F4E-A292-8F125995CF98}" name="End_GDD" dataDxfId="133"/>
    <tableColumn id="7" xr3:uid="{8EDAA5FA-6D5C-40F2-937B-9102563A3F58}" name="Daily_N_Kg/ha" dataDxfId="132"/>
    <tableColumn id="8" xr3:uid="{2AD100E2-B0FA-4A29-96DA-F43C8969DEC0}" name="Daily_P_Kg/ha" dataDxfId="131"/>
    <tableColumn id="9" xr3:uid="{BFD749B1-40DA-4896-A59F-164B95FAF78C}" name="Daily_K_Kg/ha" dataDxfId="130"/>
    <tableColumn id="10" xr3:uid="{28B14B18-34A5-455F-ACDF-52FABAA6699D}" name="Crop_Coefficient" dataDxfId="129"/>
    <tableColumn id="11" xr3:uid="{16FE9B8B-14CF-4812-9D1A-901EDF007219}" name="K_Ext (PAR)" dataDxfId="128"/>
    <tableColumn id="12" xr3:uid="{B685A3A1-0B42-40DC-A650-F89ACF483037}" name="Saline_Sensitivity" dataDxfId="127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146F6993-1AA2-4546-92F8-205951AA56CB}" name="CropPhenology_TindaGourd" displayName="CropPhenology_TindaGourd" ref="A1:L38" totalsRowShown="0" headerRowDxfId="126" dataDxfId="124" headerRowBorderDxfId="125" tableBorderDxfId="123">
  <tableColumns count="12">
    <tableColumn id="1" xr3:uid="{91EDC8B9-92C2-415B-8CCF-6F4C5BCB0018}" name="Crop_Name" dataDxfId="122"/>
    <tableColumn id="2" xr3:uid="{B3D4702D-4B02-4C98-94C8-7A4804CF144F}" name="Principal_Stage" dataDxfId="121"/>
    <tableColumn id="3" xr3:uid="{74F6CE4C-64FC-4911-9D7B-B9630C8F9ADB}" name="Main_Stage" dataDxfId="120"/>
    <tableColumn id="4" xr3:uid="{BDD73A88-4E68-4F79-90E6-FA7A3D98A42C}" name="Sub_Stage" dataDxfId="119"/>
    <tableColumn id="5" xr3:uid="{2A1786DF-6BAE-40F7-ACC1-7BA120FE9797}" name="Start_GDD" dataDxfId="118">
      <calculatedColumnFormula>F1+1</calculatedColumnFormula>
    </tableColumn>
    <tableColumn id="6" xr3:uid="{68A8837F-E222-4021-983C-8CA21B47F987}" name="End_GDD" dataDxfId="117"/>
    <tableColumn id="7" xr3:uid="{D03614CC-F1E3-4855-96CD-1FDF320454D7}" name="Daily_N_Kg/ha" dataDxfId="116"/>
    <tableColumn id="8" xr3:uid="{BEB5D969-C214-4013-AC08-4BDE42BE1F07}" name="Daily_P_Kg/ha" dataDxfId="115"/>
    <tableColumn id="9" xr3:uid="{60A5CCB9-54F1-4027-AC39-6963805173CA}" name="Daily_K_Kg/ha" dataDxfId="114"/>
    <tableColumn id="10" xr3:uid="{AAEC54FC-8348-4DC1-A140-0D14815E9A7C}" name="Crop_Coefficient" dataDxfId="113"/>
    <tableColumn id="11" xr3:uid="{A4F2D931-C8D1-4BB6-99D9-3B5AFAD7D7C1}" name="K_Ext (PAR)" dataDxfId="112"/>
    <tableColumn id="12" xr3:uid="{4425A364-BA65-4E31-B17C-4976A0A1CA75}" name="SalineSensitivity" dataDxfId="111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A472904-2936-4F7B-BC9C-C4293C3FAA05}" name="CropPhenology_Tomato" displayName="CropPhenology_Tomato" ref="A1:L39" totalsRowShown="0" headerRowDxfId="110" dataDxfId="108" headerRowBorderDxfId="109" tableBorderDxfId="107">
  <tableColumns count="12">
    <tableColumn id="1" xr3:uid="{AF08132C-07E4-41B2-882F-73967F94B5FB}" name="Crop_Name" dataDxfId="106"/>
    <tableColumn id="2" xr3:uid="{51F4A5F7-E1B4-4660-98EC-0DF7177EEAA4}" name="Principal_Stage" dataDxfId="105"/>
    <tableColumn id="3" xr3:uid="{E35C2F9B-EA99-42EF-A3C5-DF91F2FBC11E}" name="Main_Stage" dataDxfId="104"/>
    <tableColumn id="4" xr3:uid="{036A1169-098F-460F-9308-A01F6F7E78A7}" name="Sub_Stage" dataDxfId="103"/>
    <tableColumn id="5" xr3:uid="{DD620866-75F3-425E-91B6-347AE46F08C6}" name="Start_GDD" dataDxfId="102">
      <calculatedColumnFormula>F1+1</calculatedColumnFormula>
    </tableColumn>
    <tableColumn id="6" xr3:uid="{46510D3B-4425-453A-88E1-825CD4742B10}" name="End_GDD" dataDxfId="101"/>
    <tableColumn id="7" xr3:uid="{284D4FDB-ED6F-40F0-9284-CE36CD35A5FE}" name="Daily_N_Kg/ha" dataDxfId="100"/>
    <tableColumn id="8" xr3:uid="{E532017A-CA7A-4F83-A95A-6627B90A0F98}" name="Daily_P_Kg/ha" dataDxfId="99"/>
    <tableColumn id="9" xr3:uid="{D0AE6AC8-4B0F-476A-B9CF-F0E84C6ADE08}" name="Daily_K_Kg/ha" dataDxfId="98"/>
    <tableColumn id="10" xr3:uid="{A7C50DFC-B484-43A5-8BDC-543CBF1F8D39}" name="Crop_Coefficient" dataDxfId="97"/>
    <tableColumn id="11" xr3:uid="{0D06282F-C37A-49E6-B1E9-3FADCF9C804E}" name="K_Ext (PAR)" dataDxfId="96"/>
    <tableColumn id="12" xr3:uid="{9B16BCBE-2DFE-4693-B54C-8B8551A9AEF1}" name="SalineSensitivity" dataDxfId="95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E715BC5A-C9BE-453C-8DCC-80050D7BFCC0}" name="CropPhenology_Turnip" displayName="CropPhenology_Turnip" ref="A1:L50" totalsRowShown="0" headerRowDxfId="94" dataDxfId="92" headerRowBorderDxfId="93" tableBorderDxfId="91">
  <tableColumns count="12">
    <tableColumn id="1" xr3:uid="{0F7C0A8B-F5FA-4628-B6C3-F9FE76D26660}" name="Crop_Name" dataDxfId="90"/>
    <tableColumn id="2" xr3:uid="{700182AA-0317-4166-BFA5-EB3574791FE4}" name="Principal_Stage" dataDxfId="89"/>
    <tableColumn id="3" xr3:uid="{B8B6FF9A-E3B6-4909-BA92-C6703BDDA7E7}" name="Main_Stage" dataDxfId="88"/>
    <tableColumn id="4" xr3:uid="{19B704BD-ED72-4CA7-B671-6E8CF2C43E53}" name="Sub_Stage" dataDxfId="87"/>
    <tableColumn id="5" xr3:uid="{88323A8D-52B5-4F0E-9322-F5E89CC9FE2F}" name="Start_GDD" dataDxfId="86">
      <calculatedColumnFormula>F1+1</calculatedColumnFormula>
    </tableColumn>
    <tableColumn id="6" xr3:uid="{93B12468-8662-4F59-A2B8-CFD927491356}" name="End_GDD" dataDxfId="85"/>
    <tableColumn id="7" xr3:uid="{020E8CF4-F330-44B1-913F-AC92D4FC420A}" name="Daily_N_Kg/ha" dataDxfId="84"/>
    <tableColumn id="8" xr3:uid="{D65D94FD-2CAB-4CA4-AFFF-34EAC6E87E76}" name="Daily_P_Kg/ha" dataDxfId="83"/>
    <tableColumn id="9" xr3:uid="{A8D0A33A-D3C4-47E1-8DC5-E88695DEAB54}" name="Daily_K_Kg/ha" dataDxfId="82"/>
    <tableColumn id="10" xr3:uid="{75C5CEAF-EA64-4F0C-97CB-C84087D16922}" name="Crop_Coefficient" dataDxfId="81"/>
    <tableColumn id="11" xr3:uid="{C96F8A0C-FDDF-4E4D-AE15-61819847F3BC}" name="K_Ext (PAR)" dataDxfId="80"/>
    <tableColumn id="12" xr3:uid="{A84B21CB-424B-47D2-930B-77C8FED1E6F4}" name="SalineSensitivity" dataDxfId="79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2D9E4D69-EE68-4DF4-A09E-75FFD2600829}" name="CropPhenology_VegetableMarrow" displayName="CropPhenology_VegetableMarrow" ref="A1:L39" totalsRowShown="0" headerRowDxfId="78" dataDxfId="76" headerRowBorderDxfId="77" tableBorderDxfId="75">
  <tableColumns count="12">
    <tableColumn id="1" xr3:uid="{9D487156-11E3-4FCD-A988-91073CB04E8D}" name="Crop_Name" dataDxfId="74"/>
    <tableColumn id="2" xr3:uid="{829B9F6D-FB49-4CE3-B65B-8773DAA1CE9C}" name="Principal_Stage" dataDxfId="73"/>
    <tableColumn id="3" xr3:uid="{87102429-474C-4B7B-A16E-FFB4DE5821FE}" name="Main_Stage" dataDxfId="72"/>
    <tableColumn id="4" xr3:uid="{1D51B459-3F69-44A4-BF99-FF8D50A2135A}" name="Sub_Stage" dataDxfId="71"/>
    <tableColumn id="5" xr3:uid="{62CDF27E-7875-444F-90AF-1D5E2ECF3503}" name="Start_GDD" dataDxfId="70">
      <calculatedColumnFormula>F1+1</calculatedColumnFormula>
    </tableColumn>
    <tableColumn id="6" xr3:uid="{06514C9A-9750-4BA3-AD07-13052D3E859A}" name="End_GDD" dataDxfId="69"/>
    <tableColumn id="7" xr3:uid="{CC1724E8-6F65-4FF7-B9C4-F893EF7749C9}" name="Daily_N_Kg/ha" dataDxfId="68"/>
    <tableColumn id="8" xr3:uid="{6A98DE73-6B24-4EE3-9EAB-960495F4B566}" name="Daily_P_Kg/ha" dataDxfId="67"/>
    <tableColumn id="9" xr3:uid="{8C62589D-8317-4D4C-85EC-62C4BFF87DCB}" name="Daily_K_Kg/ha" dataDxfId="66"/>
    <tableColumn id="10" xr3:uid="{6A2E8235-5C3E-46DA-B9AF-0224376BD634}" name="Crop_Coefficient" dataDxfId="65"/>
    <tableColumn id="11" xr3:uid="{119ADE6F-940F-4AA9-98AE-CC72548E261D}" name="K_Ext (PAR)" dataDxfId="64"/>
    <tableColumn id="12" xr3:uid="{00211DEA-C707-44F7-B63E-1D85D71FFC18}" name="SalineSensitivity" dataDxfId="63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A8E929-4E0E-47A0-894E-48FDE7BFCD57}" name="CropPhenology_Watermelon" displayName="CropPhenology_Watermelon" ref="A1:L44" totalsRowShown="0" headerRowDxfId="62" dataDxfId="60" headerRowBorderDxfId="61" tableBorderDxfId="59">
  <tableColumns count="12">
    <tableColumn id="1" xr3:uid="{9DAD20D5-BE6E-472F-A999-BC37FF4DA52D}" name="Crop_Name" dataDxfId="58"/>
    <tableColumn id="2" xr3:uid="{91799CD0-A50C-44F9-A902-4E7B17310CD1}" name="Principal_Stage" dataDxfId="57"/>
    <tableColumn id="3" xr3:uid="{E7A5A5DF-085C-483A-9C3E-7174FF2B5ECC}" name="Main_Stage" dataDxfId="56"/>
    <tableColumn id="4" xr3:uid="{82EA1426-0B10-446D-A93A-39D9B361C1D0}" name="Sub_Stage" dataDxfId="55"/>
    <tableColumn id="5" xr3:uid="{86CAA7E3-6664-4826-8816-07E6A7917C39}" name="Start_GDD" dataDxfId="54">
      <calculatedColumnFormula>F1+1</calculatedColumnFormula>
    </tableColumn>
    <tableColumn id="6" xr3:uid="{2BF0B566-1BF0-437C-ADFF-79254698A3D4}" name="End_GDD" dataDxfId="53"/>
    <tableColumn id="7" xr3:uid="{D2242128-5220-4208-B4C3-7736B0553A5A}" name="Daily_N_Kg/ha" dataDxfId="52"/>
    <tableColumn id="8" xr3:uid="{319855DD-21BD-4AEB-A2C5-8293D6F60017}" name="Daily_P_Kg/ha" dataDxfId="51"/>
    <tableColumn id="9" xr3:uid="{AFF6ECC3-0748-4930-BAA6-BC9AA588B942}" name="Daily_K_Kg/ha" dataDxfId="50"/>
    <tableColumn id="10" xr3:uid="{A97D7639-C9FA-4578-8EC3-2D85987C7C67}" name="Crop_Coefficient" dataDxfId="49"/>
    <tableColumn id="11" xr3:uid="{9771BF85-0C92-4692-864D-F30465CC0F17}" name="K_Ext (PAR)" dataDxfId="48"/>
    <tableColumn id="12" xr3:uid="{C0BFE10D-9E16-4E24-8A64-12B1CD2FAB84}" name="SalineSensitivity" dataDxfId="47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63D9A-AF9C-4DD3-826D-C005486DC4E3}" name="CropPhenology_Wheat" displayName="CropPhenology_Wheat" ref="A1:L44" totalsRowShown="0" headerRowDxfId="46" dataDxfId="44" headerRowBorderDxfId="45" tableBorderDxfId="43">
  <tableColumns count="12">
    <tableColumn id="1" xr3:uid="{7F1F7793-6C61-457D-AF8B-EC161DEA732D}" name="Crop_Name" dataDxfId="42"/>
    <tableColumn id="2" xr3:uid="{93142E1F-A4F9-45B4-8673-BE87D64CDA8E}" name="Principal_Stage" dataDxfId="41"/>
    <tableColumn id="3" xr3:uid="{A4052B1F-D86E-4098-A0E7-B93CA872E648}" name="Main_Stage" dataDxfId="40"/>
    <tableColumn id="4" xr3:uid="{72FD3D54-2DD9-450B-980B-425F958019BD}" name="Sub_Stage"/>
    <tableColumn id="5" xr3:uid="{33FF03C1-1D69-42EF-AC82-64E67F0F6C41}" name="Start_GDD" dataDxfId="39">
      <calculatedColumnFormula>F1+1</calculatedColumnFormula>
    </tableColumn>
    <tableColumn id="6" xr3:uid="{AC647642-A761-4A92-8A6A-C4BDE4CC0708}" name="End_GDD" dataDxfId="38"/>
    <tableColumn id="7" xr3:uid="{E52F9BCB-C08E-444B-B1A2-BC8F0D973077}" name="Daily_N_Kg/ha" dataDxfId="37"/>
    <tableColumn id="8" xr3:uid="{043BB0B1-8070-45FA-AFF8-7B0345609B5A}" name="Daily_P_Kg/ha" dataDxfId="36"/>
    <tableColumn id="9" xr3:uid="{B8D5EFFC-097F-4F38-95C1-284FB382E9C9}" name="Daily_K_Kg/ha" dataDxfId="35"/>
    <tableColumn id="10" xr3:uid="{4442204F-8FE0-4B28-99DE-3B44874E5DA1}" name="Crop_Coefficient" dataDxfId="34"/>
    <tableColumn id="11" xr3:uid="{243D0203-A283-4A74-A6FA-6B4066777555}" name="K_Ext (PAR)" dataDxfId="33"/>
    <tableColumn id="12" xr3:uid="{8745E9AA-C44C-46D7-9EAD-773241BF6390}" name="SalineSensitivity" dataDxfId="32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9844E844-B712-4027-AB6A-ADB6311E15E2}" name="CropPhenology_Banana" displayName="CropPhenology_Banana" ref="A1:L28" totalsRowShown="0" headerRowDxfId="31" dataDxfId="29" headerRowBorderDxfId="30" tableBorderDxfId="28">
  <tableColumns count="12">
    <tableColumn id="1" xr3:uid="{6755A00A-F2FA-4B2A-900B-72368968E7E6}" name="Crop_Name" dataDxfId="27"/>
    <tableColumn id="2" xr3:uid="{E029316B-6CB4-43B7-8764-CAF692E1DBC2}" name="Principal_Stage" dataDxfId="26"/>
    <tableColumn id="3" xr3:uid="{1864BED7-E050-4230-A540-811C88789FC5}" name="Main_Stage" dataDxfId="25"/>
    <tableColumn id="4" xr3:uid="{0218905B-BEC1-419E-BF11-145C7DF27310}" name="Sub_Stage" dataDxfId="24"/>
    <tableColumn id="5" xr3:uid="{6200E7C5-7D3D-41CF-A979-A8111A22B934}" name="Start_GDD" dataDxfId="23">
      <calculatedColumnFormula>F1+1</calculatedColumnFormula>
    </tableColumn>
    <tableColumn id="6" xr3:uid="{304D0B12-9A7A-4368-AE69-31C6BB1C82A2}" name="End_GDD" dataDxfId="22"/>
    <tableColumn id="7" xr3:uid="{730663F0-DAFD-42A6-9C56-63F20F821D11}" name="Daily_N_Kg/ha" dataDxfId="21"/>
    <tableColumn id="8" xr3:uid="{DE845756-0D8B-4F89-8C96-C8E04189B5D9}" name="Daily_P_Kg/ha" dataDxfId="20"/>
    <tableColumn id="9" xr3:uid="{68BB3A7B-1E51-4B9E-B2A4-3537B8A3159E}" name="Daily_K_Kg/ha" dataDxfId="19"/>
    <tableColumn id="10" xr3:uid="{A0B0AD70-F14F-4939-90C2-FFAC1D322C58}" name="Crop_Coefficient" dataDxfId="18"/>
    <tableColumn id="11" xr3:uid="{F30FD073-E0F6-4508-842B-C3C4ABDAEDA1}" name="K_Ext (PAR)" dataDxfId="17"/>
    <tableColumn id="12" xr3:uid="{E659483C-BA50-46EF-AAC4-94C3EC5A0288}" name="SalineSensitivity" dataDxfId="16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7806ED5C-4D8F-499C-8CC2-2443FD674DBA}" name="CropPhenology_Tobacco" displayName="CropPhenology_Tobacco" ref="A1:L50" totalsRowShown="0" headerRowDxfId="15" dataDxfId="13" headerRowBorderDxfId="14" tableBorderDxfId="12">
  <tableColumns count="12">
    <tableColumn id="1" xr3:uid="{EDA4E1B8-E06E-4DEC-B3B5-CDB4D0715EF1}" name="Crop_Name" dataDxfId="11"/>
    <tableColumn id="2" xr3:uid="{886AF7FD-47AC-4B68-97EA-8CD6C4CD9B38}" name="Principal_Stage" dataDxfId="10"/>
    <tableColumn id="3" xr3:uid="{DEB4ACEC-E61E-4B3B-AD98-45FC3E922BB9}" name="Main_Stage" dataDxfId="9"/>
    <tableColumn id="4" xr3:uid="{7E275C31-5851-4B79-AAD7-340269A04CAB}" name="Sub_Stage" dataDxfId="8"/>
    <tableColumn id="5" xr3:uid="{03CF8949-BB04-44FD-8AED-244D20EE139A}" name="Start_GDD" dataDxfId="7">
      <calculatedColumnFormula>F1+1</calculatedColumnFormula>
    </tableColumn>
    <tableColumn id="6" xr3:uid="{AB7843AB-8879-4264-B059-0BE894F91996}" name="End_GDD" dataDxfId="6"/>
    <tableColumn id="7" xr3:uid="{A9F5ECC5-CFF5-43F7-9A68-7EC14FB2F1F8}" name="Daily_N_Kg/ha" dataDxfId="5"/>
    <tableColumn id="8" xr3:uid="{1FA7611C-D3E8-4437-B0E0-561588787043}" name="Daily_P_Kg/ha" dataDxfId="4"/>
    <tableColumn id="9" xr3:uid="{86DD89F4-E217-4745-89DB-F61CC22CFABB}" name="Daily_K_Kg/ha" dataDxfId="3"/>
    <tableColumn id="10" xr3:uid="{60D1305C-82EA-4C05-8044-4FA1C5DCE07D}" name="Crop_Coefficient" dataDxfId="2"/>
    <tableColumn id="11" xr3:uid="{12FDEAA5-6E8D-4482-9C7E-3342BAA72BF0}" name="K_Ext (PAR)" dataDxfId="1"/>
    <tableColumn id="12" xr3:uid="{7415C6ED-30BA-42E5-A3B2-6F56CF3809A9}" name="SalineSensitiv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41" Type="http://schemas.openxmlformats.org/officeDocument/2006/relationships/table" Target="../tables/table41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8DEA-0179-443D-AA2E-E495E23D891A}">
  <dimension ref="B2:CW505"/>
  <sheetViews>
    <sheetView topLeftCell="A329" workbookViewId="0">
      <selection activeCell="B343" sqref="B343"/>
    </sheetView>
  </sheetViews>
  <sheetFormatPr defaultColWidth="13.7109375" defaultRowHeight="10.5" x14ac:dyDescent="0.25"/>
  <cols>
    <col min="1" max="1" width="13.7109375" style="1"/>
    <col min="2" max="2" width="13.5703125" style="36" bestFit="1" customWidth="1"/>
    <col min="3" max="3" width="17.42578125" style="1" bestFit="1" customWidth="1"/>
    <col min="4" max="4" width="15.28515625" style="1" bestFit="1" customWidth="1"/>
    <col min="5" max="5" width="11.42578125" style="1" bestFit="1" customWidth="1"/>
    <col min="6" max="6" width="9.7109375" style="1" bestFit="1" customWidth="1"/>
    <col min="7" max="7" width="56.5703125" style="1" bestFit="1" customWidth="1"/>
    <col min="8" max="8" width="121.140625" style="1" customWidth="1"/>
    <col min="9" max="9" width="59.7109375" style="1" bestFit="1" customWidth="1"/>
    <col min="10" max="10" width="33.85546875" style="1" bestFit="1" customWidth="1"/>
    <col min="11" max="11" width="15.42578125" style="1" bestFit="1" customWidth="1"/>
    <col min="12" max="12" width="7.42578125" style="1" bestFit="1" customWidth="1"/>
    <col min="13" max="13" width="6.85546875" style="1" bestFit="1" customWidth="1"/>
    <col min="14" max="14" width="5" style="6" bestFit="1" customWidth="1"/>
    <col min="15" max="15" width="7" style="1" bestFit="1" customWidth="1"/>
    <col min="16" max="16" width="15.42578125" style="1" bestFit="1" customWidth="1"/>
    <col min="17" max="17" width="14.28515625" style="1" bestFit="1" customWidth="1"/>
    <col min="18" max="18" width="10.42578125" style="1" bestFit="1" customWidth="1"/>
    <col min="19" max="19" width="9.85546875" style="1" bestFit="1" customWidth="1"/>
    <col min="20" max="20" width="11.42578125" style="1" bestFit="1" customWidth="1"/>
    <col min="21" max="21" width="12.140625" style="1" bestFit="1" customWidth="1"/>
    <col min="22" max="22" width="8.85546875" style="1" bestFit="1" customWidth="1"/>
    <col min="23" max="23" width="9.42578125" style="4" bestFit="1" customWidth="1"/>
    <col min="24" max="24" width="14.5703125" style="4" bestFit="1" customWidth="1"/>
    <col min="25" max="25" width="14.42578125" style="6" bestFit="1" customWidth="1"/>
    <col min="26" max="26" width="12.85546875" style="7" bestFit="1" customWidth="1"/>
    <col min="27" max="27" width="15.85546875" style="1" bestFit="1" customWidth="1"/>
    <col min="28" max="28" width="8.28515625" style="1" bestFit="1" customWidth="1"/>
    <col min="29" max="29" width="13.42578125" style="1" bestFit="1" customWidth="1"/>
    <col min="30" max="30" width="8.5703125" style="1" bestFit="1" customWidth="1"/>
    <col min="31" max="31" width="12.7109375" style="1" bestFit="1" customWidth="1"/>
    <col min="32" max="32" width="13.5703125" style="1" bestFit="1" customWidth="1"/>
    <col min="33" max="33" width="11.5703125" style="1" bestFit="1" customWidth="1"/>
    <col min="34" max="34" width="10.7109375" style="1" bestFit="1" customWidth="1"/>
    <col min="35" max="35" width="7" style="1" bestFit="1" customWidth="1"/>
    <col min="36" max="36" width="7.5703125" style="8" bestFit="1" customWidth="1"/>
    <col min="37" max="37" width="5" style="8" bestFit="1" customWidth="1"/>
    <col min="38" max="38" width="5.42578125" style="1" bestFit="1" customWidth="1"/>
    <col min="39" max="39" width="8.5703125" style="1" bestFit="1" customWidth="1"/>
    <col min="40" max="40" width="9.140625" style="6" bestFit="1" customWidth="1"/>
    <col min="41" max="41" width="16.140625" style="1" bestFit="1" customWidth="1"/>
    <col min="42" max="42" width="14.28515625" style="1" bestFit="1" customWidth="1"/>
    <col min="43" max="43" width="21.140625" style="1" bestFit="1" customWidth="1"/>
    <col min="44" max="44" width="15.28515625" style="1" bestFit="1" customWidth="1"/>
    <col min="45" max="45" width="16.5703125" style="6" bestFit="1" customWidth="1"/>
    <col min="46" max="46" width="13.5703125" style="1" bestFit="1" customWidth="1"/>
    <col min="47" max="47" width="13.5703125" style="6" bestFit="1" customWidth="1"/>
    <col min="48" max="48" width="17.85546875" style="1" bestFit="1" customWidth="1"/>
    <col min="49" max="49" width="14" style="1" bestFit="1" customWidth="1"/>
    <col min="50" max="50" width="17.85546875" style="2" bestFit="1" customWidth="1"/>
    <col min="51" max="51" width="14.85546875" style="1" bestFit="1" customWidth="1"/>
    <col min="52" max="52" width="14" style="8" bestFit="1" customWidth="1"/>
    <col min="53" max="53" width="12.85546875" style="3" bestFit="1" customWidth="1"/>
    <col min="54" max="54" width="16.5703125" style="4" bestFit="1" customWidth="1"/>
    <col min="55" max="55" width="22.7109375" style="3" bestFit="1" customWidth="1"/>
    <col min="56" max="56" width="8.85546875" style="4" bestFit="1" customWidth="1"/>
    <col min="57" max="57" width="13.42578125" style="3" bestFit="1" customWidth="1"/>
    <col min="58" max="58" width="8.140625" style="4" bestFit="1" customWidth="1"/>
    <col min="59" max="59" width="12.5703125" style="3" bestFit="1" customWidth="1"/>
    <col min="60" max="60" width="7.5703125" style="3" bestFit="1" customWidth="1"/>
    <col min="61" max="61" width="12" style="3" bestFit="1" customWidth="1"/>
    <col min="62" max="62" width="8.5703125" style="3" bestFit="1" customWidth="1"/>
    <col min="63" max="63" width="18.85546875" style="6" bestFit="1" customWidth="1"/>
    <col min="64" max="64" width="15.85546875" style="6" bestFit="1" customWidth="1"/>
    <col min="65" max="65" width="19.140625" style="6" bestFit="1" customWidth="1"/>
    <col min="66" max="66" width="4.140625" style="6" bestFit="1" customWidth="1"/>
    <col min="67" max="67" width="6.28515625" style="3" bestFit="1" customWidth="1"/>
    <col min="68" max="68" width="9.42578125" style="3" bestFit="1" customWidth="1"/>
    <col min="69" max="69" width="11.7109375" style="3" bestFit="1" customWidth="1"/>
    <col min="70" max="70" width="48.85546875" style="3" bestFit="1" customWidth="1"/>
    <col min="71" max="71" width="51.42578125" style="1" bestFit="1" customWidth="1"/>
    <col min="72" max="72" width="64.7109375" style="1" bestFit="1" customWidth="1"/>
    <col min="73" max="73" width="77" style="1" bestFit="1" customWidth="1"/>
    <col min="74" max="75" width="17.42578125" style="1" bestFit="1" customWidth="1"/>
    <col min="76" max="76" width="17.28515625" style="2" bestFit="1" customWidth="1"/>
    <col min="77" max="77" width="19" style="2" bestFit="1" customWidth="1"/>
    <col min="78" max="78" width="17.7109375" style="2" bestFit="1" customWidth="1"/>
    <col min="79" max="79" width="5" style="2" bestFit="1" customWidth="1"/>
    <col min="80" max="81" width="10.85546875" style="2" bestFit="1" customWidth="1"/>
    <col min="82" max="82" width="5.42578125" style="2" bestFit="1" customWidth="1"/>
    <col min="83" max="83" width="8.42578125" style="2" bestFit="1" customWidth="1"/>
    <col min="84" max="84" width="9.28515625" style="2" bestFit="1" customWidth="1"/>
    <col min="85" max="85" width="3.5703125" style="2" bestFit="1" customWidth="1"/>
    <col min="86" max="86" width="9.85546875" style="2" bestFit="1" customWidth="1"/>
    <col min="87" max="87" width="13.42578125" style="2" bestFit="1" customWidth="1"/>
    <col min="88" max="88" width="8.42578125" style="1" bestFit="1" customWidth="1"/>
    <col min="89" max="89" width="4.42578125" style="1" bestFit="1" customWidth="1"/>
    <col min="90" max="90" width="14.85546875" style="1" bestFit="1" customWidth="1"/>
    <col min="91" max="92" width="13.7109375" style="1"/>
    <col min="93" max="93" width="4.42578125" style="1" bestFit="1" customWidth="1"/>
    <col min="94" max="94" width="14" style="1" bestFit="1" customWidth="1"/>
    <col min="95" max="95" width="15.42578125" style="1" bestFit="1" customWidth="1"/>
    <col min="96" max="96" width="11.7109375" style="1" bestFit="1" customWidth="1"/>
    <col min="97" max="97" width="5.28515625" style="1" bestFit="1" customWidth="1"/>
    <col min="98" max="98" width="6.85546875" style="1" bestFit="1" customWidth="1"/>
    <col min="99" max="99" width="11.28515625" style="1" bestFit="1" customWidth="1"/>
    <col min="100" max="100" width="10" style="1" bestFit="1" customWidth="1"/>
    <col min="101" max="16384" width="13.7109375" style="1"/>
  </cols>
  <sheetData>
    <row r="2" spans="2:101" ht="11.25" thickBot="1" x14ac:dyDescent="0.3"/>
    <row r="3" spans="2:101" ht="11.25" thickBot="1" x14ac:dyDescent="0.3">
      <c r="B3" s="54" t="s">
        <v>1753</v>
      </c>
      <c r="C3" s="53" t="s">
        <v>1754</v>
      </c>
      <c r="D3" s="53" t="s">
        <v>1804</v>
      </c>
      <c r="E3" s="53" t="s">
        <v>1805</v>
      </c>
      <c r="F3" s="53" t="s">
        <v>1806</v>
      </c>
      <c r="G3" s="53" t="s">
        <v>1807</v>
      </c>
      <c r="H3" s="53" t="s">
        <v>1808</v>
      </c>
      <c r="I3" s="53" t="s">
        <v>1809</v>
      </c>
      <c r="J3" s="53" t="s">
        <v>1810</v>
      </c>
      <c r="K3" s="53" t="s">
        <v>1747</v>
      </c>
      <c r="L3" s="54" t="s">
        <v>1749</v>
      </c>
      <c r="M3" s="53" t="s">
        <v>357</v>
      </c>
      <c r="N3" s="55" t="s">
        <v>692</v>
      </c>
      <c r="O3" s="53" t="s">
        <v>325</v>
      </c>
      <c r="P3" s="53" t="s">
        <v>356</v>
      </c>
      <c r="Q3" s="53" t="s">
        <v>326</v>
      </c>
      <c r="R3" s="53" t="s">
        <v>327</v>
      </c>
      <c r="S3" s="53" t="s">
        <v>328</v>
      </c>
      <c r="T3" s="53" t="s">
        <v>329</v>
      </c>
      <c r="U3" s="250" t="s">
        <v>2349</v>
      </c>
      <c r="V3" s="53" t="s">
        <v>330</v>
      </c>
      <c r="W3" s="53" t="s">
        <v>331</v>
      </c>
      <c r="X3" s="119" t="s">
        <v>354</v>
      </c>
      <c r="Y3" s="120" t="s">
        <v>355</v>
      </c>
      <c r="Z3" s="121" t="s">
        <v>413</v>
      </c>
      <c r="AA3" s="122" t="s">
        <v>583</v>
      </c>
      <c r="AB3" s="53" t="s">
        <v>324</v>
      </c>
      <c r="AC3" s="53" t="s">
        <v>332</v>
      </c>
      <c r="AD3" s="53" t="s">
        <v>333</v>
      </c>
      <c r="AE3" s="53" t="s">
        <v>334</v>
      </c>
      <c r="AF3" s="53" t="s">
        <v>335</v>
      </c>
      <c r="AG3" s="53" t="s">
        <v>336</v>
      </c>
      <c r="AH3" s="60" t="s">
        <v>337</v>
      </c>
      <c r="AI3" s="53" t="s">
        <v>338</v>
      </c>
      <c r="AJ3" s="53" t="s">
        <v>339</v>
      </c>
      <c r="AK3" s="157" t="s">
        <v>2346</v>
      </c>
      <c r="AL3" s="158" t="s">
        <v>2347</v>
      </c>
      <c r="AM3" s="53" t="s">
        <v>340</v>
      </c>
      <c r="AN3" s="53" t="s">
        <v>341</v>
      </c>
      <c r="AO3" s="123" t="s">
        <v>342</v>
      </c>
      <c r="AP3" s="118" t="s">
        <v>343</v>
      </c>
      <c r="AQ3" s="55" t="s">
        <v>344</v>
      </c>
      <c r="AR3" s="53" t="s">
        <v>345</v>
      </c>
      <c r="AS3" s="53" t="s">
        <v>346</v>
      </c>
      <c r="AT3" s="53" t="s">
        <v>364</v>
      </c>
      <c r="AU3" s="60" t="s">
        <v>347</v>
      </c>
      <c r="AV3" s="58" t="s">
        <v>363</v>
      </c>
      <c r="AW3" s="53" t="s">
        <v>348</v>
      </c>
      <c r="AX3" s="58" t="s">
        <v>349</v>
      </c>
      <c r="AY3" s="53" t="s">
        <v>366</v>
      </c>
      <c r="AZ3" s="60" t="s">
        <v>350</v>
      </c>
      <c r="BA3" s="53" t="s">
        <v>365</v>
      </c>
      <c r="BB3" s="60" t="s">
        <v>1827</v>
      </c>
      <c r="BC3" s="63" t="s">
        <v>351</v>
      </c>
      <c r="BD3" s="129" t="s">
        <v>1811</v>
      </c>
      <c r="BE3" s="120" t="s">
        <v>352</v>
      </c>
      <c r="BF3" s="121" t="s">
        <v>1812</v>
      </c>
      <c r="BG3" s="120" t="s">
        <v>1752</v>
      </c>
      <c r="BH3" s="130" t="s">
        <v>1813</v>
      </c>
      <c r="BI3" s="122" t="s">
        <v>353</v>
      </c>
      <c r="BJ3" s="58" t="s">
        <v>1828</v>
      </c>
      <c r="BK3" s="58" t="s">
        <v>1829</v>
      </c>
      <c r="BL3" s="58" t="s">
        <v>1830</v>
      </c>
      <c r="BM3" s="58" t="s">
        <v>1831</v>
      </c>
      <c r="BN3" s="134" t="s">
        <v>1154</v>
      </c>
      <c r="BO3" s="137" t="s">
        <v>1742</v>
      </c>
      <c r="BP3" s="134" t="s">
        <v>1155</v>
      </c>
      <c r="BQ3" s="135" t="s">
        <v>1755</v>
      </c>
      <c r="BR3" s="58" t="s">
        <v>367</v>
      </c>
      <c r="BS3" s="58" t="s">
        <v>1751</v>
      </c>
      <c r="BT3" s="58" t="s">
        <v>368</v>
      </c>
      <c r="BU3" s="156" t="s">
        <v>1814</v>
      </c>
      <c r="BV3" s="93" t="s">
        <v>369</v>
      </c>
      <c r="BW3" s="94" t="s">
        <v>370</v>
      </c>
      <c r="BX3" s="94" t="s">
        <v>371</v>
      </c>
      <c r="BY3" s="141" t="s">
        <v>359</v>
      </c>
      <c r="BZ3" s="142" t="s">
        <v>361</v>
      </c>
      <c r="CA3" s="53" t="s">
        <v>1815</v>
      </c>
      <c r="CB3" s="53" t="s">
        <v>1816</v>
      </c>
      <c r="CC3" s="53" t="s">
        <v>1817</v>
      </c>
      <c r="CD3" s="53" t="s">
        <v>1818</v>
      </c>
      <c r="CE3" s="53" t="s">
        <v>1819</v>
      </c>
      <c r="CF3" s="53" t="s">
        <v>1820</v>
      </c>
      <c r="CG3" s="53" t="s">
        <v>1821</v>
      </c>
      <c r="CH3" s="53" t="s">
        <v>1822</v>
      </c>
      <c r="CI3" s="53" t="s">
        <v>1823</v>
      </c>
      <c r="CJ3" s="53" t="s">
        <v>1824</v>
      </c>
      <c r="CK3" s="53" t="s">
        <v>1825</v>
      </c>
      <c r="CL3" s="53" t="s">
        <v>1826</v>
      </c>
    </row>
    <row r="4" spans="2:101" x14ac:dyDescent="0.25">
      <c r="B4" s="36" t="s">
        <v>2074</v>
      </c>
      <c r="C4" s="1" t="s">
        <v>2072</v>
      </c>
      <c r="E4" s="1" t="s">
        <v>2076</v>
      </c>
      <c r="F4" s="1">
        <v>95</v>
      </c>
      <c r="G4" s="1" t="s">
        <v>2077</v>
      </c>
      <c r="K4" s="1" t="s">
        <v>1765</v>
      </c>
      <c r="L4" s="1" t="s">
        <v>1750</v>
      </c>
      <c r="M4" s="1" t="s">
        <v>358</v>
      </c>
      <c r="O4" s="1" t="s">
        <v>2078</v>
      </c>
      <c r="P4" s="1">
        <v>2.5</v>
      </c>
      <c r="Q4" s="1">
        <v>-10</v>
      </c>
      <c r="R4" s="1">
        <v>5</v>
      </c>
      <c r="S4" s="1">
        <v>22</v>
      </c>
      <c r="T4" s="1">
        <v>35</v>
      </c>
      <c r="U4" s="253">
        <v>3</v>
      </c>
      <c r="V4" s="1">
        <v>60</v>
      </c>
      <c r="W4" s="1">
        <v>120</v>
      </c>
      <c r="X4" s="40">
        <f>_xlfn.XLOOKUP("Ripening", CropPhenology_Alfalfa[Main_Stage], CropPhenology_Alfalfa[Start_GDD], "Not Found")</f>
        <v>921</v>
      </c>
      <c r="Y4" s="4" cm="1">
        <f t="array" ref="Y4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Z4" s="3">
        <f>MIN(Y4/V4,MAX(X4/W4,R4,(X4/W4+Y4/V4)/2))</f>
        <v>12.5875</v>
      </c>
      <c r="AA4" s="41">
        <f t="shared" ref="AA4:AA6" si="0">Y4/Z4</f>
        <v>83.416087388282023</v>
      </c>
      <c r="AB4" s="1">
        <v>5</v>
      </c>
      <c r="AC4" s="1">
        <v>3</v>
      </c>
      <c r="AD4" s="1">
        <v>1.2</v>
      </c>
      <c r="AE4" s="1">
        <v>90</v>
      </c>
      <c r="AF4" s="1">
        <v>-2</v>
      </c>
      <c r="AG4" s="1">
        <v>6</v>
      </c>
      <c r="AH4" s="3">
        <f t="shared" ref="AH4:AH6" si="1">IFERROR((Y4-X4)/AA4,0)</f>
        <v>1.5464642857142858</v>
      </c>
      <c r="AI4" s="1">
        <v>6.5</v>
      </c>
      <c r="AJ4" s="1">
        <v>8</v>
      </c>
      <c r="AK4" s="159">
        <v>2</v>
      </c>
      <c r="AL4" s="150">
        <v>7.2999999999999995E-2</v>
      </c>
      <c r="AM4" s="1">
        <v>300</v>
      </c>
      <c r="AN4" s="1">
        <v>500</v>
      </c>
      <c r="AO4" s="48">
        <v>0.6</v>
      </c>
      <c r="AP4" s="44">
        <v>120</v>
      </c>
      <c r="AQ4" s="6">
        <v>0.75</v>
      </c>
      <c r="AR4" s="1">
        <v>20</v>
      </c>
      <c r="AS4" s="1">
        <v>6</v>
      </c>
      <c r="AT4" s="1">
        <v>1</v>
      </c>
      <c r="AU4" s="4">
        <f>IFERROR(10000/(AS4*AR4),0)*AT4</f>
        <v>83.333333333333329</v>
      </c>
      <c r="AV4" s="3">
        <f>ROUND((P4/1000000)*AU4*10000,2)</f>
        <v>2.08</v>
      </c>
      <c r="AW4" s="1">
        <v>85</v>
      </c>
      <c r="AX4" s="3">
        <f>ROUND(AU4*AW4/100,2)</f>
        <v>70.83</v>
      </c>
      <c r="AY4" s="1">
        <v>4</v>
      </c>
      <c r="AZ4" s="4">
        <f>IFERROR(AX4*AY4,0)</f>
        <v>283.32</v>
      </c>
      <c r="BA4" s="2">
        <v>0.65</v>
      </c>
      <c r="BB4" s="4">
        <f>IFERROR(AZ4*BA4,0)</f>
        <v>184.15800000000002</v>
      </c>
      <c r="BC4" s="8">
        <v>2.5000000000000001E-3</v>
      </c>
      <c r="BD4" s="69">
        <f>IFERROR(
  MAX(0.05, MIN(0.5, CropNorms_Alfalfa[[#This Row],[Leaf_Area_Per_Shoot_m2]] * CropNorms_Alfalfa[[#This Row],[Shoot_Bearing_m2]] )),
  0.2
)</f>
        <v>0.46039500000000005</v>
      </c>
      <c r="BE4" s="4">
        <f>_xlfn.XLOOKUP(CropNorms_Alfalfa[[#This Row],[LAI_Start_BBCH]], CropPhenology_Alfalfa[Sub_Stage], CropPhenology_Alfalfa[Start_GDD], "Not Found")</f>
        <v>151</v>
      </c>
      <c r="BF4" s="3">
        <f>ROUND(CropNorms_Alfalfa[[#This Row],[Shoot_Bearing_m2]]*CropNorms_Alfalfa[[#This Row],[Leaf_Area_Per_Shoot_m2]],2)</f>
        <v>0.46</v>
      </c>
      <c r="BG4" s="4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H4" s="3">
        <f>IF(CropNorms_Alfalfa[[#This Row],[Max_LAI]]&gt;=1.2, 0.85*CropNorms_Alfalfa[[#This Row],[Max_LAI]], 1)</f>
        <v>1</v>
      </c>
      <c r="BI4" s="41">
        <f>_xlfn.XLOOKUP(CropNorms_Alfalfa[[#This Row],[LAI_End_BBCH]], CropPhenology_Alfalfa[Sub_Stage], CropPhenology_Alfalfa[End_GDD], "Not Found")</f>
        <v>920</v>
      </c>
      <c r="BJ4" s="3" cm="1">
        <f t="array" ref="BJ4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K4" s="3" cm="1">
        <f t="array" ref="BK4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0.93914232191153979</v>
      </c>
      <c r="BL4" s="3" cm="1">
        <f t="array" ref="BL4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4" s="3" cm="1">
        <f t="array" ref="BM4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" s="42">
        <v>0.25</v>
      </c>
      <c r="BO4" s="6">
        <v>0.25</v>
      </c>
      <c r="BP4" s="42">
        <v>2</v>
      </c>
      <c r="BQ4" s="43" t="s">
        <v>1797</v>
      </c>
      <c r="BR4" s="3" t="str" cm="1">
        <f t="array" ref="BR4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S4" s="3" t="str" cm="1">
        <f t="array" ref="BS4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T4" s="3" t="str" cm="1">
        <f t="array" ref="BT4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U4" s="3" t="str" cm="1">
        <f t="array" ref="BU4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V4" s="138">
        <v>25</v>
      </c>
      <c r="BW4" s="139">
        <v>10</v>
      </c>
      <c r="BX4" s="139">
        <v>100</v>
      </c>
      <c r="BY4" s="143">
        <v>45200</v>
      </c>
      <c r="BZ4" s="144">
        <v>45991</v>
      </c>
      <c r="CA4" s="2">
        <v>0</v>
      </c>
      <c r="CB4" s="2">
        <v>0</v>
      </c>
      <c r="CC4" s="2">
        <v>1</v>
      </c>
      <c r="CD4" s="2">
        <v>1</v>
      </c>
      <c r="CE4" s="2">
        <v>1</v>
      </c>
      <c r="CF4" s="2">
        <v>1</v>
      </c>
      <c r="CG4" s="2">
        <v>0</v>
      </c>
      <c r="CH4" s="2">
        <v>1</v>
      </c>
      <c r="CI4" s="2">
        <v>0</v>
      </c>
      <c r="CJ4" s="2">
        <v>0</v>
      </c>
      <c r="CK4" s="2">
        <v>0</v>
      </c>
      <c r="CL4" s="2">
        <v>1</v>
      </c>
    </row>
    <row r="5" spans="2:101" x14ac:dyDescent="0.25">
      <c r="B5" s="36" t="s">
        <v>2074</v>
      </c>
      <c r="C5" s="1" t="s">
        <v>2073</v>
      </c>
      <c r="E5" s="1" t="s">
        <v>1984</v>
      </c>
      <c r="F5" s="1">
        <v>90</v>
      </c>
      <c r="G5" s="1" t="s">
        <v>2077</v>
      </c>
      <c r="K5" s="1" t="s">
        <v>1765</v>
      </c>
      <c r="L5" s="1" t="s">
        <v>1750</v>
      </c>
      <c r="M5" s="1" t="s">
        <v>358</v>
      </c>
      <c r="O5" s="1" t="s">
        <v>2078</v>
      </c>
      <c r="P5" s="1">
        <v>2.5</v>
      </c>
      <c r="Q5" s="1">
        <v>-10</v>
      </c>
      <c r="R5" s="1">
        <v>5</v>
      </c>
      <c r="S5" s="1">
        <v>22</v>
      </c>
      <c r="T5" s="1">
        <v>35</v>
      </c>
      <c r="U5" s="253">
        <v>3</v>
      </c>
      <c r="V5" s="1">
        <v>60</v>
      </c>
      <c r="W5" s="1">
        <v>120</v>
      </c>
      <c r="X5" s="40">
        <f>_xlfn.XLOOKUP("Ripening", CropPhenology_Alfalfa[Main_Stage], CropPhenology_Alfalfa[Start_GDD], "Not Found")</f>
        <v>921</v>
      </c>
      <c r="Y5" s="4" cm="1">
        <f t="array" ref="Y5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Z5" s="3">
        <f>MIN(Y5/V5,MAX(X5/W5,R5,(X5/W5+Y5/V5)/2))</f>
        <v>12.5875</v>
      </c>
      <c r="AA5" s="41">
        <f t="shared" si="0"/>
        <v>83.416087388282023</v>
      </c>
      <c r="AB5" s="1">
        <v>5</v>
      </c>
      <c r="AC5" s="1">
        <v>3</v>
      </c>
      <c r="AD5" s="1">
        <v>1.2</v>
      </c>
      <c r="AE5" s="1">
        <v>90</v>
      </c>
      <c r="AF5" s="1">
        <v>-2</v>
      </c>
      <c r="AG5" s="1">
        <v>6</v>
      </c>
      <c r="AH5" s="3">
        <f t="shared" si="1"/>
        <v>1.5464642857142858</v>
      </c>
      <c r="AI5" s="1">
        <v>6.5</v>
      </c>
      <c r="AJ5" s="1">
        <v>8</v>
      </c>
      <c r="AK5" s="159">
        <v>2</v>
      </c>
      <c r="AL5" s="150">
        <v>7.2999999999999995E-2</v>
      </c>
      <c r="AM5" s="1">
        <v>400</v>
      </c>
      <c r="AN5" s="1">
        <v>650</v>
      </c>
      <c r="AO5" s="48">
        <v>0.6</v>
      </c>
      <c r="AP5" s="44">
        <v>130</v>
      </c>
      <c r="AQ5" s="6">
        <v>0.85</v>
      </c>
      <c r="AR5" s="1">
        <v>20</v>
      </c>
      <c r="AS5" s="1">
        <v>6</v>
      </c>
      <c r="AT5" s="1">
        <v>1</v>
      </c>
      <c r="AU5" s="4">
        <f>IFERROR(10000/(AS5*AR5),0)*AT5</f>
        <v>83.333333333333329</v>
      </c>
      <c r="AV5" s="3">
        <f>ROUND((P5/1000000)*AU5*10000,2)</f>
        <v>2.08</v>
      </c>
      <c r="AW5" s="1">
        <v>88</v>
      </c>
      <c r="AX5" s="3">
        <f>ROUND(AU5*AW5/100,2)</f>
        <v>73.33</v>
      </c>
      <c r="AY5" s="1">
        <v>5</v>
      </c>
      <c r="AZ5" s="4">
        <f>IFERROR(AX5*AY5,0)</f>
        <v>366.65</v>
      </c>
      <c r="BA5" s="2">
        <v>0.7</v>
      </c>
      <c r="BB5" s="4">
        <f>IFERROR(AZ5*BA5,0)</f>
        <v>256.65499999999997</v>
      </c>
      <c r="BC5" s="8">
        <v>3.0000000000000001E-3</v>
      </c>
      <c r="BD5" s="69">
        <f>IFERROR(
  MAX(0.05, MIN(0.5, CropNorms_Alfalfa[[#This Row],[Leaf_Area_Per_Shoot_m2]] * CropNorms_Alfalfa[[#This Row],[Shoot_Bearing_m2]] )),
  0.2
)</f>
        <v>0.5</v>
      </c>
      <c r="BE5" s="4">
        <f>_xlfn.XLOOKUP(CropNorms_Alfalfa[[#This Row],[LAI_Start_BBCH]], CropPhenology_Alfalfa[Sub_Stage], CropPhenology_Alfalfa[Start_GDD], "Not Found")</f>
        <v>151</v>
      </c>
      <c r="BF5" s="3">
        <f>ROUND(CropNorms_Alfalfa[[#This Row],[Shoot_Bearing_m2]]*CropNorms_Alfalfa[[#This Row],[Leaf_Area_Per_Shoot_m2]],2)</f>
        <v>0.77</v>
      </c>
      <c r="BG5" s="4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H5" s="3">
        <f>IF(CropNorms_Alfalfa[[#This Row],[Max_LAI]]&gt;=1.2, 0.85*CropNorms_Alfalfa[[#This Row],[Max_LAI]], 1)</f>
        <v>1</v>
      </c>
      <c r="BI5" s="41">
        <f>_xlfn.XLOOKUP(CropNorms_Alfalfa[[#This Row],[LAI_End_BBCH]], CropPhenology_Alfalfa[Sub_Stage], CropPhenology_Alfalfa[End_GDD], "Not Found")</f>
        <v>920</v>
      </c>
      <c r="BJ5" s="3" cm="1">
        <f t="array" ref="BJ5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K5" s="3" cm="1">
        <f t="array" ref="BK5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0.93440192907913411</v>
      </c>
      <c r="BL5" s="3" cm="1">
        <f t="array" ref="BL5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5" s="3" cm="1">
        <f t="array" ref="BM5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" s="42">
        <v>0.3</v>
      </c>
      <c r="BO5" s="6">
        <v>0.25</v>
      </c>
      <c r="BP5" s="42">
        <v>2.8</v>
      </c>
      <c r="BQ5" s="43" t="s">
        <v>1797</v>
      </c>
      <c r="BR5" s="3" t="str" cm="1">
        <f t="array" ref="BR5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S5" s="3" t="str" cm="1">
        <f t="array" ref="BS5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T5" s="3" t="str" cm="1">
        <f t="array" ref="BT5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U5" s="3" t="str" cm="1">
        <f t="array" ref="BU5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V5" s="48">
        <v>25</v>
      </c>
      <c r="BW5" s="1">
        <v>10</v>
      </c>
      <c r="BX5" s="1">
        <v>100</v>
      </c>
      <c r="BY5" s="52">
        <v>45200</v>
      </c>
      <c r="BZ5" s="5">
        <v>45991</v>
      </c>
      <c r="CA5" s="2">
        <v>0</v>
      </c>
      <c r="CB5" s="2">
        <v>0</v>
      </c>
      <c r="CC5" s="2">
        <v>1</v>
      </c>
      <c r="CD5" s="2">
        <v>1</v>
      </c>
      <c r="CE5" s="2">
        <v>1</v>
      </c>
      <c r="CF5" s="2">
        <v>1</v>
      </c>
      <c r="CG5" s="2">
        <v>0</v>
      </c>
      <c r="CH5" s="2">
        <v>1</v>
      </c>
      <c r="CI5" s="2">
        <v>0</v>
      </c>
      <c r="CJ5" s="2">
        <v>0</v>
      </c>
      <c r="CK5" s="2">
        <v>0</v>
      </c>
      <c r="CL5" s="2">
        <v>1</v>
      </c>
    </row>
    <row r="6" spans="2:101" ht="11.25" thickBot="1" x14ac:dyDescent="0.3">
      <c r="B6" s="36" t="s">
        <v>2074</v>
      </c>
      <c r="C6" s="1" t="s">
        <v>2075</v>
      </c>
      <c r="E6" s="1" t="s">
        <v>2076</v>
      </c>
      <c r="F6" s="1">
        <v>100</v>
      </c>
      <c r="G6" s="1" t="s">
        <v>2077</v>
      </c>
      <c r="K6" s="1" t="s">
        <v>1765</v>
      </c>
      <c r="L6" s="1" t="s">
        <v>1750</v>
      </c>
      <c r="M6" s="1" t="s">
        <v>358</v>
      </c>
      <c r="O6" s="1" t="s">
        <v>2078</v>
      </c>
      <c r="P6" s="1">
        <v>3</v>
      </c>
      <c r="Q6" s="1">
        <v>-12</v>
      </c>
      <c r="R6" s="1">
        <v>5</v>
      </c>
      <c r="S6" s="1">
        <v>22</v>
      </c>
      <c r="T6" s="1">
        <v>38</v>
      </c>
      <c r="U6" s="254">
        <v>3</v>
      </c>
      <c r="V6" s="1">
        <v>50</v>
      </c>
      <c r="W6" s="1">
        <v>120</v>
      </c>
      <c r="X6" s="124">
        <f>_xlfn.XLOOKUP("Ripening", CropPhenology_Alfalfa[Main_Stage], CropPhenology_Alfalfa[Start_GDD], "Not Found")</f>
        <v>921</v>
      </c>
      <c r="Y6" s="125" cm="1">
        <f t="array" ref="Y6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Z6" s="132">
        <f>MIN(Y6/V6,MAX(X6/W6,R6,(X6/W6+Y6/V6)/2))</f>
        <v>14.3375</v>
      </c>
      <c r="AA6" s="133">
        <f t="shared" si="0"/>
        <v>73.234524847428077</v>
      </c>
      <c r="AB6" s="1">
        <v>5</v>
      </c>
      <c r="AC6" s="1">
        <v>2</v>
      </c>
      <c r="AD6" s="1">
        <v>1.1000000000000001</v>
      </c>
      <c r="AE6" s="1">
        <v>90</v>
      </c>
      <c r="AF6" s="1">
        <v>-2</v>
      </c>
      <c r="AG6" s="1">
        <v>7</v>
      </c>
      <c r="AH6" s="3">
        <f t="shared" si="1"/>
        <v>1.7614642857142857</v>
      </c>
      <c r="AI6" s="1">
        <v>6.5</v>
      </c>
      <c r="AJ6" s="1">
        <v>8</v>
      </c>
      <c r="AK6" s="160">
        <v>2</v>
      </c>
      <c r="AL6" s="161">
        <v>7.2999999999999995E-2</v>
      </c>
      <c r="AM6" s="1">
        <v>450</v>
      </c>
      <c r="AN6" s="1">
        <v>750</v>
      </c>
      <c r="AO6" s="127">
        <v>0.5</v>
      </c>
      <c r="AP6" s="128">
        <v>140</v>
      </c>
      <c r="AQ6" s="6">
        <v>0.9</v>
      </c>
      <c r="AR6" s="1">
        <v>15</v>
      </c>
      <c r="AS6" s="1">
        <v>6</v>
      </c>
      <c r="AT6" s="1">
        <v>1</v>
      </c>
      <c r="AU6" s="4">
        <f>IFERROR(10000/(AS6*AR6),0)*AT6</f>
        <v>111.11111111111111</v>
      </c>
      <c r="AV6" s="3">
        <f>ROUND((P6/1000000)*AU6*10000,2)</f>
        <v>3.33</v>
      </c>
      <c r="AW6" s="1">
        <v>92</v>
      </c>
      <c r="AX6" s="3">
        <f>ROUND(AU6*AW6/100,2)</f>
        <v>102.22</v>
      </c>
      <c r="AY6" s="1">
        <v>6</v>
      </c>
      <c r="AZ6" s="4">
        <f>IFERROR(AX6*AY6,0)</f>
        <v>613.31999999999994</v>
      </c>
      <c r="BA6" s="2">
        <v>0.75</v>
      </c>
      <c r="BB6" s="4">
        <f>IFERROR(AZ6*BA6,0)</f>
        <v>459.98999999999995</v>
      </c>
      <c r="BC6" s="8">
        <v>3.5000000000000001E-3</v>
      </c>
      <c r="BD6" s="131">
        <f>IFERROR(
  MAX(0.05, MIN(0.5, CropNorms_Alfalfa[[#This Row],[Leaf_Area_Per_Shoot_m2]] * CropNorms_Alfalfa[[#This Row],[Shoot_Bearing_m2]] )),
  0.2
)</f>
        <v>0.5</v>
      </c>
      <c r="BE6" s="125">
        <f>_xlfn.XLOOKUP(CropNorms_Alfalfa[[#This Row],[LAI_Start_BBCH]], CropPhenology_Alfalfa[Sub_Stage], CropPhenology_Alfalfa[Start_GDD], "Not Found")</f>
        <v>151</v>
      </c>
      <c r="BF6" s="132">
        <f>ROUND(CropNorms_Alfalfa[[#This Row],[Shoot_Bearing_m2]]*CropNorms_Alfalfa[[#This Row],[Leaf_Area_Per_Shoot_m2]],2)</f>
        <v>1.61</v>
      </c>
      <c r="BG6" s="125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H6" s="132">
        <f>IF(CropNorms_Alfalfa[[#This Row],[Max_LAI]]&gt;=1.2, 0.85*CropNorms_Alfalfa[[#This Row],[Max_LAI]], 1)</f>
        <v>1.3685</v>
      </c>
      <c r="BI6" s="133">
        <f>_xlfn.XLOOKUP(CropNorms_Alfalfa[[#This Row],[LAI_End_BBCH]], CropPhenology_Alfalfa[Sub_Stage], CropPhenology_Alfalfa[End_GDD], "Not Found")</f>
        <v>920</v>
      </c>
      <c r="BJ6" s="3" cm="1">
        <f t="array" ref="BJ6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K6" s="3" cm="1">
        <f t="array" ref="BK6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0.93032840882692724</v>
      </c>
      <c r="BL6" s="3" cm="1">
        <f t="array" ref="BL6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6" s="3" cm="1">
        <f t="array" ref="BM6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" s="136">
        <v>0.33</v>
      </c>
      <c r="BO6" s="126">
        <v>0.25</v>
      </c>
      <c r="BP6" s="136">
        <v>3</v>
      </c>
      <c r="BQ6" s="43" t="s">
        <v>1797</v>
      </c>
      <c r="BR6" s="3" t="str" cm="1">
        <f t="array" ref="BR6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S6" s="3" t="str" cm="1">
        <f t="array" ref="BS6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T6" s="3" t="str" cm="1">
        <f t="array" ref="BT6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U6" s="3" t="str" cm="1">
        <f t="array" ref="BU6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V6" s="127">
        <v>25</v>
      </c>
      <c r="BW6" s="140">
        <v>10</v>
      </c>
      <c r="BX6" s="140">
        <v>100</v>
      </c>
      <c r="BY6" s="145">
        <v>45200</v>
      </c>
      <c r="BZ6" s="146">
        <v>45991</v>
      </c>
      <c r="CA6" s="2">
        <v>0</v>
      </c>
      <c r="CB6" s="2">
        <v>0</v>
      </c>
      <c r="CC6" s="2">
        <v>1</v>
      </c>
      <c r="CD6" s="2">
        <v>1</v>
      </c>
      <c r="CE6" s="2">
        <v>1</v>
      </c>
      <c r="CF6" s="2">
        <v>1</v>
      </c>
      <c r="CG6" s="2">
        <v>0</v>
      </c>
      <c r="CH6" s="2">
        <v>1</v>
      </c>
      <c r="CI6" s="2">
        <v>0</v>
      </c>
      <c r="CJ6" s="2">
        <v>0</v>
      </c>
      <c r="CK6" s="2">
        <v>0</v>
      </c>
      <c r="CL6" s="2">
        <v>1</v>
      </c>
    </row>
    <row r="7" spans="2:101" ht="11.25" thickBot="1" x14ac:dyDescent="0.3">
      <c r="CT7" s="103"/>
      <c r="CU7" s="103"/>
      <c r="CV7" s="103"/>
      <c r="CW7" s="103"/>
    </row>
    <row r="8" spans="2:101" s="2" customFormat="1" ht="11.25" thickBot="1" x14ac:dyDescent="0.3">
      <c r="B8" s="147" t="s">
        <v>1753</v>
      </c>
      <c r="C8" s="53" t="s">
        <v>1754</v>
      </c>
      <c r="D8" s="53" t="s">
        <v>1804</v>
      </c>
      <c r="E8" s="53" t="s">
        <v>1805</v>
      </c>
      <c r="F8" s="53" t="s">
        <v>1806</v>
      </c>
      <c r="G8" s="53" t="s">
        <v>1807</v>
      </c>
      <c r="H8" s="53" t="s">
        <v>1808</v>
      </c>
      <c r="I8" s="53" t="s">
        <v>1809</v>
      </c>
      <c r="J8" s="53" t="s">
        <v>1810</v>
      </c>
      <c r="K8" s="53" t="s">
        <v>1747</v>
      </c>
      <c r="L8" s="54" t="s">
        <v>1749</v>
      </c>
      <c r="M8" s="53" t="s">
        <v>357</v>
      </c>
      <c r="N8" s="55" t="s">
        <v>692</v>
      </c>
      <c r="O8" s="53" t="s">
        <v>325</v>
      </c>
      <c r="P8" s="53" t="s">
        <v>356</v>
      </c>
      <c r="Q8" s="53" t="s">
        <v>326</v>
      </c>
      <c r="R8" s="53" t="s">
        <v>327</v>
      </c>
      <c r="S8" s="53" t="s">
        <v>328</v>
      </c>
      <c r="T8" s="53" t="s">
        <v>329</v>
      </c>
      <c r="U8" s="250" t="s">
        <v>2349</v>
      </c>
      <c r="V8" s="53" t="s">
        <v>330</v>
      </c>
      <c r="W8" s="62" t="s">
        <v>331</v>
      </c>
      <c r="X8" s="56" t="s">
        <v>354</v>
      </c>
      <c r="Y8" s="57" t="s">
        <v>355</v>
      </c>
      <c r="Z8" s="58" t="s">
        <v>413</v>
      </c>
      <c r="AA8" s="59" t="s">
        <v>583</v>
      </c>
      <c r="AB8" s="61" t="s">
        <v>324</v>
      </c>
      <c r="AC8" s="53" t="s">
        <v>332</v>
      </c>
      <c r="AD8" s="53" t="s">
        <v>333</v>
      </c>
      <c r="AE8" s="53" t="s">
        <v>334</v>
      </c>
      <c r="AF8" s="53" t="s">
        <v>335</v>
      </c>
      <c r="AG8" s="53" t="s">
        <v>336</v>
      </c>
      <c r="AH8" s="60" t="s">
        <v>337</v>
      </c>
      <c r="AI8" s="53" t="s">
        <v>338</v>
      </c>
      <c r="AJ8" s="53" t="s">
        <v>339</v>
      </c>
      <c r="AK8" s="157" t="s">
        <v>2346</v>
      </c>
      <c r="AL8" s="158" t="s">
        <v>2347</v>
      </c>
      <c r="AM8" s="53" t="s">
        <v>340</v>
      </c>
      <c r="AN8" s="62" t="s">
        <v>341</v>
      </c>
      <c r="AO8" s="61" t="s">
        <v>342</v>
      </c>
      <c r="AP8" s="62" t="s">
        <v>343</v>
      </c>
      <c r="AQ8" s="64" t="s">
        <v>344</v>
      </c>
      <c r="AR8" s="53" t="s">
        <v>345</v>
      </c>
      <c r="AS8" s="53" t="s">
        <v>346</v>
      </c>
      <c r="AT8" s="53" t="s">
        <v>364</v>
      </c>
      <c r="AU8" s="60" t="s">
        <v>347</v>
      </c>
      <c r="AV8" s="58" t="s">
        <v>363</v>
      </c>
      <c r="AW8" s="53" t="s">
        <v>348</v>
      </c>
      <c r="AX8" s="58" t="s">
        <v>349</v>
      </c>
      <c r="AY8" s="53" t="s">
        <v>366</v>
      </c>
      <c r="AZ8" s="60" t="s">
        <v>350</v>
      </c>
      <c r="BA8" s="53" t="s">
        <v>365</v>
      </c>
      <c r="BB8" s="60" t="s">
        <v>1827</v>
      </c>
      <c r="BC8" s="99" t="s">
        <v>351</v>
      </c>
      <c r="BD8" s="71" t="s">
        <v>1811</v>
      </c>
      <c r="BE8" s="57" t="s">
        <v>352</v>
      </c>
      <c r="BF8" s="58" t="s">
        <v>1812</v>
      </c>
      <c r="BG8" s="57" t="s">
        <v>1752</v>
      </c>
      <c r="BH8" s="60" t="s">
        <v>1813</v>
      </c>
      <c r="BI8" s="59" t="s">
        <v>353</v>
      </c>
      <c r="BJ8" s="71" t="s">
        <v>1828</v>
      </c>
      <c r="BK8" s="58" t="s">
        <v>1829</v>
      </c>
      <c r="BL8" s="58" t="s">
        <v>1830</v>
      </c>
      <c r="BM8" s="72" t="s">
        <v>1831</v>
      </c>
      <c r="BN8" s="64" t="s">
        <v>1154</v>
      </c>
      <c r="BO8" s="65" t="s">
        <v>1742</v>
      </c>
      <c r="BP8" s="64" t="s">
        <v>1155</v>
      </c>
      <c r="BQ8" s="65" t="s">
        <v>1755</v>
      </c>
      <c r="BR8" s="71" t="s">
        <v>367</v>
      </c>
      <c r="BS8" s="58" t="s">
        <v>1751</v>
      </c>
      <c r="BT8" s="58" t="s">
        <v>368</v>
      </c>
      <c r="BU8" s="156" t="s">
        <v>1814</v>
      </c>
      <c r="BV8" s="61" t="s">
        <v>369</v>
      </c>
      <c r="BW8" s="53" t="s">
        <v>370</v>
      </c>
      <c r="BX8" s="62" t="s">
        <v>371</v>
      </c>
      <c r="BY8" s="61" t="s">
        <v>359</v>
      </c>
      <c r="BZ8" s="62" t="s">
        <v>361</v>
      </c>
      <c r="CA8" s="61" t="s">
        <v>1815</v>
      </c>
      <c r="CB8" s="53" t="s">
        <v>1816</v>
      </c>
      <c r="CC8" s="53" t="s">
        <v>1817</v>
      </c>
      <c r="CD8" s="53" t="s">
        <v>1818</v>
      </c>
      <c r="CE8" s="53" t="s">
        <v>1819</v>
      </c>
      <c r="CF8" s="53" t="s">
        <v>1820</v>
      </c>
      <c r="CG8" s="53" t="s">
        <v>1821</v>
      </c>
      <c r="CH8" s="53" t="s">
        <v>1822</v>
      </c>
      <c r="CI8" s="53" t="s">
        <v>1823</v>
      </c>
      <c r="CJ8" s="53" t="s">
        <v>1824</v>
      </c>
      <c r="CK8" s="53" t="s">
        <v>1825</v>
      </c>
      <c r="CL8" s="53" t="s">
        <v>1826</v>
      </c>
      <c r="CO8" s="26" t="s">
        <v>1740</v>
      </c>
      <c r="CP8" s="38" t="s">
        <v>1764</v>
      </c>
      <c r="CQ8" s="38" t="s">
        <v>1747</v>
      </c>
      <c r="CR8" s="38" t="s">
        <v>1785</v>
      </c>
      <c r="CT8" s="28"/>
      <c r="CU8" s="28"/>
      <c r="CV8" s="28"/>
      <c r="CW8" s="36"/>
    </row>
    <row r="9" spans="2:101" x14ac:dyDescent="0.25">
      <c r="B9" s="36" t="s">
        <v>0</v>
      </c>
      <c r="C9" s="1" t="s">
        <v>3</v>
      </c>
      <c r="D9" s="1" t="s">
        <v>1832</v>
      </c>
      <c r="E9" s="1" t="s">
        <v>1984</v>
      </c>
      <c r="F9" s="1">
        <v>105</v>
      </c>
      <c r="G9" s="1" t="s">
        <v>2327</v>
      </c>
      <c r="H9" s="1" t="s">
        <v>1987</v>
      </c>
      <c r="I9" s="1" t="s">
        <v>1989</v>
      </c>
      <c r="J9" s="1" t="s">
        <v>2335</v>
      </c>
      <c r="K9" s="1" t="s">
        <v>1748</v>
      </c>
      <c r="L9" s="1" t="s">
        <v>1750</v>
      </c>
      <c r="M9" s="1" t="s">
        <v>358</v>
      </c>
      <c r="N9" s="6">
        <v>10.5</v>
      </c>
      <c r="O9" s="1" t="s">
        <v>4</v>
      </c>
      <c r="P9" s="1">
        <v>42</v>
      </c>
      <c r="Q9" s="1">
        <v>5</v>
      </c>
      <c r="R9" s="1">
        <v>4</v>
      </c>
      <c r="S9" s="1">
        <v>20</v>
      </c>
      <c r="T9" s="1">
        <v>40</v>
      </c>
      <c r="U9" s="253">
        <v>6</v>
      </c>
      <c r="V9" s="1">
        <v>140</v>
      </c>
      <c r="W9" s="44">
        <v>145</v>
      </c>
      <c r="X9" s="40">
        <f>_xlfn.XLOOKUP("Ripening", CropPhenology_Barley[Main_Stage], CropPhenology_Barley[Start_GDD], "Not Found")</f>
        <v>1781</v>
      </c>
      <c r="Y9" s="4" cm="1">
        <f t="array" ref="Y9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9" s="3">
        <f t="shared" ref="Z9:Z19" si="2">MIN(Y9/V9,MAX(X9/W9,R9,(X9/W9+Y9/V9)/2))</f>
        <v>13.641379310344828</v>
      </c>
      <c r="AA9" s="41">
        <f t="shared" ref="AA9:AA19" si="3">Y9/Z9</f>
        <v>153.94337714863499</v>
      </c>
      <c r="AB9" s="48">
        <v>8.5</v>
      </c>
      <c r="AC9" s="1">
        <v>5</v>
      </c>
      <c r="AD9" s="1">
        <v>2.1</v>
      </c>
      <c r="AE9" s="1">
        <v>90</v>
      </c>
      <c r="AF9" s="1">
        <v>3</v>
      </c>
      <c r="AG9" s="1">
        <v>6</v>
      </c>
      <c r="AH9" s="3">
        <f t="shared" ref="AH9" si="4">IFERROR((Y9-X9)/AA9,0)</f>
        <v>2.0721904761904759</v>
      </c>
      <c r="AI9" s="1">
        <v>5.5</v>
      </c>
      <c r="AJ9" s="1">
        <v>6.5</v>
      </c>
      <c r="AK9" s="159">
        <v>8</v>
      </c>
      <c r="AL9" s="150">
        <v>0.05</v>
      </c>
      <c r="AM9" s="1">
        <v>350</v>
      </c>
      <c r="AN9" s="44">
        <v>450</v>
      </c>
      <c r="AO9" s="48">
        <v>8</v>
      </c>
      <c r="AP9" s="44">
        <v>100</v>
      </c>
      <c r="AQ9" s="42">
        <v>0.75</v>
      </c>
      <c r="AR9" s="1">
        <v>30</v>
      </c>
      <c r="AS9" s="1">
        <v>5</v>
      </c>
      <c r="AT9" s="1">
        <v>1</v>
      </c>
      <c r="AU9" s="4">
        <f t="shared" ref="AU9:AU19" si="5">IFERROR(10000/(AS9*AR9),0)*AT9</f>
        <v>66.666666666666671</v>
      </c>
      <c r="AV9" s="3">
        <f t="shared" ref="AV9:AV19" si="6">ROUND((P9/1000000)*AU9*10000,2)</f>
        <v>28</v>
      </c>
      <c r="AW9" s="1">
        <v>95</v>
      </c>
      <c r="AX9" s="3">
        <f t="shared" ref="AX9:AX19" si="7">ROUND(AU9*AW9/100,2)</f>
        <v>63.33</v>
      </c>
      <c r="AY9" s="1">
        <v>2</v>
      </c>
      <c r="AZ9" s="4">
        <f t="shared" ref="AZ9:AZ19" si="8">IFERROR(AX9*AY9,0)</f>
        <v>126.66</v>
      </c>
      <c r="BA9" s="49">
        <v>0.9</v>
      </c>
      <c r="BB9" s="4">
        <f t="shared" ref="BB9:BB19" si="9">IFERROR(AZ9*BA9,0)</f>
        <v>113.994</v>
      </c>
      <c r="BC9" s="50">
        <v>5.1353012780656401E-3</v>
      </c>
      <c r="BD9" s="69">
        <f>IFERROR(
  MAX(0.05, MIN(0.5, CropNorms_Barley[[#This Row],[Leaf_Area_Per_Shoot_m2]] * CropNorms_Barley[[#This Row],[Shoot_Bearing_m2]] )),
  0.2
)</f>
        <v>0.5</v>
      </c>
      <c r="BE9" s="4">
        <f>_xlfn.XLOOKUP(CropNorms_Barley[[#This Row],[LAI_Start_BBCH]], CropPhenology_Barley[Sub_Stage], CropPhenology_Barley[Start_GDD], "Not Found")</f>
        <v>121</v>
      </c>
      <c r="BF9" s="3">
        <f>ROUND(CropNorms_Barley[[#This Row],[Shoot_Bearing_m2]]*CropNorms_Barley[[#This Row],[Leaf_Area_Per_Shoot_m2]],2)</f>
        <v>0.59</v>
      </c>
      <c r="BG9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9" s="3">
        <f>IF(CropNorms_Barley[[#This Row],[Max_LAI]]&gt;=1.2, 0.85*CropNorms_Barley[[#This Row],[Max_LAI]], 1)</f>
        <v>1</v>
      </c>
      <c r="BI9" s="41">
        <f>_xlfn.XLOOKUP(CropNorms_Barley[[#This Row],[LAI_End_BBCH]], CropPhenology_Barley[Sub_Stage], CropPhenology_Barley[End_GDD], "Not Found")</f>
        <v>1780</v>
      </c>
      <c r="BJ9" s="69" cm="1">
        <f t="array" ref="BJ9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1.3915736537734233</v>
      </c>
      <c r="BK9" s="3" cm="1">
        <f t="array" ref="BK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0.94331763398349122</v>
      </c>
      <c r="BL9" s="3" cm="1">
        <f t="array" ref="BL9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9" s="70" cm="1">
        <f t="array" ref="BM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" s="42">
        <v>0.43</v>
      </c>
      <c r="BO9" s="43">
        <v>0</v>
      </c>
      <c r="BP9" s="42">
        <v>2.44</v>
      </c>
      <c r="BQ9" s="43" t="s">
        <v>1795</v>
      </c>
      <c r="BR9" s="69" t="str" cm="1">
        <f t="array" ref="BR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9" s="3" t="str" cm="1">
        <f t="array" ref="BS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9" s="3" t="str" cm="1">
        <f t="array" ref="BT9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9" s="70" t="str" cm="1">
        <f t="array" ref="BU9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9" s="48">
        <v>40</v>
      </c>
      <c r="BW9" s="1">
        <v>20</v>
      </c>
      <c r="BX9" s="44">
        <v>20</v>
      </c>
      <c r="BY9" s="52">
        <v>45931</v>
      </c>
      <c r="BZ9" s="5">
        <v>45991</v>
      </c>
      <c r="CA9" s="85">
        <v>0</v>
      </c>
      <c r="CB9" s="2">
        <v>0</v>
      </c>
      <c r="CC9" s="2">
        <v>1</v>
      </c>
      <c r="CD9" s="2">
        <v>1</v>
      </c>
      <c r="CE9" s="2">
        <v>1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O9" s="1">
        <v>1</v>
      </c>
      <c r="CP9" s="27" t="s">
        <v>1158</v>
      </c>
      <c r="CQ9" s="27" t="s">
        <v>1765</v>
      </c>
      <c r="CR9" s="27" t="s">
        <v>1797</v>
      </c>
      <c r="CT9" s="103"/>
      <c r="CU9" s="148"/>
      <c r="CV9" s="148"/>
      <c r="CW9" s="103"/>
    </row>
    <row r="10" spans="2:101" x14ac:dyDescent="0.25">
      <c r="B10" s="36" t="s">
        <v>0</v>
      </c>
      <c r="C10" s="1" t="s">
        <v>9</v>
      </c>
      <c r="D10" s="1" t="s">
        <v>1832</v>
      </c>
      <c r="E10" s="1" t="s">
        <v>1984</v>
      </c>
      <c r="F10" s="1">
        <v>105</v>
      </c>
      <c r="G10" s="1" t="s">
        <v>2328</v>
      </c>
      <c r="H10" s="1" t="s">
        <v>1988</v>
      </c>
      <c r="J10" s="1" t="s">
        <v>2079</v>
      </c>
      <c r="K10" s="1" t="s">
        <v>1748</v>
      </c>
      <c r="L10" s="1" t="s">
        <v>1750</v>
      </c>
      <c r="M10" s="1" t="s">
        <v>358</v>
      </c>
      <c r="N10" s="6">
        <v>10.5</v>
      </c>
      <c r="O10" s="1" t="s">
        <v>4</v>
      </c>
      <c r="P10" s="1">
        <v>36.799999999999997</v>
      </c>
      <c r="Q10" s="1">
        <v>5</v>
      </c>
      <c r="R10" s="1">
        <v>5</v>
      </c>
      <c r="S10" s="1">
        <v>15</v>
      </c>
      <c r="T10" s="1">
        <v>32</v>
      </c>
      <c r="U10" s="253">
        <v>6</v>
      </c>
      <c r="V10" s="1">
        <v>140</v>
      </c>
      <c r="W10" s="44">
        <v>145</v>
      </c>
      <c r="X10" s="40">
        <f>_xlfn.XLOOKUP("Ripening", CropPhenology_Barley[Main_Stage], CropPhenology_Barley[Start_GDD], "Not Found")</f>
        <v>1781</v>
      </c>
      <c r="Y10" s="4" cm="1">
        <f t="array" ref="Y10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0" s="3">
        <f t="shared" si="2"/>
        <v>13.641379310344828</v>
      </c>
      <c r="AA10" s="41">
        <f t="shared" si="3"/>
        <v>153.94337714863499</v>
      </c>
      <c r="AB10" s="48">
        <v>8.5</v>
      </c>
      <c r="AC10" s="1">
        <v>5</v>
      </c>
      <c r="AD10" s="1">
        <v>2.1</v>
      </c>
      <c r="AE10" s="1">
        <v>90</v>
      </c>
      <c r="AF10" s="1">
        <v>3</v>
      </c>
      <c r="AG10" s="1">
        <v>6</v>
      </c>
      <c r="AH10" s="3">
        <f t="shared" ref="AH10:AH19" si="10">IFERROR((Y10-X10)/AA10,0)</f>
        <v>2.0721904761904759</v>
      </c>
      <c r="AI10" s="1">
        <v>5.5</v>
      </c>
      <c r="AJ10" s="1">
        <v>6.5</v>
      </c>
      <c r="AK10" s="159">
        <v>8</v>
      </c>
      <c r="AL10" s="150">
        <v>0.05</v>
      </c>
      <c r="AM10" s="1">
        <v>350</v>
      </c>
      <c r="AN10" s="44">
        <v>450</v>
      </c>
      <c r="AO10" s="48">
        <v>8</v>
      </c>
      <c r="AP10" s="44">
        <v>100</v>
      </c>
      <c r="AQ10" s="42">
        <v>0.75</v>
      </c>
      <c r="AR10" s="1">
        <v>20</v>
      </c>
      <c r="AS10" s="1">
        <v>2</v>
      </c>
      <c r="AT10" s="1">
        <v>1</v>
      </c>
      <c r="AU10" s="4">
        <f t="shared" si="5"/>
        <v>250</v>
      </c>
      <c r="AV10" s="3">
        <f t="shared" si="6"/>
        <v>92</v>
      </c>
      <c r="AW10" s="1">
        <v>95</v>
      </c>
      <c r="AX10" s="3">
        <f t="shared" si="7"/>
        <v>237.5</v>
      </c>
      <c r="AY10" s="1">
        <v>5</v>
      </c>
      <c r="AZ10" s="4">
        <f t="shared" si="8"/>
        <v>1187.5</v>
      </c>
      <c r="BA10" s="49">
        <v>0.9</v>
      </c>
      <c r="BB10" s="4">
        <f t="shared" si="9"/>
        <v>1068.75</v>
      </c>
      <c r="BC10" s="50">
        <v>4.9412460246560687E-3</v>
      </c>
      <c r="BD10" s="69">
        <f>IFERROR(
  MAX(0.05, MIN(0.5, CropNorms_Barley[[#This Row],[Leaf_Area_Per_Shoot_m2]] * CropNorms_Barley[[#This Row],[Shoot_Bearing_m2]] )),
  0.2
)</f>
        <v>0.5</v>
      </c>
      <c r="BE10" s="4">
        <f>_xlfn.XLOOKUP(CropNorms_Barley[[#This Row],[LAI_Start_BBCH]], CropPhenology_Barley[Sub_Stage], CropPhenology_Barley[Start_GDD], "Not Found")</f>
        <v>121</v>
      </c>
      <c r="BF10" s="3">
        <f>ROUND(CropNorms_Barley[[#This Row],[Shoot_Bearing_m2]]*CropNorms_Barley[[#This Row],[Leaf_Area_Per_Shoot_m2]],2)</f>
        <v>5.28</v>
      </c>
      <c r="BG10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0" s="3">
        <f>IF(CropNorms_Barley[[#This Row],[Max_LAI]]&gt;=1.2, 0.85*CropNorms_Barley[[#This Row],[Max_LAI]], 1)</f>
        <v>4.4880000000000004</v>
      </c>
      <c r="BI10" s="41">
        <f>_xlfn.XLOOKUP(CropNorms_Barley[[#This Row],[LAI_End_BBCH]], CropPhenology_Barley[Sub_Stage], CropPhenology_Barley[End_GDD], "Not Found")</f>
        <v>1780</v>
      </c>
      <c r="BJ10" s="69" cm="1">
        <f t="array" ref="BJ10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1.7559272072085288</v>
      </c>
      <c r="BK10" s="3" cm="1">
        <f t="array" ref="BK10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0.93748149952646997</v>
      </c>
      <c r="BL10" s="3" cm="1">
        <f t="array" ref="BL10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2.5666811302658545</v>
      </c>
      <c r="BM10" s="70" cm="1">
        <f t="array" ref="BM10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" s="42">
        <v>0.43</v>
      </c>
      <c r="BO10" s="43">
        <v>0</v>
      </c>
      <c r="BP10" s="42">
        <v>3.25</v>
      </c>
      <c r="BQ10" s="43" t="s">
        <v>1795</v>
      </c>
      <c r="BR10" s="69" t="str" cm="1">
        <f t="array" ref="BR10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0" s="3" t="str" cm="1">
        <f t="array" ref="BS10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0" s="3" t="str" cm="1">
        <f t="array" ref="BT10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0" s="70" t="str" cm="1">
        <f t="array" ref="BU10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0" s="48">
        <v>40</v>
      </c>
      <c r="BW10" s="1">
        <v>20</v>
      </c>
      <c r="BX10" s="44">
        <v>20</v>
      </c>
      <c r="BY10" s="52">
        <v>45931</v>
      </c>
      <c r="BZ10" s="5">
        <v>45991</v>
      </c>
      <c r="CA10" s="85">
        <v>0</v>
      </c>
      <c r="CB10" s="2">
        <v>0</v>
      </c>
      <c r="CC10" s="2">
        <v>1</v>
      </c>
      <c r="CD10" s="2">
        <v>1</v>
      </c>
      <c r="CE10" s="2">
        <v>1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O10" s="1">
        <v>2</v>
      </c>
      <c r="CP10" s="27" t="s">
        <v>1186</v>
      </c>
      <c r="CQ10" s="27" t="s">
        <v>1763</v>
      </c>
      <c r="CR10" s="27" t="s">
        <v>1741</v>
      </c>
      <c r="CT10" s="103"/>
      <c r="CU10" s="148"/>
      <c r="CV10" s="148"/>
      <c r="CW10" s="103"/>
    </row>
    <row r="11" spans="2:101" x14ac:dyDescent="0.25">
      <c r="B11" s="36" t="s">
        <v>0</v>
      </c>
      <c r="C11" s="1" t="s">
        <v>1</v>
      </c>
      <c r="D11" s="1" t="s">
        <v>1832</v>
      </c>
      <c r="E11" s="1" t="s">
        <v>1835</v>
      </c>
      <c r="F11" s="1">
        <v>95</v>
      </c>
      <c r="G11" s="1" t="s">
        <v>2328</v>
      </c>
      <c r="H11" s="1" t="s">
        <v>2334</v>
      </c>
      <c r="J11" s="1" t="s">
        <v>2080</v>
      </c>
      <c r="K11" s="1" t="s">
        <v>1748</v>
      </c>
      <c r="L11" s="1" t="s">
        <v>1750</v>
      </c>
      <c r="M11" s="1" t="s">
        <v>358</v>
      </c>
      <c r="N11" s="6">
        <v>10.5</v>
      </c>
      <c r="O11" s="1" t="s">
        <v>2</v>
      </c>
      <c r="P11" s="1">
        <v>40</v>
      </c>
      <c r="Q11" s="1">
        <v>5</v>
      </c>
      <c r="R11" s="1">
        <v>5</v>
      </c>
      <c r="S11" s="1">
        <v>15</v>
      </c>
      <c r="T11" s="1">
        <v>32</v>
      </c>
      <c r="U11" s="253">
        <v>6</v>
      </c>
      <c r="V11" s="1">
        <v>90</v>
      </c>
      <c r="W11" s="44">
        <v>150</v>
      </c>
      <c r="X11" s="40">
        <f>_xlfn.XLOOKUP("Ripening", CropPhenology_Barley[Main_Stage], CropPhenology_Barley[Start_GDD], "Not Found")</f>
        <v>1781</v>
      </c>
      <c r="Y11" s="4" cm="1">
        <f t="array" ref="Y11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1" s="3">
        <f t="shared" si="2"/>
        <v>17.603333333333332</v>
      </c>
      <c r="AA11" s="41">
        <f t="shared" si="3"/>
        <v>119.29558795682637</v>
      </c>
      <c r="AB11" s="48">
        <v>8.5</v>
      </c>
      <c r="AC11" s="1">
        <v>5</v>
      </c>
      <c r="AD11" s="1">
        <v>2.1</v>
      </c>
      <c r="AE11" s="1">
        <v>90</v>
      </c>
      <c r="AF11" s="1">
        <v>3</v>
      </c>
      <c r="AG11" s="1">
        <v>6</v>
      </c>
      <c r="AH11" s="3">
        <f t="shared" si="10"/>
        <v>2.6740301587301585</v>
      </c>
      <c r="AI11" s="1">
        <v>6.3</v>
      </c>
      <c r="AJ11" s="1">
        <v>8.3000000000000007</v>
      </c>
      <c r="AK11" s="159">
        <v>8</v>
      </c>
      <c r="AL11" s="150">
        <v>0.05</v>
      </c>
      <c r="AM11" s="1">
        <v>350</v>
      </c>
      <c r="AN11" s="44">
        <v>450</v>
      </c>
      <c r="AO11" s="48">
        <v>8</v>
      </c>
      <c r="AP11" s="44">
        <v>100</v>
      </c>
      <c r="AQ11" s="42">
        <v>0.65</v>
      </c>
      <c r="AR11" s="1">
        <v>30</v>
      </c>
      <c r="AS11" s="1">
        <v>5</v>
      </c>
      <c r="AT11" s="1">
        <v>1</v>
      </c>
      <c r="AU11" s="4">
        <f t="shared" si="5"/>
        <v>66.666666666666671</v>
      </c>
      <c r="AV11" s="3">
        <f t="shared" si="6"/>
        <v>26.67</v>
      </c>
      <c r="AW11" s="1">
        <v>95</v>
      </c>
      <c r="AX11" s="3">
        <f t="shared" si="7"/>
        <v>63.33</v>
      </c>
      <c r="AY11" s="1">
        <v>3</v>
      </c>
      <c r="AZ11" s="4">
        <f t="shared" si="8"/>
        <v>189.99</v>
      </c>
      <c r="BA11" s="49">
        <v>0.9</v>
      </c>
      <c r="BB11" s="4">
        <f t="shared" si="9"/>
        <v>170.99100000000001</v>
      </c>
      <c r="BC11" s="50">
        <v>7.7304440413460112E-3</v>
      </c>
      <c r="BD11" s="69">
        <f>IFERROR(
  MAX(0.05, MIN(0.5, CropNorms_Barley[[#This Row],[Leaf_Area_Per_Shoot_m2]] * CropNorms_Barley[[#This Row],[Shoot_Bearing_m2]] )),
  0.2
)</f>
        <v>0.5</v>
      </c>
      <c r="BE11" s="4">
        <f>_xlfn.XLOOKUP(CropNorms_Barley[[#This Row],[LAI_Start_BBCH]], CropPhenology_Barley[Sub_Stage], CropPhenology_Barley[Start_GDD], "Not Found")</f>
        <v>121</v>
      </c>
      <c r="BF11" s="3">
        <f>ROUND(CropNorms_Barley[[#This Row],[Shoot_Bearing_m2]]*CropNorms_Barley[[#This Row],[Leaf_Area_Per_Shoot_m2]],2)</f>
        <v>1.32</v>
      </c>
      <c r="BG11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1" s="3">
        <f>IF(CropNorms_Barley[[#This Row],[Max_LAI]]&gt;=1.2, 0.85*CropNorms_Barley[[#This Row],[Max_LAI]], 1)</f>
        <v>1.1220000000000001</v>
      </c>
      <c r="BI11" s="41">
        <f>_xlfn.XLOOKUP(CropNorms_Barley[[#This Row],[LAI_End_BBCH]], CropPhenology_Barley[Sub_Stage], CropPhenology_Barley[End_GDD], "Not Found")</f>
        <v>1780</v>
      </c>
      <c r="BJ11" s="69" cm="1">
        <f t="array" ref="BJ11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1.4992802559613021</v>
      </c>
      <c r="BK11" s="3" cm="1">
        <f t="array" ref="BK1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0.93883885115853793</v>
      </c>
      <c r="BL11" s="3" cm="1">
        <f t="array" ref="BL11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1" s="70" cm="1">
        <f t="array" ref="BM1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" s="42">
        <v>0.42</v>
      </c>
      <c r="BO11" s="43">
        <v>0</v>
      </c>
      <c r="BP11" s="42">
        <v>3.66</v>
      </c>
      <c r="BQ11" s="43" t="s">
        <v>1795</v>
      </c>
      <c r="BR11" s="69" t="str" cm="1">
        <f t="array" ref="BR1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1" s="3" t="str" cm="1">
        <f t="array" ref="BS1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1" s="3" t="str" cm="1">
        <f t="array" ref="BT11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1" s="70" t="str" cm="1">
        <f t="array" ref="BU11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1" s="48">
        <v>40</v>
      </c>
      <c r="BW11" s="1">
        <v>20</v>
      </c>
      <c r="BX11" s="44">
        <v>20</v>
      </c>
      <c r="BY11" s="52">
        <v>45931</v>
      </c>
      <c r="BZ11" s="5">
        <v>45991</v>
      </c>
      <c r="CA11" s="85">
        <v>0</v>
      </c>
      <c r="CB11" s="2">
        <v>0</v>
      </c>
      <c r="CC11" s="2">
        <v>1</v>
      </c>
      <c r="CD11" s="2">
        <v>1</v>
      </c>
      <c r="CE11" s="2">
        <v>1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O11" s="1">
        <v>3</v>
      </c>
      <c r="CP11" s="27" t="s">
        <v>694</v>
      </c>
      <c r="CQ11" s="27" t="s">
        <v>1748</v>
      </c>
      <c r="CR11" s="27" t="s">
        <v>1795</v>
      </c>
      <c r="CT11" s="103"/>
      <c r="CU11" s="148"/>
      <c r="CV11" s="148"/>
      <c r="CW11" s="103"/>
    </row>
    <row r="12" spans="2:101" x14ac:dyDescent="0.25">
      <c r="B12" s="36" t="s">
        <v>0</v>
      </c>
      <c r="C12" s="1" t="s">
        <v>5</v>
      </c>
      <c r="D12" s="1" t="s">
        <v>1832</v>
      </c>
      <c r="E12" s="1" t="s">
        <v>1985</v>
      </c>
      <c r="F12" s="1">
        <v>90</v>
      </c>
      <c r="G12" s="1" t="s">
        <v>2328</v>
      </c>
      <c r="H12" s="1" t="s">
        <v>1990</v>
      </c>
      <c r="J12" s="1" t="s">
        <v>2080</v>
      </c>
      <c r="K12" s="1" t="s">
        <v>1748</v>
      </c>
      <c r="L12" s="1" t="s">
        <v>1750</v>
      </c>
      <c r="M12" s="1" t="s">
        <v>358</v>
      </c>
      <c r="N12" s="6">
        <v>10.5</v>
      </c>
      <c r="O12" s="1" t="s">
        <v>2</v>
      </c>
      <c r="P12" s="1">
        <v>40</v>
      </c>
      <c r="Q12" s="1">
        <v>0</v>
      </c>
      <c r="R12" s="1">
        <v>5</v>
      </c>
      <c r="S12" s="1">
        <v>15</v>
      </c>
      <c r="T12" s="1">
        <v>32</v>
      </c>
      <c r="U12" s="253">
        <v>6</v>
      </c>
      <c r="V12" s="1">
        <v>90</v>
      </c>
      <c r="W12" s="44">
        <v>150</v>
      </c>
      <c r="X12" s="40">
        <f>_xlfn.XLOOKUP("Ripening", CropPhenology_Barley[Main_Stage], CropPhenology_Barley[Start_GDD], "Not Found")</f>
        <v>1781</v>
      </c>
      <c r="Y12" s="4" cm="1">
        <f t="array" ref="Y12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2" s="3">
        <f t="shared" si="2"/>
        <v>17.603333333333332</v>
      </c>
      <c r="AA12" s="41">
        <f>Y12/Z12</f>
        <v>119.29558795682637</v>
      </c>
      <c r="AB12" s="48">
        <v>8.5</v>
      </c>
      <c r="AC12" s="1">
        <v>5</v>
      </c>
      <c r="AD12" s="1">
        <v>2.1</v>
      </c>
      <c r="AE12" s="1">
        <v>90</v>
      </c>
      <c r="AF12" s="1">
        <v>3</v>
      </c>
      <c r="AG12" s="1">
        <v>6</v>
      </c>
      <c r="AH12" s="3">
        <f t="shared" si="10"/>
        <v>2.6740301587301585</v>
      </c>
      <c r="AI12" s="1">
        <v>6.3</v>
      </c>
      <c r="AJ12" s="1">
        <v>8.3000000000000007</v>
      </c>
      <c r="AK12" s="159">
        <v>8</v>
      </c>
      <c r="AL12" s="150">
        <v>0.05</v>
      </c>
      <c r="AM12" s="1">
        <v>350</v>
      </c>
      <c r="AN12" s="44">
        <v>450</v>
      </c>
      <c r="AO12" s="48">
        <v>8</v>
      </c>
      <c r="AP12" s="44">
        <v>100</v>
      </c>
      <c r="AQ12" s="42">
        <v>0.7</v>
      </c>
      <c r="AR12" s="1">
        <v>20</v>
      </c>
      <c r="AS12" s="1">
        <v>2</v>
      </c>
      <c r="AT12" s="1">
        <v>1</v>
      </c>
      <c r="AU12" s="4">
        <f t="shared" si="5"/>
        <v>250</v>
      </c>
      <c r="AV12" s="3">
        <f t="shared" si="6"/>
        <v>100</v>
      </c>
      <c r="AW12" s="1">
        <v>95</v>
      </c>
      <c r="AX12" s="3">
        <f t="shared" si="7"/>
        <v>237.5</v>
      </c>
      <c r="AY12" s="1">
        <v>3</v>
      </c>
      <c r="AZ12" s="4">
        <f t="shared" si="8"/>
        <v>712.5</v>
      </c>
      <c r="BA12" s="49">
        <v>0.9</v>
      </c>
      <c r="BB12" s="4">
        <f t="shared" si="9"/>
        <v>641.25</v>
      </c>
      <c r="BC12" s="50">
        <v>8.5675393749775983E-3</v>
      </c>
      <c r="BD12" s="69">
        <f>IFERROR(
  MAX(0.05, MIN(0.5, CropNorms_Barley[[#This Row],[Leaf_Area_Per_Shoot_m2]] * CropNorms_Barley[[#This Row],[Shoot_Bearing_m2]] )),
  0.2
)</f>
        <v>0.5</v>
      </c>
      <c r="BE12" s="4">
        <f>_xlfn.XLOOKUP(CropNorms_Barley[[#This Row],[LAI_Start_BBCH]], CropPhenology_Barley[Sub_Stage], CropPhenology_Barley[Start_GDD], "Not Found")</f>
        <v>121</v>
      </c>
      <c r="BF12" s="3">
        <f>ROUND(CropNorms_Barley[[#This Row],[Shoot_Bearing_m2]]*CropNorms_Barley[[#This Row],[Leaf_Area_Per_Shoot_m2]],2)</f>
        <v>5.49</v>
      </c>
      <c r="BG12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2" s="3">
        <f>IF(CropNorms_Barley[[#This Row],[Max_LAI]]&gt;=1.2, 0.85*CropNorms_Barley[[#This Row],[Max_LAI]], 1)</f>
        <v>4.6665000000000001</v>
      </c>
      <c r="BI12" s="41">
        <f>_xlfn.XLOOKUP(CropNorms_Barley[[#This Row],[LAI_End_BBCH]], CropPhenology_Barley[Sub_Stage], CropPhenology_Barley[End_GDD], "Not Found")</f>
        <v>1780</v>
      </c>
      <c r="BJ12" s="69" cm="1">
        <f t="array" ref="BJ12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1.7602305405209266</v>
      </c>
      <c r="BK12" s="3" cm="1">
        <f t="array" ref="BK12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0.93747142962790397</v>
      </c>
      <c r="BL12" s="3" cm="1">
        <f t="array" ref="BL12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2.6718290231608335</v>
      </c>
      <c r="BM12" s="70" cm="1">
        <f t="array" ref="BM12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" s="42">
        <v>0.42</v>
      </c>
      <c r="BO12" s="43">
        <v>0</v>
      </c>
      <c r="BP12" s="42">
        <v>1.52</v>
      </c>
      <c r="BQ12" s="43" t="s">
        <v>1795</v>
      </c>
      <c r="BR12" s="69" t="str" cm="1">
        <f t="array" ref="BR12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2" s="3" t="str" cm="1">
        <f t="array" ref="BS12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2" s="3" t="str" cm="1">
        <f t="array" ref="BT12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2" s="70" t="str" cm="1">
        <f t="array" ref="BU12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2" s="48">
        <v>40</v>
      </c>
      <c r="BW12" s="1">
        <v>20</v>
      </c>
      <c r="BX12" s="44">
        <v>20</v>
      </c>
      <c r="BY12" s="52">
        <v>45931</v>
      </c>
      <c r="BZ12" s="5">
        <v>45991</v>
      </c>
      <c r="CA12" s="85">
        <v>0</v>
      </c>
      <c r="CB12" s="2">
        <v>0</v>
      </c>
      <c r="CC12" s="2">
        <v>1</v>
      </c>
      <c r="CD12" s="2">
        <v>1</v>
      </c>
      <c r="CE12" s="2">
        <v>1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O12" s="1">
        <v>4</v>
      </c>
      <c r="CP12" s="27" t="s">
        <v>1766</v>
      </c>
      <c r="CQ12" s="27" t="s">
        <v>1763</v>
      </c>
      <c r="CR12" s="27" t="s">
        <v>1741</v>
      </c>
      <c r="CT12" s="103"/>
      <c r="CU12" s="148"/>
      <c r="CV12" s="148"/>
      <c r="CW12" s="103"/>
    </row>
    <row r="13" spans="2:101" x14ac:dyDescent="0.25">
      <c r="B13" s="36" t="s">
        <v>0</v>
      </c>
      <c r="C13" s="1" t="s">
        <v>6</v>
      </c>
      <c r="D13" s="1" t="s">
        <v>1832</v>
      </c>
      <c r="E13" s="1" t="s">
        <v>1835</v>
      </c>
      <c r="F13" s="1">
        <v>100</v>
      </c>
      <c r="G13" s="1" t="s">
        <v>2329</v>
      </c>
      <c r="H13" s="1" t="s">
        <v>2332</v>
      </c>
      <c r="J13" s="1" t="s">
        <v>1156</v>
      </c>
      <c r="K13" s="1" t="s">
        <v>1748</v>
      </c>
      <c r="L13" s="1" t="s">
        <v>1750</v>
      </c>
      <c r="M13" s="1" t="s">
        <v>358</v>
      </c>
      <c r="N13" s="6">
        <v>10.5</v>
      </c>
      <c r="O13" s="1" t="s">
        <v>4</v>
      </c>
      <c r="P13" s="1">
        <v>40</v>
      </c>
      <c r="Q13" s="1">
        <v>-10</v>
      </c>
      <c r="R13" s="1">
        <v>5</v>
      </c>
      <c r="S13" s="1">
        <v>15</v>
      </c>
      <c r="T13" s="1">
        <v>32</v>
      </c>
      <c r="U13" s="253">
        <v>6</v>
      </c>
      <c r="V13" s="1">
        <v>90</v>
      </c>
      <c r="W13" s="44">
        <v>150</v>
      </c>
      <c r="X13" s="40">
        <f>_xlfn.XLOOKUP("Ripening", CropPhenology_Barley[Main_Stage], CropPhenology_Barley[Start_GDD], "Not Found")</f>
        <v>1781</v>
      </c>
      <c r="Y13" s="4" cm="1">
        <f t="array" ref="Y13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3" s="3">
        <f t="shared" si="2"/>
        <v>17.603333333333332</v>
      </c>
      <c r="AA13" s="41">
        <f>Y13/Z13</f>
        <v>119.29558795682637</v>
      </c>
      <c r="AB13" s="48">
        <v>8.5</v>
      </c>
      <c r="AC13" s="1">
        <v>5</v>
      </c>
      <c r="AD13" s="1">
        <v>2.1</v>
      </c>
      <c r="AE13" s="1">
        <v>90</v>
      </c>
      <c r="AF13" s="1">
        <v>3</v>
      </c>
      <c r="AG13" s="1">
        <v>6</v>
      </c>
      <c r="AH13" s="3">
        <f t="shared" si="10"/>
        <v>2.6740301587301585</v>
      </c>
      <c r="AI13" s="1">
        <v>6.3</v>
      </c>
      <c r="AJ13" s="1">
        <v>8.3000000000000007</v>
      </c>
      <c r="AK13" s="159">
        <v>8</v>
      </c>
      <c r="AL13" s="150">
        <v>0.05</v>
      </c>
      <c r="AM13" s="1">
        <v>350</v>
      </c>
      <c r="AN13" s="44">
        <v>450</v>
      </c>
      <c r="AO13" s="48">
        <v>8</v>
      </c>
      <c r="AP13" s="44">
        <v>100</v>
      </c>
      <c r="AQ13" s="42">
        <v>0.75</v>
      </c>
      <c r="AR13" s="1">
        <v>25</v>
      </c>
      <c r="AS13" s="1">
        <v>3</v>
      </c>
      <c r="AT13" s="1">
        <v>1</v>
      </c>
      <c r="AU13" s="4">
        <f t="shared" si="5"/>
        <v>133.33333333333334</v>
      </c>
      <c r="AV13" s="3">
        <f t="shared" si="6"/>
        <v>53.33</v>
      </c>
      <c r="AW13" s="1">
        <v>95</v>
      </c>
      <c r="AX13" s="3">
        <f t="shared" si="7"/>
        <v>126.67</v>
      </c>
      <c r="AY13" s="1">
        <v>5</v>
      </c>
      <c r="AZ13" s="4">
        <f t="shared" si="8"/>
        <v>633.35</v>
      </c>
      <c r="BA13" s="49">
        <v>0.9</v>
      </c>
      <c r="BB13" s="4">
        <f t="shared" si="9"/>
        <v>570.01499999999999</v>
      </c>
      <c r="BC13" s="50">
        <v>7.8976766954057878E-3</v>
      </c>
      <c r="BD13" s="69">
        <f>IFERROR(
  MAX(0.05, MIN(0.5, CropNorms_Barley[[#This Row],[Leaf_Area_Per_Shoot_m2]] * CropNorms_Barley[[#This Row],[Shoot_Bearing_m2]] )),
  0.2
)</f>
        <v>0.5</v>
      </c>
      <c r="BE13" s="4">
        <f>_xlfn.XLOOKUP(CropNorms_Barley[[#This Row],[LAI_Start_BBCH]], CropPhenology_Barley[Sub_Stage], CropPhenology_Barley[Start_GDD], "Not Found")</f>
        <v>121</v>
      </c>
      <c r="BF13" s="3">
        <f>ROUND(CropNorms_Barley[[#This Row],[Shoot_Bearing_m2]]*CropNorms_Barley[[#This Row],[Leaf_Area_Per_Shoot_m2]],2)</f>
        <v>4.5</v>
      </c>
      <c r="BG13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3" s="3">
        <f>IF(CropNorms_Barley[[#This Row],[Max_LAI]]&gt;=1.2, 0.85*CropNorms_Barley[[#This Row],[Max_LAI]], 1)</f>
        <v>3.8249999999999997</v>
      </c>
      <c r="BI13" s="41">
        <f>_xlfn.XLOOKUP(CropNorms_Barley[[#This Row],[LAI_End_BBCH]], CropPhenology_Barley[Sub_Stage], CropPhenology_Barley[End_GDD], "Not Found")</f>
        <v>1780</v>
      </c>
      <c r="BJ13" s="69" cm="1">
        <f t="array" ref="BJ13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1.7356786636811363</v>
      </c>
      <c r="BK13" s="3" cm="1">
        <f t="array" ref="BK13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0.93756643247840266</v>
      </c>
      <c r="BL13" s="3" cm="1">
        <f t="array" ref="BL13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2.1754283448983438</v>
      </c>
      <c r="BM13" s="70" cm="1">
        <f t="array" ref="BM13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" s="42">
        <v>0.42</v>
      </c>
      <c r="BO13" s="43">
        <v>0</v>
      </c>
      <c r="BP13" s="42">
        <v>1.79</v>
      </c>
      <c r="BQ13" s="43" t="s">
        <v>1795</v>
      </c>
      <c r="BR13" s="69" t="str" cm="1">
        <f t="array" ref="BR13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3" s="3" t="str" cm="1">
        <f t="array" ref="BS13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3" s="3" t="str" cm="1">
        <f t="array" ref="BT13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3" s="70" t="str" cm="1">
        <f t="array" ref="BU13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3" s="48">
        <v>40</v>
      </c>
      <c r="BW13" s="1">
        <v>20</v>
      </c>
      <c r="BX13" s="44">
        <v>20</v>
      </c>
      <c r="BY13" s="52">
        <v>45931</v>
      </c>
      <c r="BZ13" s="5">
        <v>45991</v>
      </c>
      <c r="CA13" s="85">
        <v>0</v>
      </c>
      <c r="CB13" s="2">
        <v>0</v>
      </c>
      <c r="CC13" s="2">
        <v>1</v>
      </c>
      <c r="CD13" s="2">
        <v>1</v>
      </c>
      <c r="CE13" s="2">
        <v>1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O13" s="1">
        <v>5</v>
      </c>
      <c r="CP13" s="27" t="s">
        <v>701</v>
      </c>
      <c r="CQ13" s="27" t="s">
        <v>1763</v>
      </c>
      <c r="CR13" s="27" t="s">
        <v>1741</v>
      </c>
      <c r="CT13" s="103"/>
      <c r="CU13" s="103"/>
      <c r="CV13" s="103"/>
      <c r="CW13" s="103"/>
    </row>
    <row r="14" spans="2:101" x14ac:dyDescent="0.25">
      <c r="B14" s="36" t="s">
        <v>0</v>
      </c>
      <c r="C14" s="1" t="s">
        <v>7</v>
      </c>
      <c r="D14" s="1" t="s">
        <v>1832</v>
      </c>
      <c r="E14" s="1" t="s">
        <v>1835</v>
      </c>
      <c r="F14" s="1">
        <v>95</v>
      </c>
      <c r="G14" s="1" t="s">
        <v>2328</v>
      </c>
      <c r="H14" s="1" t="s">
        <v>1987</v>
      </c>
      <c r="J14" s="1" t="s">
        <v>2080</v>
      </c>
      <c r="K14" s="1" t="s">
        <v>1748</v>
      </c>
      <c r="L14" s="1" t="s">
        <v>1750</v>
      </c>
      <c r="M14" s="1" t="s">
        <v>358</v>
      </c>
      <c r="N14" s="6">
        <v>10.5</v>
      </c>
      <c r="O14" s="1" t="s">
        <v>2</v>
      </c>
      <c r="P14" s="1">
        <v>40</v>
      </c>
      <c r="Q14" s="1">
        <v>5</v>
      </c>
      <c r="R14" s="1">
        <v>5</v>
      </c>
      <c r="S14" s="1">
        <v>15</v>
      </c>
      <c r="T14" s="1">
        <v>32</v>
      </c>
      <c r="U14" s="253">
        <v>6</v>
      </c>
      <c r="V14" s="1">
        <v>90</v>
      </c>
      <c r="W14" s="44">
        <v>150</v>
      </c>
      <c r="X14" s="40">
        <f>_xlfn.XLOOKUP("Ripening", CropPhenology_Barley[Main_Stage], CropPhenology_Barley[Start_GDD], "Not Found")</f>
        <v>1781</v>
      </c>
      <c r="Y14" s="4" cm="1">
        <f t="array" ref="Y14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4" s="3">
        <f t="shared" si="2"/>
        <v>17.603333333333332</v>
      </c>
      <c r="AA14" s="41">
        <f>Y14/Z14</f>
        <v>119.29558795682637</v>
      </c>
      <c r="AB14" s="48">
        <v>8.5</v>
      </c>
      <c r="AC14" s="1">
        <v>5</v>
      </c>
      <c r="AD14" s="1">
        <v>2.1</v>
      </c>
      <c r="AE14" s="1">
        <v>90</v>
      </c>
      <c r="AF14" s="1">
        <v>3</v>
      </c>
      <c r="AG14" s="1">
        <v>6</v>
      </c>
      <c r="AH14" s="3">
        <f t="shared" si="10"/>
        <v>2.6740301587301585</v>
      </c>
      <c r="AI14" s="1">
        <v>6.3</v>
      </c>
      <c r="AJ14" s="1">
        <v>8.3000000000000007</v>
      </c>
      <c r="AK14" s="159">
        <v>8</v>
      </c>
      <c r="AL14" s="150">
        <v>0.05</v>
      </c>
      <c r="AM14" s="1">
        <v>350</v>
      </c>
      <c r="AN14" s="44">
        <v>450</v>
      </c>
      <c r="AO14" s="48">
        <v>8</v>
      </c>
      <c r="AP14" s="44">
        <v>100</v>
      </c>
      <c r="AQ14" s="42">
        <v>0.65</v>
      </c>
      <c r="AR14" s="1">
        <v>20</v>
      </c>
      <c r="AS14" s="1">
        <v>2</v>
      </c>
      <c r="AT14" s="1">
        <v>1</v>
      </c>
      <c r="AU14" s="4">
        <f t="shared" si="5"/>
        <v>250</v>
      </c>
      <c r="AV14" s="3">
        <f t="shared" si="6"/>
        <v>100</v>
      </c>
      <c r="AW14" s="1">
        <v>95</v>
      </c>
      <c r="AX14" s="3">
        <f t="shared" si="7"/>
        <v>237.5</v>
      </c>
      <c r="AY14" s="1">
        <v>3</v>
      </c>
      <c r="AZ14" s="4">
        <f t="shared" si="8"/>
        <v>712.5</v>
      </c>
      <c r="BA14" s="49">
        <v>0.9</v>
      </c>
      <c r="BB14" s="4">
        <f t="shared" si="9"/>
        <v>641.25</v>
      </c>
      <c r="BC14" s="50">
        <v>7.8976766954057878E-3</v>
      </c>
      <c r="BD14" s="69">
        <f>IFERROR(
  MAX(0.05, MIN(0.5, CropNorms_Barley[[#This Row],[Leaf_Area_Per_Shoot_m2]] * CropNorms_Barley[[#This Row],[Shoot_Bearing_m2]] )),
  0.2
)</f>
        <v>0.5</v>
      </c>
      <c r="BE14" s="4">
        <f>_xlfn.XLOOKUP(CropNorms_Barley[[#This Row],[LAI_Start_BBCH]], CropPhenology_Barley[Sub_Stage], CropPhenology_Barley[Start_GDD], "Not Found")</f>
        <v>121</v>
      </c>
      <c r="BF14" s="3">
        <f>ROUND(CropNorms_Barley[[#This Row],[Shoot_Bearing_m2]]*CropNorms_Barley[[#This Row],[Leaf_Area_Per_Shoot_m2]],2)</f>
        <v>5.0599999999999996</v>
      </c>
      <c r="BG14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4" s="3">
        <f>IF(CropNorms_Barley[[#This Row],[Max_LAI]]&gt;=1.2, 0.85*CropNorms_Barley[[#This Row],[Max_LAI]], 1)</f>
        <v>4.3009999999999993</v>
      </c>
      <c r="BI14" s="41">
        <f>_xlfn.XLOOKUP(CropNorms_Barley[[#This Row],[LAI_End_BBCH]], CropPhenology_Barley[Sub_Stage], CropPhenology_Barley[End_GDD], "Not Found")</f>
        <v>1780</v>
      </c>
      <c r="BJ14" s="69" cm="1">
        <f t="array" ref="BJ14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1.7510150013646804</v>
      </c>
      <c r="BK14" s="3" cm="1">
        <f t="array" ref="BK14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0.93751228940306508</v>
      </c>
      <c r="BL14" s="3" cm="1">
        <f t="array" ref="BL14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2.4562280898167455</v>
      </c>
      <c r="BM14" s="70" cm="1">
        <f t="array" ref="BM14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" s="42">
        <v>0.43</v>
      </c>
      <c r="BO14" s="43">
        <v>0</v>
      </c>
      <c r="BP14" s="42">
        <v>1.63</v>
      </c>
      <c r="BQ14" s="43" t="s">
        <v>1795</v>
      </c>
      <c r="BR14" s="69" t="str" cm="1">
        <f t="array" ref="BR14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4" s="3" t="str" cm="1">
        <f t="array" ref="BS14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4" s="3" t="str" cm="1">
        <f t="array" ref="BT14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4" s="70" t="str" cm="1">
        <f t="array" ref="BU14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4" s="48">
        <v>40</v>
      </c>
      <c r="BW14" s="1">
        <v>20</v>
      </c>
      <c r="BX14" s="44">
        <v>20</v>
      </c>
      <c r="BY14" s="52">
        <v>45931</v>
      </c>
      <c r="BZ14" s="5">
        <v>45991</v>
      </c>
      <c r="CA14" s="85">
        <v>0</v>
      </c>
      <c r="CB14" s="2">
        <v>0</v>
      </c>
      <c r="CC14" s="2">
        <v>1</v>
      </c>
      <c r="CD14" s="2">
        <v>1</v>
      </c>
      <c r="CE14" s="2">
        <v>1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O14" s="1">
        <v>6</v>
      </c>
      <c r="CP14" s="27" t="s">
        <v>703</v>
      </c>
      <c r="CQ14" s="27" t="s">
        <v>1767</v>
      </c>
      <c r="CR14" s="27" t="s">
        <v>1796</v>
      </c>
      <c r="CT14" s="103"/>
      <c r="CU14" s="103"/>
      <c r="CV14" s="103"/>
      <c r="CW14" s="103"/>
    </row>
    <row r="15" spans="2:101" x14ac:dyDescent="0.25">
      <c r="B15" s="36" t="s">
        <v>0</v>
      </c>
      <c r="C15" s="1" t="s">
        <v>2081</v>
      </c>
      <c r="D15" s="1" t="s">
        <v>1832</v>
      </c>
      <c r="E15" s="1" t="s">
        <v>2082</v>
      </c>
      <c r="F15" s="1">
        <v>105</v>
      </c>
      <c r="G15" s="1" t="s">
        <v>2326</v>
      </c>
      <c r="H15" s="1" t="s">
        <v>2083</v>
      </c>
      <c r="J15" s="1" t="s">
        <v>2084</v>
      </c>
      <c r="K15" s="1" t="s">
        <v>1748</v>
      </c>
      <c r="L15" s="1" t="s">
        <v>1750</v>
      </c>
      <c r="M15" s="1" t="s">
        <v>358</v>
      </c>
      <c r="N15" s="6">
        <v>10.5</v>
      </c>
      <c r="O15" s="1" t="s">
        <v>4</v>
      </c>
      <c r="P15" s="1">
        <v>40</v>
      </c>
      <c r="Q15" s="1">
        <v>5</v>
      </c>
      <c r="R15" s="1">
        <v>5</v>
      </c>
      <c r="S15" s="1">
        <v>15</v>
      </c>
      <c r="T15" s="1">
        <v>32</v>
      </c>
      <c r="U15" s="253">
        <v>6</v>
      </c>
      <c r="V15" s="1">
        <v>140</v>
      </c>
      <c r="W15" s="44">
        <v>144</v>
      </c>
      <c r="X15" s="40">
        <f>_xlfn.XLOOKUP("Ripening", CropPhenology_Barley[Main_Stage], CropPhenology_Barley[Start_GDD], "Not Found")</f>
        <v>1781</v>
      </c>
      <c r="Y15" s="4" cm="1">
        <f t="array" ref="Y15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5" s="3">
        <f t="shared" si="2"/>
        <v>13.684027777777779</v>
      </c>
      <c r="AA15" s="41">
        <f>Y15/Z15</f>
        <v>153.46358792184725</v>
      </c>
      <c r="AB15" s="48">
        <v>8.5</v>
      </c>
      <c r="AC15" s="1">
        <v>5</v>
      </c>
      <c r="AD15" s="1">
        <v>2.1</v>
      </c>
      <c r="AE15" s="1">
        <v>90</v>
      </c>
      <c r="AF15" s="1">
        <v>3</v>
      </c>
      <c r="AG15" s="1">
        <v>6</v>
      </c>
      <c r="AH15" s="3">
        <f t="shared" si="10"/>
        <v>2.0786689814814814</v>
      </c>
      <c r="AI15" s="1">
        <v>6.3</v>
      </c>
      <c r="AJ15" s="1">
        <v>8.3000000000000007</v>
      </c>
      <c r="AK15" s="159">
        <v>8</v>
      </c>
      <c r="AL15" s="150">
        <v>0.05</v>
      </c>
      <c r="AM15" s="1">
        <v>350</v>
      </c>
      <c r="AN15" s="44">
        <v>450</v>
      </c>
      <c r="AO15" s="48">
        <v>8</v>
      </c>
      <c r="AP15" s="44">
        <v>100</v>
      </c>
      <c r="AQ15" s="42">
        <v>0.65</v>
      </c>
      <c r="AR15" s="1">
        <v>30</v>
      </c>
      <c r="AS15" s="1">
        <v>4</v>
      </c>
      <c r="AT15" s="1">
        <v>1</v>
      </c>
      <c r="AU15" s="4">
        <f t="shared" si="5"/>
        <v>83.333333333333329</v>
      </c>
      <c r="AV15" s="3">
        <f t="shared" si="6"/>
        <v>33.33</v>
      </c>
      <c r="AW15" s="1">
        <v>95</v>
      </c>
      <c r="AX15" s="3">
        <f t="shared" si="7"/>
        <v>79.17</v>
      </c>
      <c r="AY15" s="1">
        <v>2</v>
      </c>
      <c r="AZ15" s="4">
        <f t="shared" si="8"/>
        <v>158.34</v>
      </c>
      <c r="BA15" s="49">
        <v>0.9</v>
      </c>
      <c r="BB15" s="4">
        <f t="shared" si="9"/>
        <v>142.506</v>
      </c>
      <c r="BC15" s="50">
        <v>7.8976766954057878E-3</v>
      </c>
      <c r="BD15" s="69">
        <f>IFERROR(
  MAX(0.05, MIN(0.5, CropNorms_Barley[[#This Row],[Leaf_Area_Per_Shoot_m2]] * CropNorms_Barley[[#This Row],[Shoot_Bearing_m2]] )),
  0.2
)</f>
        <v>0.5</v>
      </c>
      <c r="BE15" s="4">
        <f>_xlfn.XLOOKUP(CropNorms_Barley[[#This Row],[LAI_Start_BBCH]], CropPhenology_Barley[Sub_Stage], CropPhenology_Barley[Start_GDD], "Not Found")</f>
        <v>121</v>
      </c>
      <c r="BF15" s="3">
        <f>ROUND(CropNorms_Barley[[#This Row],[Shoot_Bearing_m2]]*CropNorms_Barley[[#This Row],[Leaf_Area_Per_Shoot_m2]],2)</f>
        <v>1.1299999999999999</v>
      </c>
      <c r="BG15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5" s="3">
        <f>IF(CropNorms_Barley[[#This Row],[Max_LAI]]&gt;=1.2, 0.85*CropNorms_Barley[[#This Row],[Max_LAI]], 1)</f>
        <v>1</v>
      </c>
      <c r="BI15" s="41">
        <f>_xlfn.XLOOKUP(CropNorms_Barley[[#This Row],[LAI_End_BBCH]], CropPhenology_Barley[Sub_Stage], CropPhenology_Barley[End_GDD], "Not Found")</f>
        <v>1780</v>
      </c>
      <c r="BJ15" s="69" cm="1">
        <f t="array" ref="BJ15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1.4709236598860538</v>
      </c>
      <c r="BK15" s="3" cm="1">
        <f t="array" ref="BK15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0.93919989205993137</v>
      </c>
      <c r="BL15" s="3" cm="1">
        <f t="array" ref="BL15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5" s="70" cm="1">
        <f t="array" ref="BM15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" s="42">
        <v>0.43</v>
      </c>
      <c r="BO15" s="43">
        <v>0</v>
      </c>
      <c r="BP15" s="42">
        <v>2.59</v>
      </c>
      <c r="BQ15" s="43" t="s">
        <v>1795</v>
      </c>
      <c r="BR15" s="69" t="str" cm="1">
        <f t="array" ref="BR15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5" s="3" t="str" cm="1">
        <f t="array" ref="BS15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5" s="3" t="str" cm="1">
        <f t="array" ref="BT15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5" s="70" t="str" cm="1">
        <f t="array" ref="BU15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5" s="48">
        <v>40</v>
      </c>
      <c r="BW15" s="1">
        <v>20</v>
      </c>
      <c r="BX15" s="44">
        <v>20</v>
      </c>
      <c r="BY15" s="52">
        <v>45931</v>
      </c>
      <c r="BZ15" s="5">
        <v>45991</v>
      </c>
      <c r="CA15" s="85">
        <v>0</v>
      </c>
      <c r="CB15" s="2">
        <v>0</v>
      </c>
      <c r="CC15" s="2">
        <v>1</v>
      </c>
      <c r="CD15" s="2">
        <v>1</v>
      </c>
      <c r="CE15" s="2">
        <v>1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O15" s="1">
        <v>7</v>
      </c>
      <c r="CP15" s="27" t="s">
        <v>1315</v>
      </c>
      <c r="CQ15" s="27" t="s">
        <v>1748</v>
      </c>
      <c r="CR15" s="27" t="s">
        <v>1795</v>
      </c>
      <c r="CT15" s="103"/>
      <c r="CU15" s="103"/>
      <c r="CV15" s="103"/>
      <c r="CW15" s="103"/>
    </row>
    <row r="16" spans="2:101" x14ac:dyDescent="0.25">
      <c r="B16" s="36" t="s">
        <v>0</v>
      </c>
      <c r="C16" s="1" t="s">
        <v>2085</v>
      </c>
      <c r="D16" s="1" t="s">
        <v>1832</v>
      </c>
      <c r="E16" s="1" t="s">
        <v>1835</v>
      </c>
      <c r="F16" s="1">
        <v>99</v>
      </c>
      <c r="G16" s="1" t="s">
        <v>2330</v>
      </c>
      <c r="H16" s="1" t="s">
        <v>2333</v>
      </c>
      <c r="J16" s="1" t="s">
        <v>2336</v>
      </c>
      <c r="K16" s="1" t="s">
        <v>1748</v>
      </c>
      <c r="L16" s="1" t="s">
        <v>1750</v>
      </c>
      <c r="M16" s="1" t="s">
        <v>358</v>
      </c>
      <c r="N16" s="6">
        <v>10.5</v>
      </c>
      <c r="O16" s="1" t="s">
        <v>4</v>
      </c>
      <c r="P16" s="1">
        <v>38</v>
      </c>
      <c r="Q16" s="1">
        <v>5</v>
      </c>
      <c r="R16" s="1">
        <v>3</v>
      </c>
      <c r="S16" s="1">
        <v>15</v>
      </c>
      <c r="T16" s="1">
        <v>32</v>
      </c>
      <c r="U16" s="253">
        <v>6</v>
      </c>
      <c r="V16" s="1">
        <v>123</v>
      </c>
      <c r="W16" s="44">
        <v>130</v>
      </c>
      <c r="X16" s="40">
        <f>_xlfn.XLOOKUP("Ripening", CropPhenology_Barley[Main_Stage], CropPhenology_Barley[Start_GDD], "Not Found")</f>
        <v>1781</v>
      </c>
      <c r="Y16" s="4" cm="1">
        <f t="array" ref="Y16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6" s="3">
        <f t="shared" si="2"/>
        <v>15.386585365853659</v>
      </c>
      <c r="AA16" s="41">
        <f t="shared" si="3"/>
        <v>136.48252357929778</v>
      </c>
      <c r="AB16" s="48">
        <v>8.5</v>
      </c>
      <c r="AC16" s="1">
        <v>5</v>
      </c>
      <c r="AD16" s="1">
        <v>2.1</v>
      </c>
      <c r="AE16" s="1">
        <v>90</v>
      </c>
      <c r="AF16" s="1">
        <v>3</v>
      </c>
      <c r="AG16" s="1">
        <v>6</v>
      </c>
      <c r="AH16" s="3">
        <f t="shared" si="10"/>
        <v>2.337295586527294</v>
      </c>
      <c r="AI16" s="1">
        <v>6.3</v>
      </c>
      <c r="AJ16" s="1">
        <v>8.3000000000000007</v>
      </c>
      <c r="AK16" s="159">
        <v>8</v>
      </c>
      <c r="AL16" s="150">
        <v>0.05</v>
      </c>
      <c r="AM16" s="1">
        <v>350</v>
      </c>
      <c r="AN16" s="44">
        <v>450</v>
      </c>
      <c r="AO16" s="48">
        <v>8</v>
      </c>
      <c r="AP16" s="44">
        <v>100</v>
      </c>
      <c r="AQ16" s="42">
        <v>0.84</v>
      </c>
      <c r="AR16" s="1">
        <v>30</v>
      </c>
      <c r="AS16" s="1">
        <v>4</v>
      </c>
      <c r="AT16" s="1">
        <v>1</v>
      </c>
      <c r="AU16" s="4">
        <f t="shared" si="5"/>
        <v>83.333333333333329</v>
      </c>
      <c r="AV16" s="3">
        <f t="shared" si="6"/>
        <v>31.67</v>
      </c>
      <c r="AW16" s="1">
        <v>95</v>
      </c>
      <c r="AX16" s="3">
        <f t="shared" si="7"/>
        <v>79.17</v>
      </c>
      <c r="AY16" s="1">
        <v>3</v>
      </c>
      <c r="AZ16" s="4">
        <f t="shared" si="8"/>
        <v>237.51</v>
      </c>
      <c r="BA16" s="49">
        <v>0.9</v>
      </c>
      <c r="BB16" s="4">
        <f t="shared" si="9"/>
        <v>213.75899999999999</v>
      </c>
      <c r="BC16" s="50">
        <v>7.8976766954057878E-3</v>
      </c>
      <c r="BD16" s="69">
        <f>IFERROR(
  MAX(0.05, MIN(0.5, CropNorms_Barley[[#This Row],[Leaf_Area_Per_Shoot_m2]] * CropNorms_Barley[[#This Row],[Shoot_Bearing_m2]] )),
  0.2
)</f>
        <v>0.5</v>
      </c>
      <c r="BE16" s="4">
        <f>_xlfn.XLOOKUP(CropNorms_Barley[[#This Row],[LAI_Start_BBCH]], CropPhenology_Barley[Sub_Stage], CropPhenology_Barley[Start_GDD], "Not Found")</f>
        <v>121</v>
      </c>
      <c r="BF16" s="3">
        <f>ROUND(CropNorms_Barley[[#This Row],[Shoot_Bearing_m2]]*CropNorms_Barley[[#This Row],[Leaf_Area_Per_Shoot_m2]],2)</f>
        <v>1.69</v>
      </c>
      <c r="BG16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6" s="3">
        <f>IF(CropNorms_Barley[[#This Row],[Max_LAI]]&gt;=1.2, 0.85*CropNorms_Barley[[#This Row],[Max_LAI]], 1)</f>
        <v>1.4364999999999999</v>
      </c>
      <c r="BI16" s="41">
        <f>_xlfn.XLOOKUP(CropNorms_Barley[[#This Row],[LAI_End_BBCH]], CropPhenology_Barley[Sub_Stage], CropPhenology_Barley[End_GDD], "Not Found")</f>
        <v>1780</v>
      </c>
      <c r="BJ16" s="69" cm="1">
        <f t="array" ref="BJ16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1.5484052109418531</v>
      </c>
      <c r="BK16" s="3" cm="1">
        <f t="array" ref="BK16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0.93842950382712609</v>
      </c>
      <c r="BL16" s="3" cm="1">
        <f t="array" ref="BL16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6" s="70" cm="1">
        <f t="array" ref="BM16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" s="42">
        <v>0.42</v>
      </c>
      <c r="BO16" s="43">
        <v>0</v>
      </c>
      <c r="BP16" s="42">
        <v>3.73</v>
      </c>
      <c r="BQ16" s="43" t="s">
        <v>1795</v>
      </c>
      <c r="BR16" s="69" t="str" cm="1">
        <f t="array" ref="BR16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6" s="3" t="str" cm="1">
        <f t="array" ref="BS16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6" s="3" t="str" cm="1">
        <f t="array" ref="BT16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6" s="70" t="str" cm="1">
        <f t="array" ref="BU16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6" s="48">
        <v>40</v>
      </c>
      <c r="BW16" s="1">
        <v>20</v>
      </c>
      <c r="BX16" s="44">
        <v>20</v>
      </c>
      <c r="BY16" s="52">
        <v>45931</v>
      </c>
      <c r="BZ16" s="5">
        <v>45991</v>
      </c>
      <c r="CA16" s="85">
        <v>0</v>
      </c>
      <c r="CB16" s="2">
        <v>0</v>
      </c>
      <c r="CC16" s="2">
        <v>1</v>
      </c>
      <c r="CD16" s="2">
        <v>1</v>
      </c>
      <c r="CE16" s="2">
        <v>1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O16" s="1">
        <v>8</v>
      </c>
      <c r="CP16" s="27" t="s">
        <v>704</v>
      </c>
      <c r="CQ16" s="27" t="s">
        <v>1767</v>
      </c>
      <c r="CR16" s="27" t="s">
        <v>1799</v>
      </c>
      <c r="CT16" s="103"/>
      <c r="CU16" s="103"/>
      <c r="CV16" s="103"/>
      <c r="CW16" s="103"/>
    </row>
    <row r="17" spans="2:101" x14ac:dyDescent="0.25">
      <c r="B17" s="36" t="s">
        <v>0</v>
      </c>
      <c r="C17" s="1" t="s">
        <v>2085</v>
      </c>
      <c r="D17" s="1" t="s">
        <v>1832</v>
      </c>
      <c r="E17" s="1" t="s">
        <v>1835</v>
      </c>
      <c r="F17" s="1">
        <v>100</v>
      </c>
      <c r="G17" s="1" t="s">
        <v>2330</v>
      </c>
      <c r="H17" s="1" t="s">
        <v>2333</v>
      </c>
      <c r="J17" s="1" t="s">
        <v>2337</v>
      </c>
      <c r="K17" s="1" t="s">
        <v>1748</v>
      </c>
      <c r="L17" s="1" t="s">
        <v>1750</v>
      </c>
      <c r="M17" s="1" t="s">
        <v>358</v>
      </c>
      <c r="N17" s="6">
        <v>10.5</v>
      </c>
      <c r="O17" s="1" t="s">
        <v>2</v>
      </c>
      <c r="P17" s="1">
        <v>38</v>
      </c>
      <c r="Q17" s="1">
        <v>5</v>
      </c>
      <c r="R17" s="1">
        <v>3</v>
      </c>
      <c r="S17" s="1">
        <v>15</v>
      </c>
      <c r="T17" s="1">
        <v>32</v>
      </c>
      <c r="U17" s="253">
        <v>6</v>
      </c>
      <c r="V17" s="1">
        <v>123</v>
      </c>
      <c r="W17" s="44">
        <v>130</v>
      </c>
      <c r="X17" s="40">
        <f>_xlfn.XLOOKUP("Ripening", CropPhenology_Barley[Main_Stage], CropPhenology_Barley[Start_GDD], "Not Found")</f>
        <v>1781</v>
      </c>
      <c r="Y17" s="4" cm="1">
        <f t="array" ref="Y17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7" s="3">
        <f t="shared" si="2"/>
        <v>15.386585365853659</v>
      </c>
      <c r="AA17" s="41">
        <f t="shared" si="3"/>
        <v>136.48252357929778</v>
      </c>
      <c r="AB17" s="48">
        <v>8.5</v>
      </c>
      <c r="AC17" s="1">
        <v>5</v>
      </c>
      <c r="AD17" s="1">
        <v>2.1</v>
      </c>
      <c r="AE17" s="1">
        <v>90</v>
      </c>
      <c r="AF17" s="1">
        <v>3</v>
      </c>
      <c r="AG17" s="1">
        <v>6</v>
      </c>
      <c r="AH17" s="3">
        <f t="shared" si="10"/>
        <v>2.337295586527294</v>
      </c>
      <c r="AI17" s="1">
        <v>6.3</v>
      </c>
      <c r="AJ17" s="1">
        <v>8.3000000000000007</v>
      </c>
      <c r="AK17" s="159">
        <v>8</v>
      </c>
      <c r="AL17" s="150">
        <v>0.05</v>
      </c>
      <c r="AM17" s="1">
        <v>350</v>
      </c>
      <c r="AN17" s="44">
        <v>450</v>
      </c>
      <c r="AO17" s="48">
        <v>8</v>
      </c>
      <c r="AP17" s="44">
        <v>100</v>
      </c>
      <c r="AQ17" s="42">
        <v>0.84</v>
      </c>
      <c r="AR17" s="1">
        <v>30</v>
      </c>
      <c r="AS17" s="1">
        <v>4</v>
      </c>
      <c r="AT17" s="1">
        <v>1</v>
      </c>
      <c r="AU17" s="4">
        <f t="shared" si="5"/>
        <v>83.333333333333329</v>
      </c>
      <c r="AV17" s="3">
        <f t="shared" si="6"/>
        <v>31.67</v>
      </c>
      <c r="AW17" s="1">
        <v>95</v>
      </c>
      <c r="AX17" s="3">
        <f t="shared" si="7"/>
        <v>79.17</v>
      </c>
      <c r="AY17" s="1">
        <v>3</v>
      </c>
      <c r="AZ17" s="4">
        <f t="shared" si="8"/>
        <v>237.51</v>
      </c>
      <c r="BA17" s="49">
        <v>0.9</v>
      </c>
      <c r="BB17" s="4">
        <f t="shared" si="9"/>
        <v>213.75899999999999</v>
      </c>
      <c r="BC17" s="50">
        <v>7.8976766954057878E-3</v>
      </c>
      <c r="BD17" s="69">
        <f>IFERROR(
  MAX(0.05, MIN(0.5, CropNorms_Barley[[#This Row],[Leaf_Area_Per_Shoot_m2]] * CropNorms_Barley[[#This Row],[Shoot_Bearing_m2]] )),
  0.2
)</f>
        <v>0.5</v>
      </c>
      <c r="BE17" s="4">
        <f>_xlfn.XLOOKUP(CropNorms_Barley[[#This Row],[LAI_Start_BBCH]], CropPhenology_Barley[Sub_Stage], CropPhenology_Barley[Start_GDD], "Not Found")</f>
        <v>121</v>
      </c>
      <c r="BF17" s="3">
        <f>ROUND(CropNorms_Barley[[#This Row],[Shoot_Bearing_m2]]*CropNorms_Barley[[#This Row],[Leaf_Area_Per_Shoot_m2]],2)</f>
        <v>1.69</v>
      </c>
      <c r="BG17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7" s="3">
        <f>IF(CropNorms_Barley[[#This Row],[Max_LAI]]&gt;=1.2, 0.85*CropNorms_Barley[[#This Row],[Max_LAI]], 1)</f>
        <v>1.4364999999999999</v>
      </c>
      <c r="BI17" s="41">
        <f>_xlfn.XLOOKUP(CropNorms_Barley[[#This Row],[LAI_End_BBCH]], CropPhenology_Barley[Sub_Stage], CropPhenology_Barley[End_GDD], "Not Found")</f>
        <v>1780</v>
      </c>
      <c r="BJ17" s="69" cm="1">
        <f t="array" ref="BJ17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1.5484052109418531</v>
      </c>
      <c r="BK17" s="3" cm="1">
        <f t="array" ref="BK17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0.93842950382712609</v>
      </c>
      <c r="BL17" s="3" cm="1">
        <f t="array" ref="BL17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7" s="70" cm="1">
        <f t="array" ref="BM17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" s="42">
        <v>0.43</v>
      </c>
      <c r="BO17" s="43">
        <v>0</v>
      </c>
      <c r="BP17" s="42">
        <v>2.62</v>
      </c>
      <c r="BQ17" s="43" t="s">
        <v>1795</v>
      </c>
      <c r="BR17" s="69" t="str" cm="1">
        <f t="array" ref="BR17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7" s="3" t="str" cm="1">
        <f t="array" ref="BS17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7" s="3" t="str" cm="1">
        <f t="array" ref="BT17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7" s="70" t="str" cm="1">
        <f t="array" ref="BU17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7" s="48">
        <v>40</v>
      </c>
      <c r="BW17" s="1">
        <v>20</v>
      </c>
      <c r="BX17" s="44">
        <v>20</v>
      </c>
      <c r="BY17" s="52">
        <v>45931</v>
      </c>
      <c r="BZ17" s="5">
        <v>45991</v>
      </c>
      <c r="CA17" s="85">
        <v>0</v>
      </c>
      <c r="CB17" s="2">
        <v>0</v>
      </c>
      <c r="CC17" s="2">
        <v>1</v>
      </c>
      <c r="CD17" s="2">
        <v>1</v>
      </c>
      <c r="CE17" s="2">
        <v>1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O17" s="1">
        <v>9</v>
      </c>
      <c r="CP17" s="27" t="s">
        <v>1768</v>
      </c>
      <c r="CQ17" s="27" t="s">
        <v>1748</v>
      </c>
      <c r="CR17" s="27" t="s">
        <v>1795</v>
      </c>
      <c r="CT17" s="103"/>
      <c r="CU17" s="103"/>
      <c r="CV17" s="103"/>
      <c r="CW17" s="103"/>
    </row>
    <row r="18" spans="2:101" x14ac:dyDescent="0.25">
      <c r="B18" s="36" t="s">
        <v>0</v>
      </c>
      <c r="C18" s="1" t="s">
        <v>2086</v>
      </c>
      <c r="D18" s="1" t="s">
        <v>1832</v>
      </c>
      <c r="E18" s="1" t="s">
        <v>1835</v>
      </c>
      <c r="F18" s="1">
        <v>99</v>
      </c>
      <c r="G18" s="1" t="s">
        <v>2331</v>
      </c>
      <c r="H18" s="1" t="s">
        <v>1988</v>
      </c>
      <c r="I18" s="1" t="s">
        <v>2087</v>
      </c>
      <c r="J18" s="1" t="s">
        <v>1156</v>
      </c>
      <c r="K18" s="1" t="s">
        <v>1748</v>
      </c>
      <c r="L18" s="1" t="s">
        <v>1750</v>
      </c>
      <c r="M18" s="1" t="s">
        <v>358</v>
      </c>
      <c r="N18" s="6">
        <v>10.5</v>
      </c>
      <c r="O18" s="1" t="s">
        <v>2</v>
      </c>
      <c r="P18" s="1">
        <v>36</v>
      </c>
      <c r="Q18" s="1">
        <v>5</v>
      </c>
      <c r="R18" s="1">
        <v>3</v>
      </c>
      <c r="S18" s="1">
        <v>15</v>
      </c>
      <c r="T18" s="1">
        <v>32</v>
      </c>
      <c r="U18" s="253">
        <v>6</v>
      </c>
      <c r="V18" s="1">
        <v>140</v>
      </c>
      <c r="W18" s="44">
        <v>145</v>
      </c>
      <c r="X18" s="40">
        <f>_xlfn.XLOOKUP("Ripening", CropPhenology_Barley[Main_Stage], CropPhenology_Barley[Start_GDD], "Not Found")</f>
        <v>1781</v>
      </c>
      <c r="Y18" s="4" cm="1">
        <f t="array" ref="Y18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8" s="3">
        <f t="shared" si="2"/>
        <v>13.641379310344828</v>
      </c>
      <c r="AA18" s="41">
        <f t="shared" si="3"/>
        <v>153.94337714863499</v>
      </c>
      <c r="AB18" s="48">
        <v>8.5</v>
      </c>
      <c r="AC18" s="1">
        <v>5</v>
      </c>
      <c r="AD18" s="1">
        <v>2.1</v>
      </c>
      <c r="AE18" s="1">
        <v>90</v>
      </c>
      <c r="AF18" s="1">
        <v>3</v>
      </c>
      <c r="AG18" s="1">
        <v>6</v>
      </c>
      <c r="AH18" s="3">
        <f t="shared" si="10"/>
        <v>2.0721904761904759</v>
      </c>
      <c r="AI18" s="1">
        <v>6.3</v>
      </c>
      <c r="AJ18" s="1">
        <v>8.3000000000000007</v>
      </c>
      <c r="AK18" s="159">
        <v>8</v>
      </c>
      <c r="AL18" s="150">
        <v>0.05</v>
      </c>
      <c r="AM18" s="1">
        <v>350</v>
      </c>
      <c r="AN18" s="44">
        <v>450</v>
      </c>
      <c r="AO18" s="48">
        <v>8</v>
      </c>
      <c r="AP18" s="44">
        <v>100</v>
      </c>
      <c r="AQ18" s="42">
        <v>0.84</v>
      </c>
      <c r="AR18" s="1">
        <v>30</v>
      </c>
      <c r="AS18" s="1">
        <v>4</v>
      </c>
      <c r="AT18" s="1">
        <v>1</v>
      </c>
      <c r="AU18" s="4">
        <f t="shared" si="5"/>
        <v>83.333333333333329</v>
      </c>
      <c r="AV18" s="3">
        <f t="shared" si="6"/>
        <v>30</v>
      </c>
      <c r="AW18" s="1">
        <v>95</v>
      </c>
      <c r="AX18" s="3">
        <f t="shared" si="7"/>
        <v>79.17</v>
      </c>
      <c r="AY18" s="1">
        <v>3</v>
      </c>
      <c r="AZ18" s="4">
        <f t="shared" si="8"/>
        <v>237.51</v>
      </c>
      <c r="BA18" s="49">
        <v>0.9</v>
      </c>
      <c r="BB18" s="4">
        <f t="shared" si="9"/>
        <v>213.75899999999999</v>
      </c>
      <c r="BC18" s="50">
        <v>7.8976766954057878E-3</v>
      </c>
      <c r="BD18" s="69">
        <f>IFERROR(
  MAX(0.05, MIN(0.5, CropNorms_Barley[[#This Row],[Leaf_Area_Per_Shoot_m2]] * CropNorms_Barley[[#This Row],[Shoot_Bearing_m2]] )),
  0.2
)</f>
        <v>0.5</v>
      </c>
      <c r="BE18" s="4">
        <f>_xlfn.XLOOKUP(CropNorms_Barley[[#This Row],[LAI_Start_BBCH]], CropPhenology_Barley[Sub_Stage], CropPhenology_Barley[Start_GDD], "Not Found")</f>
        <v>121</v>
      </c>
      <c r="BF18" s="3">
        <f>ROUND(CropNorms_Barley[[#This Row],[Shoot_Bearing_m2]]*CropNorms_Barley[[#This Row],[Leaf_Area_Per_Shoot_m2]],2)</f>
        <v>1.69</v>
      </c>
      <c r="BG18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8" s="3">
        <f>IF(CropNorms_Barley[[#This Row],[Max_LAI]]&gt;=1.2, 0.85*CropNorms_Barley[[#This Row],[Max_LAI]], 1)</f>
        <v>1.4364999999999999</v>
      </c>
      <c r="BI18" s="41">
        <f>_xlfn.XLOOKUP(CropNorms_Barley[[#This Row],[LAI_End_BBCH]], CropPhenology_Barley[Sub_Stage], CropPhenology_Barley[End_GDD], "Not Found")</f>
        <v>1780</v>
      </c>
      <c r="BJ18" s="69" cm="1">
        <f t="array" ref="BJ18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1.5484052109418531</v>
      </c>
      <c r="BK18" s="3" cm="1">
        <f t="array" ref="BK18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0.93842950382712609</v>
      </c>
      <c r="BL18" s="3" cm="1">
        <f t="array" ref="BL18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8" s="70" cm="1">
        <f t="array" ref="BM18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" s="42">
        <v>0.43</v>
      </c>
      <c r="BO18" s="43">
        <v>0</v>
      </c>
      <c r="BP18" s="42">
        <v>1.42</v>
      </c>
      <c r="BQ18" s="43" t="s">
        <v>1795</v>
      </c>
      <c r="BR18" s="69" t="str" cm="1">
        <f t="array" ref="BR18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8" s="3" t="str" cm="1">
        <f t="array" ref="BS18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8" s="3" t="str" cm="1">
        <f t="array" ref="BT18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8" s="70" t="str" cm="1">
        <f t="array" ref="BU18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8" s="48">
        <v>40</v>
      </c>
      <c r="BW18" s="1">
        <v>20</v>
      </c>
      <c r="BX18" s="44">
        <v>20</v>
      </c>
      <c r="BY18" s="52">
        <v>45931</v>
      </c>
      <c r="BZ18" s="5">
        <v>45991</v>
      </c>
      <c r="CA18" s="85">
        <v>0</v>
      </c>
      <c r="CB18" s="2">
        <v>0</v>
      </c>
      <c r="CC18" s="2">
        <v>1</v>
      </c>
      <c r="CD18" s="2">
        <v>1</v>
      </c>
      <c r="CE18" s="2">
        <v>1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O18" s="1">
        <v>10</v>
      </c>
      <c r="CP18" s="27" t="s">
        <v>728</v>
      </c>
      <c r="CQ18" s="27" t="s">
        <v>1769</v>
      </c>
      <c r="CR18" s="27" t="s">
        <v>1745</v>
      </c>
      <c r="CT18" s="103"/>
      <c r="CU18" s="103"/>
      <c r="CV18" s="103"/>
      <c r="CW18" s="103"/>
    </row>
    <row r="19" spans="2:101" ht="11.25" thickBot="1" x14ac:dyDescent="0.3">
      <c r="B19" s="36" t="s">
        <v>0</v>
      </c>
      <c r="C19" s="1" t="s">
        <v>8</v>
      </c>
      <c r="D19" s="1" t="s">
        <v>1832</v>
      </c>
      <c r="E19" s="1" t="s">
        <v>1835</v>
      </c>
      <c r="F19" s="1">
        <v>95</v>
      </c>
      <c r="G19" s="1" t="s">
        <v>2328</v>
      </c>
      <c r="H19" s="1" t="s">
        <v>1987</v>
      </c>
      <c r="K19" s="1" t="s">
        <v>1748</v>
      </c>
      <c r="L19" s="1" t="s">
        <v>1750</v>
      </c>
      <c r="M19" s="1" t="s">
        <v>358</v>
      </c>
      <c r="N19" s="6">
        <v>10.5</v>
      </c>
      <c r="O19" s="1" t="s">
        <v>2</v>
      </c>
      <c r="P19" s="1">
        <v>32</v>
      </c>
      <c r="Q19" s="1">
        <v>5</v>
      </c>
      <c r="R19" s="1">
        <v>5</v>
      </c>
      <c r="S19" s="1">
        <v>15</v>
      </c>
      <c r="T19" s="1">
        <v>32</v>
      </c>
      <c r="U19" s="254">
        <v>6</v>
      </c>
      <c r="V19" s="1">
        <v>90</v>
      </c>
      <c r="W19" s="44">
        <v>150</v>
      </c>
      <c r="X19" s="40">
        <f>_xlfn.XLOOKUP("Ripening", CropPhenology_Barley[Main_Stage], CropPhenology_Barley[Start_GDD], "Not Found")</f>
        <v>1781</v>
      </c>
      <c r="Y19" s="4" cm="1">
        <f t="array" ref="Y19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Z19" s="3">
        <f t="shared" si="2"/>
        <v>17.603333333333332</v>
      </c>
      <c r="AA19" s="41">
        <f t="shared" si="3"/>
        <v>119.29558795682637</v>
      </c>
      <c r="AB19" s="48">
        <v>8.5</v>
      </c>
      <c r="AC19" s="1">
        <v>5</v>
      </c>
      <c r="AD19" s="1">
        <v>2.1</v>
      </c>
      <c r="AE19" s="1">
        <v>90</v>
      </c>
      <c r="AF19" s="1">
        <v>3</v>
      </c>
      <c r="AG19" s="1">
        <v>6</v>
      </c>
      <c r="AH19" s="3">
        <f t="shared" si="10"/>
        <v>2.6740301587301585</v>
      </c>
      <c r="AI19" s="1">
        <v>6.3</v>
      </c>
      <c r="AJ19" s="1">
        <v>8.3000000000000007</v>
      </c>
      <c r="AK19" s="160">
        <v>8</v>
      </c>
      <c r="AL19" s="161">
        <v>0.05</v>
      </c>
      <c r="AM19" s="1">
        <v>350</v>
      </c>
      <c r="AN19" s="44">
        <v>450</v>
      </c>
      <c r="AO19" s="48">
        <v>8</v>
      </c>
      <c r="AP19" s="44">
        <v>100</v>
      </c>
      <c r="AQ19" s="42">
        <v>0.65</v>
      </c>
      <c r="AR19" s="1">
        <v>30</v>
      </c>
      <c r="AS19" s="1">
        <v>4</v>
      </c>
      <c r="AT19" s="1">
        <v>1</v>
      </c>
      <c r="AU19" s="4">
        <f t="shared" si="5"/>
        <v>83.333333333333329</v>
      </c>
      <c r="AV19" s="3">
        <f t="shared" si="6"/>
        <v>26.67</v>
      </c>
      <c r="AW19" s="1">
        <v>95</v>
      </c>
      <c r="AX19" s="3">
        <f t="shared" si="7"/>
        <v>79.17</v>
      </c>
      <c r="AY19" s="1">
        <v>3</v>
      </c>
      <c r="AZ19" s="4">
        <f t="shared" si="8"/>
        <v>237.51</v>
      </c>
      <c r="BA19" s="49">
        <v>0.9</v>
      </c>
      <c r="BB19" s="4">
        <f t="shared" si="9"/>
        <v>213.75899999999999</v>
      </c>
      <c r="BC19" s="50">
        <v>6.1721178805216274E-3</v>
      </c>
      <c r="BD19" s="69">
        <f>IFERROR(
  MAX(0.05, MIN(0.5, CropNorms_Barley[[#This Row],[Leaf_Area_Per_Shoot_m2]] * CropNorms_Barley[[#This Row],[Shoot_Bearing_m2]] )),
  0.2
)</f>
        <v>0.5</v>
      </c>
      <c r="BE19" s="4">
        <f>_xlfn.XLOOKUP(CropNorms_Barley[[#This Row],[LAI_Start_BBCH]], CropPhenology_Barley[Sub_Stage], CropPhenology_Barley[Start_GDD], "Not Found")</f>
        <v>121</v>
      </c>
      <c r="BF19" s="3">
        <f>ROUND(CropNorms_Barley[[#This Row],[Shoot_Bearing_m2]]*CropNorms_Barley[[#This Row],[Leaf_Area_Per_Shoot_m2]],2)</f>
        <v>1.32</v>
      </c>
      <c r="BG19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H19" s="3">
        <f>IF(CropNorms_Barley[[#This Row],[Max_LAI]]&gt;=1.2, 0.85*CropNorms_Barley[[#This Row],[Max_LAI]], 1)</f>
        <v>1.1220000000000001</v>
      </c>
      <c r="BI19" s="41">
        <f>_xlfn.XLOOKUP(CropNorms_Barley[[#This Row],[LAI_End_BBCH]], CropPhenology_Barley[Sub_Stage], CropPhenology_Barley[End_GDD], "Not Found")</f>
        <v>1780</v>
      </c>
      <c r="BJ19" s="69" cm="1">
        <f t="array" ref="BJ19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1.4990554792216841</v>
      </c>
      <c r="BK19" s="3" cm="1">
        <f t="array" ref="BK1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0.93881362189403317</v>
      </c>
      <c r="BL19" s="3" cm="1">
        <f t="array" ref="BL19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9" s="70" cm="1">
        <f t="array" ref="BM1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" s="42">
        <v>0.37</v>
      </c>
      <c r="BO19" s="43">
        <v>0</v>
      </c>
      <c r="BP19" s="42">
        <v>1.45</v>
      </c>
      <c r="BQ19" s="43" t="s">
        <v>1795</v>
      </c>
      <c r="BR19" s="69" t="str" cm="1">
        <f t="array" ref="BR1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9" s="3" t="str" cm="1">
        <f t="array" ref="BS1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T19" s="3" t="str" cm="1">
        <f t="array" ref="BT19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U19" s="70" t="str" cm="1">
        <f t="array" ref="BU19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9" s="48">
        <v>40</v>
      </c>
      <c r="BW19" s="1">
        <v>20</v>
      </c>
      <c r="BX19" s="44">
        <v>20</v>
      </c>
      <c r="BY19" s="52">
        <v>45931</v>
      </c>
      <c r="BZ19" s="5">
        <v>45991</v>
      </c>
      <c r="CA19" s="85">
        <v>0</v>
      </c>
      <c r="CB19" s="2">
        <v>0</v>
      </c>
      <c r="CC19" s="2">
        <v>1</v>
      </c>
      <c r="CD19" s="2">
        <v>1</v>
      </c>
      <c r="CE19" s="2">
        <v>1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O19" s="1">
        <v>11</v>
      </c>
      <c r="CP19" s="27" t="s">
        <v>730</v>
      </c>
      <c r="CQ19" s="27" t="s">
        <v>1770</v>
      </c>
      <c r="CR19" s="27" t="s">
        <v>1786</v>
      </c>
      <c r="CT19" s="103"/>
      <c r="CU19" s="103"/>
      <c r="CV19" s="103"/>
      <c r="CW19" s="103"/>
    </row>
    <row r="20" spans="2:101" ht="11.25" thickBot="1" x14ac:dyDescent="0.3">
      <c r="Y20" s="3"/>
      <c r="Z20" s="4"/>
      <c r="AG20" s="3"/>
      <c r="AR20" s="4"/>
      <c r="AS20" s="3"/>
      <c r="AU20" s="3"/>
      <c r="AW20" s="4"/>
      <c r="AX20" s="49"/>
      <c r="AY20" s="4"/>
      <c r="BV20" s="51"/>
      <c r="BW20" s="51"/>
      <c r="CO20" s="1">
        <v>12</v>
      </c>
      <c r="CP20" s="27" t="s">
        <v>1214</v>
      </c>
      <c r="CQ20" s="27" t="s">
        <v>1770</v>
      </c>
      <c r="CR20" s="27" t="s">
        <v>1787</v>
      </c>
    </row>
    <row r="21" spans="2:101" ht="11.25" thickBot="1" x14ac:dyDescent="0.3">
      <c r="B21" s="54" t="s">
        <v>1753</v>
      </c>
      <c r="C21" s="53" t="s">
        <v>1754</v>
      </c>
      <c r="D21" s="53" t="s">
        <v>1804</v>
      </c>
      <c r="E21" s="53" t="s">
        <v>1805</v>
      </c>
      <c r="F21" s="53" t="s">
        <v>1806</v>
      </c>
      <c r="G21" s="53" t="s">
        <v>1807</v>
      </c>
      <c r="H21" s="53" t="s">
        <v>1808</v>
      </c>
      <c r="I21" s="53" t="s">
        <v>1809</v>
      </c>
      <c r="J21" s="53" t="s">
        <v>1810</v>
      </c>
      <c r="K21" s="53" t="s">
        <v>1747</v>
      </c>
      <c r="L21" s="54" t="s">
        <v>1749</v>
      </c>
      <c r="M21" s="53" t="s">
        <v>357</v>
      </c>
      <c r="N21" s="55" t="s">
        <v>692</v>
      </c>
      <c r="O21" s="53" t="s">
        <v>325</v>
      </c>
      <c r="P21" s="53" t="s">
        <v>356</v>
      </c>
      <c r="Q21" s="53" t="s">
        <v>326</v>
      </c>
      <c r="R21" s="53" t="s">
        <v>327</v>
      </c>
      <c r="S21" s="53" t="s">
        <v>328</v>
      </c>
      <c r="T21" s="53" t="s">
        <v>329</v>
      </c>
      <c r="U21" s="250" t="s">
        <v>2349</v>
      </c>
      <c r="V21" s="53" t="s">
        <v>330</v>
      </c>
      <c r="W21" s="53" t="s">
        <v>331</v>
      </c>
      <c r="X21" s="56" t="s">
        <v>354</v>
      </c>
      <c r="Y21" s="57" t="s">
        <v>355</v>
      </c>
      <c r="Z21" s="58" t="s">
        <v>413</v>
      </c>
      <c r="AA21" s="59" t="s">
        <v>583</v>
      </c>
      <c r="AB21" s="53" t="s">
        <v>324</v>
      </c>
      <c r="AC21" s="53" t="s">
        <v>332</v>
      </c>
      <c r="AD21" s="53" t="s">
        <v>333</v>
      </c>
      <c r="AE21" s="53" t="s">
        <v>334</v>
      </c>
      <c r="AF21" s="53" t="s">
        <v>335</v>
      </c>
      <c r="AG21" s="53" t="s">
        <v>336</v>
      </c>
      <c r="AH21" s="60" t="s">
        <v>337</v>
      </c>
      <c r="AI21" s="53" t="s">
        <v>338</v>
      </c>
      <c r="AJ21" s="53" t="s">
        <v>339</v>
      </c>
      <c r="AK21" s="157" t="s">
        <v>2346</v>
      </c>
      <c r="AL21" s="158" t="s">
        <v>2347</v>
      </c>
      <c r="AM21" s="53" t="s">
        <v>340</v>
      </c>
      <c r="AN21" s="53" t="s">
        <v>341</v>
      </c>
      <c r="AO21" s="61" t="s">
        <v>342</v>
      </c>
      <c r="AP21" s="62" t="s">
        <v>343</v>
      </c>
      <c r="AQ21" s="55" t="s">
        <v>344</v>
      </c>
      <c r="AR21" s="53" t="s">
        <v>345</v>
      </c>
      <c r="AS21" s="53" t="s">
        <v>346</v>
      </c>
      <c r="AT21" s="53" t="s">
        <v>364</v>
      </c>
      <c r="AU21" s="60" t="s">
        <v>347</v>
      </c>
      <c r="AV21" s="58" t="s">
        <v>363</v>
      </c>
      <c r="AW21" s="53" t="s">
        <v>348</v>
      </c>
      <c r="AX21" s="58" t="s">
        <v>349</v>
      </c>
      <c r="AY21" s="53" t="s">
        <v>366</v>
      </c>
      <c r="AZ21" s="60" t="s">
        <v>350</v>
      </c>
      <c r="BA21" s="53" t="s">
        <v>365</v>
      </c>
      <c r="BB21" s="60" t="s">
        <v>1827</v>
      </c>
      <c r="BC21" s="63" t="s">
        <v>351</v>
      </c>
      <c r="BD21" s="71" t="s">
        <v>1811</v>
      </c>
      <c r="BE21" s="57" t="s">
        <v>352</v>
      </c>
      <c r="BF21" s="58" t="s">
        <v>1812</v>
      </c>
      <c r="BG21" s="57" t="s">
        <v>1752</v>
      </c>
      <c r="BH21" s="60" t="s">
        <v>1813</v>
      </c>
      <c r="BI21" s="59" t="s">
        <v>353</v>
      </c>
      <c r="BJ21" s="71" t="s">
        <v>1828</v>
      </c>
      <c r="BK21" s="58" t="s">
        <v>1829</v>
      </c>
      <c r="BL21" s="58" t="s">
        <v>1830</v>
      </c>
      <c r="BM21" s="72" t="s">
        <v>1831</v>
      </c>
      <c r="BN21" s="64" t="s">
        <v>1154</v>
      </c>
      <c r="BO21" s="65" t="s">
        <v>1742</v>
      </c>
      <c r="BP21" s="64" t="s">
        <v>1155</v>
      </c>
      <c r="BQ21" s="65" t="s">
        <v>1755</v>
      </c>
      <c r="BR21" s="71" t="s">
        <v>367</v>
      </c>
      <c r="BS21" s="58" t="s">
        <v>1751</v>
      </c>
      <c r="BT21" s="58" t="s">
        <v>368</v>
      </c>
      <c r="BU21" s="156" t="s">
        <v>1814</v>
      </c>
      <c r="BV21" s="61" t="s">
        <v>369</v>
      </c>
      <c r="BW21" s="53" t="s">
        <v>370</v>
      </c>
      <c r="BX21" s="62" t="s">
        <v>371</v>
      </c>
      <c r="BY21" s="53" t="s">
        <v>359</v>
      </c>
      <c r="BZ21" s="53" t="s">
        <v>361</v>
      </c>
      <c r="CA21" s="61" t="s">
        <v>1815</v>
      </c>
      <c r="CB21" s="53" t="s">
        <v>1816</v>
      </c>
      <c r="CC21" s="53" t="s">
        <v>1817</v>
      </c>
      <c r="CD21" s="53" t="s">
        <v>1818</v>
      </c>
      <c r="CE21" s="53" t="s">
        <v>1819</v>
      </c>
      <c r="CF21" s="53" t="s">
        <v>1820</v>
      </c>
      <c r="CG21" s="53" t="s">
        <v>1821</v>
      </c>
      <c r="CH21" s="53" t="s">
        <v>1822</v>
      </c>
      <c r="CI21" s="53" t="s">
        <v>1823</v>
      </c>
      <c r="CJ21" s="53" t="s">
        <v>1824</v>
      </c>
      <c r="CK21" s="53" t="s">
        <v>1825</v>
      </c>
      <c r="CL21" s="53" t="s">
        <v>1826</v>
      </c>
      <c r="CO21" s="1">
        <v>13</v>
      </c>
      <c r="CP21" s="27" t="s">
        <v>757</v>
      </c>
      <c r="CQ21" s="27" t="s">
        <v>1767</v>
      </c>
      <c r="CR21" s="27" t="s">
        <v>1796</v>
      </c>
    </row>
    <row r="22" spans="2:101" x14ac:dyDescent="0.25">
      <c r="B22" s="36" t="s">
        <v>10</v>
      </c>
      <c r="C22" s="1" t="s">
        <v>11</v>
      </c>
      <c r="D22" s="1" t="s">
        <v>1991</v>
      </c>
      <c r="E22" s="1" t="s">
        <v>1992</v>
      </c>
      <c r="F22" s="1">
        <v>300</v>
      </c>
      <c r="K22" s="1" t="s">
        <v>1763</v>
      </c>
      <c r="L22" s="1" t="s">
        <v>1750</v>
      </c>
      <c r="M22" s="1" t="s">
        <v>362</v>
      </c>
      <c r="N22" s="6">
        <v>14</v>
      </c>
      <c r="O22" s="1" t="s">
        <v>4</v>
      </c>
      <c r="P22" s="1">
        <v>150</v>
      </c>
      <c r="Q22" s="1">
        <v>12</v>
      </c>
      <c r="R22" s="1">
        <v>10</v>
      </c>
      <c r="S22" s="1">
        <v>28</v>
      </c>
      <c r="T22" s="1">
        <v>35</v>
      </c>
      <c r="U22" s="253">
        <v>4</v>
      </c>
      <c r="V22" s="1">
        <v>50</v>
      </c>
      <c r="W22" s="44">
        <v>85</v>
      </c>
      <c r="X22" s="40">
        <f>_xlfn.XLOOKUP("Ripening", CropPhenology_BottleGourd[Main_Stage], CropPhenology_BottleGourd[Start_GDD], "Not Found")</f>
        <v>961</v>
      </c>
      <c r="Y22" s="4" cm="1">
        <f t="array" ref="Y22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2" s="3">
        <f t="shared" ref="Z22:Z29" si="11">MIN(Y22/V22,MAX(X22/W22,R22,(X22/W22+Y22/V22)/2))</f>
        <v>17.652941176470588</v>
      </c>
      <c r="AA22" s="41">
        <f t="shared" ref="AA22:AA29" si="12">Y22/Z22</f>
        <v>67.977340886371209</v>
      </c>
      <c r="AB22" s="1">
        <v>7</v>
      </c>
      <c r="AC22" s="1">
        <v>15</v>
      </c>
      <c r="AD22" s="1">
        <v>3</v>
      </c>
      <c r="AE22" s="1">
        <v>90</v>
      </c>
      <c r="AF22" s="1">
        <v>12</v>
      </c>
      <c r="AG22" s="1">
        <v>5</v>
      </c>
      <c r="AH22" s="3">
        <f t="shared" ref="AH22:AH86" si="13">IFERROR((Y22-X22)/AA22,0)</f>
        <v>3.5158774509803923</v>
      </c>
      <c r="AI22" s="1">
        <v>6</v>
      </c>
      <c r="AJ22" s="1">
        <v>7.5</v>
      </c>
      <c r="AK22" s="159">
        <v>2.5</v>
      </c>
      <c r="AL22" s="150">
        <v>0.09</v>
      </c>
      <c r="AM22" s="1">
        <v>450</v>
      </c>
      <c r="AN22" s="1">
        <v>650</v>
      </c>
      <c r="AO22" s="48">
        <v>2</v>
      </c>
      <c r="AP22" s="44">
        <v>70</v>
      </c>
      <c r="AQ22" s="42">
        <v>0.65</v>
      </c>
      <c r="AR22" s="1">
        <v>100</v>
      </c>
      <c r="AS22" s="1">
        <v>40</v>
      </c>
      <c r="AT22" s="1">
        <v>1</v>
      </c>
      <c r="AU22" s="4">
        <f t="shared" ref="AU22:AU29" si="14">IFERROR(10000/(AS22*AR22),0)*AT22</f>
        <v>2.5</v>
      </c>
      <c r="AV22" s="3">
        <f t="shared" ref="AV22:AV29" si="15">ROUND((P22/1000000)*AU22*10000,2)</f>
        <v>3.75</v>
      </c>
      <c r="AW22" s="1">
        <v>85</v>
      </c>
      <c r="AX22" s="3">
        <f t="shared" ref="AX22:AX29" si="16">ROUND(AU22*AW22/100,2)</f>
        <v>2.13</v>
      </c>
      <c r="AY22" s="1">
        <v>1</v>
      </c>
      <c r="AZ22" s="4">
        <f t="shared" ref="AZ22:AZ29" si="17">IFERROR(AX22*AY22,0)</f>
        <v>2.13</v>
      </c>
      <c r="BA22" s="49">
        <v>0.9</v>
      </c>
      <c r="BB22" s="4">
        <f t="shared" ref="BB22:BB29" si="18">IFERROR(AZ22*BA22,0)</f>
        <v>1.917</v>
      </c>
      <c r="BC22" s="50">
        <v>1.5626185206755967</v>
      </c>
      <c r="BD22" s="69">
        <f>IFERROR(
  MAX(0.05, MIN(0.5, CropNorms_BottleGourd[[#This Row],[Leaf_Area_Per_Shoot_m2]] * CropNorms_BottleGourd[[#This Row],[Shoot_Bearing_m2]] )),
  0.2
)</f>
        <v>0.5</v>
      </c>
      <c r="BE22" s="4">
        <f>_xlfn.XLOOKUP(CropNorms_BottleGourd[[#This Row],[LAI_Start_BBCH]], CropPhenology_BottleGourd[Sub_Stage], CropPhenology_BottleGourd[Start_GDD], "Not Found")</f>
        <v>131</v>
      </c>
      <c r="BF22" s="3">
        <f>ROUND(CropNorms_BottleGourd[[#This Row],[Shoot_Bearing_m2]]*CropNorms_BottleGourd[[#This Row],[Leaf_Area_Per_Shoot_m2]],2)</f>
        <v>3</v>
      </c>
      <c r="BG22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2" s="3">
        <f>IF(CropNorms_BottleGourd[[#This Row],[Max_LAI]]&gt;=1.2, 0.85*CropNorms_BottleGourd[[#This Row],[Max_LAI]], 1)</f>
        <v>2.5499999999999998</v>
      </c>
      <c r="BI22" s="41">
        <f>_xlfn.XLOOKUP(CropNorms_BottleGourd[[#This Row],[LAI_End_BBCH]], CropPhenology_BottleGourd[Sub_Stage], CropPhenology_BottleGourd[End_GDD], "Not Found")</f>
        <v>960</v>
      </c>
      <c r="BJ22" s="3" cm="1">
        <f t="array" ref="BJ22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2" s="3" cm="1">
        <f t="array" ref="BK22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2" s="3" cm="1">
        <f t="array" ref="BL22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2" s="3" cm="1">
        <f t="array" ref="BM22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" s="42">
        <v>0.2</v>
      </c>
      <c r="BO22" s="43">
        <v>0.9</v>
      </c>
      <c r="BP22" s="42">
        <v>25</v>
      </c>
      <c r="BQ22" s="43" t="s">
        <v>1741</v>
      </c>
      <c r="BR22" s="69" t="str" cm="1">
        <f t="array" ref="BR22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2" s="3" t="str" cm="1">
        <f t="array" ref="BS22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2" s="3" t="str" cm="1">
        <f t="array" ref="BT22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2" s="70" t="str" cm="1">
        <f t="array" ref="BU22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2" s="48">
        <v>50</v>
      </c>
      <c r="BW22" s="1">
        <v>20</v>
      </c>
      <c r="BX22" s="44">
        <v>30</v>
      </c>
      <c r="BY22" s="51">
        <v>45703</v>
      </c>
      <c r="BZ22" s="5">
        <v>45731</v>
      </c>
      <c r="CA22" s="85">
        <v>0</v>
      </c>
      <c r="CB22" s="2">
        <v>1</v>
      </c>
      <c r="CC22" s="2">
        <v>1</v>
      </c>
      <c r="CD22" s="2">
        <v>1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O22" s="1">
        <v>14</v>
      </c>
      <c r="CP22" s="27" t="s">
        <v>1771</v>
      </c>
      <c r="CQ22" s="27" t="s">
        <v>1765</v>
      </c>
      <c r="CR22" s="27" t="s">
        <v>1795</v>
      </c>
    </row>
    <row r="23" spans="2:101" x14ac:dyDescent="0.25">
      <c r="B23" s="36" t="s">
        <v>10</v>
      </c>
      <c r="C23" s="1" t="s">
        <v>12</v>
      </c>
      <c r="D23" s="1" t="s">
        <v>1832</v>
      </c>
      <c r="E23" s="1" t="s">
        <v>1993</v>
      </c>
      <c r="F23" s="1">
        <v>250</v>
      </c>
      <c r="K23" s="1" t="s">
        <v>1763</v>
      </c>
      <c r="L23" s="1" t="s">
        <v>1750</v>
      </c>
      <c r="M23" s="1" t="s">
        <v>362</v>
      </c>
      <c r="N23" s="6">
        <v>14</v>
      </c>
      <c r="O23" s="1" t="s">
        <v>4</v>
      </c>
      <c r="P23" s="1">
        <v>150</v>
      </c>
      <c r="Q23" s="1">
        <v>12</v>
      </c>
      <c r="R23" s="1">
        <v>10</v>
      </c>
      <c r="S23" s="1">
        <v>28</v>
      </c>
      <c r="T23" s="1">
        <v>35</v>
      </c>
      <c r="U23" s="253">
        <v>4</v>
      </c>
      <c r="V23" s="1">
        <v>50</v>
      </c>
      <c r="W23" s="44">
        <v>85</v>
      </c>
      <c r="X23" s="40">
        <f>_xlfn.XLOOKUP("Ripening", CropPhenology_BottleGourd[Main_Stage], CropPhenology_BottleGourd[Start_GDD], "Not Found")</f>
        <v>961</v>
      </c>
      <c r="Y23" s="4" cm="1">
        <f t="array" ref="Y23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3" s="3">
        <f t="shared" si="11"/>
        <v>17.652941176470588</v>
      </c>
      <c r="AA23" s="41">
        <f t="shared" si="12"/>
        <v>67.977340886371209</v>
      </c>
      <c r="AB23" s="1">
        <v>7</v>
      </c>
      <c r="AC23" s="1">
        <v>15</v>
      </c>
      <c r="AD23" s="1">
        <v>3</v>
      </c>
      <c r="AE23" s="1">
        <v>90</v>
      </c>
      <c r="AF23" s="1">
        <v>12</v>
      </c>
      <c r="AG23" s="1">
        <v>5</v>
      </c>
      <c r="AH23" s="3">
        <f t="shared" si="13"/>
        <v>3.5158774509803923</v>
      </c>
      <c r="AI23" s="1">
        <v>6</v>
      </c>
      <c r="AJ23" s="1">
        <v>7.5</v>
      </c>
      <c r="AK23" s="159">
        <v>2.5</v>
      </c>
      <c r="AL23" s="150">
        <v>0.09</v>
      </c>
      <c r="AM23" s="1">
        <v>450</v>
      </c>
      <c r="AN23" s="1">
        <v>650</v>
      </c>
      <c r="AO23" s="48">
        <v>2</v>
      </c>
      <c r="AP23" s="44">
        <v>70</v>
      </c>
      <c r="AQ23" s="42">
        <v>0.7</v>
      </c>
      <c r="AR23" s="1">
        <v>100</v>
      </c>
      <c r="AS23" s="1">
        <v>40</v>
      </c>
      <c r="AT23" s="1">
        <v>1</v>
      </c>
      <c r="AU23" s="4">
        <f t="shared" si="14"/>
        <v>2.5</v>
      </c>
      <c r="AV23" s="3">
        <f t="shared" si="15"/>
        <v>3.75</v>
      </c>
      <c r="AW23" s="1">
        <v>85</v>
      </c>
      <c r="AX23" s="3">
        <f t="shared" si="16"/>
        <v>2.13</v>
      </c>
      <c r="AY23" s="1">
        <v>1</v>
      </c>
      <c r="AZ23" s="4">
        <f t="shared" si="17"/>
        <v>2.13</v>
      </c>
      <c r="BA23" s="49">
        <v>0.9</v>
      </c>
      <c r="BB23" s="4">
        <f t="shared" si="18"/>
        <v>1.917</v>
      </c>
      <c r="BC23" s="50">
        <v>1.5626185206755967</v>
      </c>
      <c r="BD23" s="69">
        <f>IFERROR(
  MAX(0.05, MIN(0.5, CropNorms_BottleGourd[[#This Row],[Leaf_Area_Per_Shoot_m2]] * CropNorms_BottleGourd[[#This Row],[Shoot_Bearing_m2]] )),
  0.2
)</f>
        <v>0.5</v>
      </c>
      <c r="BE23" s="4">
        <f>_xlfn.XLOOKUP(CropNorms_BottleGourd[[#This Row],[LAI_Start_BBCH]], CropPhenology_BottleGourd[Sub_Stage], CropPhenology_BottleGourd[Start_GDD], "Not Found")</f>
        <v>131</v>
      </c>
      <c r="BF23" s="3">
        <f>ROUND(CropNorms_BottleGourd[[#This Row],[Shoot_Bearing_m2]]*CropNorms_BottleGourd[[#This Row],[Leaf_Area_Per_Shoot_m2]],2)</f>
        <v>3</v>
      </c>
      <c r="BG23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3" s="3">
        <f>IF(CropNorms_BottleGourd[[#This Row],[Max_LAI]]&gt;=1.2, 0.85*CropNorms_BottleGourd[[#This Row],[Max_LAI]], 1)</f>
        <v>2.5499999999999998</v>
      </c>
      <c r="BI23" s="41">
        <f>_xlfn.XLOOKUP(CropNorms_BottleGourd[[#This Row],[LAI_End_BBCH]], CropPhenology_BottleGourd[Sub_Stage], CropPhenology_BottleGourd[End_GDD], "Not Found")</f>
        <v>960</v>
      </c>
      <c r="BJ23" s="3" cm="1">
        <f t="array" ref="BJ23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3" s="3" cm="1">
        <f t="array" ref="BK23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3" s="3" cm="1">
        <f t="array" ref="BL23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3" s="3" cm="1">
        <f t="array" ref="BM23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" s="42">
        <v>0.2</v>
      </c>
      <c r="BO23" s="43">
        <v>0.9</v>
      </c>
      <c r="BP23" s="42">
        <v>25</v>
      </c>
      <c r="BQ23" s="43" t="s">
        <v>1741</v>
      </c>
      <c r="BR23" s="69" t="str" cm="1">
        <f t="array" ref="BR23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3" s="3" t="str" cm="1">
        <f t="array" ref="BS23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3" s="3" t="str" cm="1">
        <f t="array" ref="BT23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3" s="70" t="str" cm="1">
        <f t="array" ref="BU23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3" s="48">
        <v>50</v>
      </c>
      <c r="BW23" s="1">
        <v>20</v>
      </c>
      <c r="BX23" s="44">
        <v>30</v>
      </c>
      <c r="BY23" s="51">
        <v>45703</v>
      </c>
      <c r="BZ23" s="5">
        <v>45731</v>
      </c>
      <c r="CA23" s="85">
        <v>0</v>
      </c>
      <c r="CB23" s="2">
        <v>1</v>
      </c>
      <c r="CC23" s="2">
        <v>1</v>
      </c>
      <c r="CD23" s="2">
        <v>1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O23" s="1">
        <v>15</v>
      </c>
      <c r="CP23" s="27" t="s">
        <v>1239</v>
      </c>
      <c r="CQ23" s="27" t="s">
        <v>1763</v>
      </c>
      <c r="CR23" s="27" t="s">
        <v>1741</v>
      </c>
    </row>
    <row r="24" spans="2:101" x14ac:dyDescent="0.25">
      <c r="B24" s="36" t="s">
        <v>10</v>
      </c>
      <c r="C24" s="1" t="s">
        <v>13</v>
      </c>
      <c r="D24" s="1" t="s">
        <v>1832</v>
      </c>
      <c r="E24" s="1" t="s">
        <v>1993</v>
      </c>
      <c r="F24" s="1">
        <v>250</v>
      </c>
      <c r="K24" s="1" t="s">
        <v>1763</v>
      </c>
      <c r="L24" s="1" t="s">
        <v>1750</v>
      </c>
      <c r="M24" s="1" t="s">
        <v>362</v>
      </c>
      <c r="N24" s="6">
        <v>14</v>
      </c>
      <c r="O24" s="1" t="s">
        <v>4</v>
      </c>
      <c r="P24" s="1">
        <v>150</v>
      </c>
      <c r="Q24" s="1">
        <v>12</v>
      </c>
      <c r="R24" s="1">
        <v>10</v>
      </c>
      <c r="S24" s="1">
        <v>28</v>
      </c>
      <c r="T24" s="1">
        <v>35</v>
      </c>
      <c r="U24" s="253">
        <v>4</v>
      </c>
      <c r="V24" s="1">
        <v>50</v>
      </c>
      <c r="W24" s="44">
        <v>85</v>
      </c>
      <c r="X24" s="40">
        <f>_xlfn.XLOOKUP("Ripening", CropPhenology_BottleGourd[Main_Stage], CropPhenology_BottleGourd[Start_GDD], "Not Found")</f>
        <v>961</v>
      </c>
      <c r="Y24" s="4" cm="1">
        <f t="array" ref="Y24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4" s="3">
        <f t="shared" si="11"/>
        <v>17.652941176470588</v>
      </c>
      <c r="AA24" s="41">
        <f t="shared" si="12"/>
        <v>67.977340886371209</v>
      </c>
      <c r="AB24" s="1">
        <v>7</v>
      </c>
      <c r="AC24" s="1">
        <v>15</v>
      </c>
      <c r="AD24" s="1">
        <v>3</v>
      </c>
      <c r="AE24" s="1">
        <v>90</v>
      </c>
      <c r="AF24" s="1">
        <v>12</v>
      </c>
      <c r="AG24" s="1">
        <v>5</v>
      </c>
      <c r="AH24" s="3">
        <f t="shared" si="13"/>
        <v>3.5158774509803923</v>
      </c>
      <c r="AI24" s="1">
        <v>6</v>
      </c>
      <c r="AJ24" s="1">
        <v>7.5</v>
      </c>
      <c r="AK24" s="159">
        <v>2.5</v>
      </c>
      <c r="AL24" s="150">
        <v>0.09</v>
      </c>
      <c r="AM24" s="1">
        <v>450</v>
      </c>
      <c r="AN24" s="1">
        <v>650</v>
      </c>
      <c r="AO24" s="48">
        <v>2</v>
      </c>
      <c r="AP24" s="44">
        <v>70</v>
      </c>
      <c r="AQ24" s="42">
        <v>0.68</v>
      </c>
      <c r="AR24" s="1">
        <v>100</v>
      </c>
      <c r="AS24" s="1">
        <v>40</v>
      </c>
      <c r="AT24" s="1">
        <v>1</v>
      </c>
      <c r="AU24" s="4">
        <f t="shared" si="14"/>
        <v>2.5</v>
      </c>
      <c r="AV24" s="3">
        <f t="shared" si="15"/>
        <v>3.75</v>
      </c>
      <c r="AW24" s="1">
        <v>85</v>
      </c>
      <c r="AX24" s="3">
        <f t="shared" si="16"/>
        <v>2.13</v>
      </c>
      <c r="AY24" s="1">
        <v>1</v>
      </c>
      <c r="AZ24" s="4">
        <f t="shared" si="17"/>
        <v>2.13</v>
      </c>
      <c r="BA24" s="49">
        <v>0.9</v>
      </c>
      <c r="BB24" s="4">
        <f t="shared" si="18"/>
        <v>1.917</v>
      </c>
      <c r="BC24" s="50">
        <v>1.5626185206755967</v>
      </c>
      <c r="BD24" s="69">
        <f>IFERROR(
  MAX(0.05, MIN(0.5, CropNorms_BottleGourd[[#This Row],[Leaf_Area_Per_Shoot_m2]] * CropNorms_BottleGourd[[#This Row],[Shoot_Bearing_m2]] )),
  0.2
)</f>
        <v>0.5</v>
      </c>
      <c r="BE24" s="4">
        <f>_xlfn.XLOOKUP(CropNorms_BottleGourd[[#This Row],[LAI_Start_BBCH]], CropPhenology_BottleGourd[Sub_Stage], CropPhenology_BottleGourd[Start_GDD], "Not Found")</f>
        <v>131</v>
      </c>
      <c r="BF24" s="3">
        <f>ROUND(CropNorms_BottleGourd[[#This Row],[Shoot_Bearing_m2]]*CropNorms_BottleGourd[[#This Row],[Leaf_Area_Per_Shoot_m2]],2)</f>
        <v>3</v>
      </c>
      <c r="BG24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4" s="3">
        <f>IF(CropNorms_BottleGourd[[#This Row],[Max_LAI]]&gt;=1.2, 0.85*CropNorms_BottleGourd[[#This Row],[Max_LAI]], 1)</f>
        <v>2.5499999999999998</v>
      </c>
      <c r="BI24" s="41">
        <f>_xlfn.XLOOKUP(CropNorms_BottleGourd[[#This Row],[LAI_End_BBCH]], CropPhenology_BottleGourd[Sub_Stage], CropPhenology_BottleGourd[End_GDD], "Not Found")</f>
        <v>960</v>
      </c>
      <c r="BJ24" s="3" cm="1">
        <f t="array" ref="BJ24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4" s="3" cm="1">
        <f t="array" ref="BK24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4" s="3" cm="1">
        <f t="array" ref="BL24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4" s="3" cm="1">
        <f t="array" ref="BM24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" s="42">
        <v>0.2</v>
      </c>
      <c r="BO24" s="43">
        <v>0.9</v>
      </c>
      <c r="BP24" s="42">
        <v>25</v>
      </c>
      <c r="BQ24" s="43" t="s">
        <v>1741</v>
      </c>
      <c r="BR24" s="69" t="str" cm="1">
        <f t="array" ref="BR24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4" s="3" t="str" cm="1">
        <f t="array" ref="BS24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4" s="3" t="str" cm="1">
        <f t="array" ref="BT24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4" s="70" t="str" cm="1">
        <f t="array" ref="BU24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4" s="48">
        <v>50</v>
      </c>
      <c r="BW24" s="1">
        <v>20</v>
      </c>
      <c r="BX24" s="44">
        <v>30</v>
      </c>
      <c r="BY24" s="51">
        <v>45703</v>
      </c>
      <c r="BZ24" s="5">
        <v>45731</v>
      </c>
      <c r="CA24" s="85">
        <v>0</v>
      </c>
      <c r="CB24" s="2">
        <v>1</v>
      </c>
      <c r="CC24" s="2">
        <v>1</v>
      </c>
      <c r="CD24" s="2">
        <v>1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O24" s="1">
        <v>16</v>
      </c>
      <c r="CP24" s="27" t="s">
        <v>1772</v>
      </c>
      <c r="CQ24" s="27" t="s">
        <v>1767</v>
      </c>
      <c r="CR24" s="27" t="s">
        <v>1788</v>
      </c>
    </row>
    <row r="25" spans="2:101" x14ac:dyDescent="0.25">
      <c r="B25" s="36" t="s">
        <v>10</v>
      </c>
      <c r="C25" s="1" t="s">
        <v>14</v>
      </c>
      <c r="E25" s="1" t="s">
        <v>1993</v>
      </c>
      <c r="F25" s="1">
        <v>220</v>
      </c>
      <c r="K25" s="1" t="s">
        <v>1763</v>
      </c>
      <c r="L25" s="1" t="s">
        <v>1750</v>
      </c>
      <c r="M25" s="1" t="s">
        <v>362</v>
      </c>
      <c r="N25" s="6">
        <v>14</v>
      </c>
      <c r="O25" s="1" t="s">
        <v>4</v>
      </c>
      <c r="P25" s="1">
        <v>150</v>
      </c>
      <c r="Q25" s="1">
        <v>12</v>
      </c>
      <c r="R25" s="1">
        <v>10</v>
      </c>
      <c r="S25" s="1">
        <v>28</v>
      </c>
      <c r="T25" s="1">
        <v>35</v>
      </c>
      <c r="U25" s="253">
        <v>4</v>
      </c>
      <c r="V25" s="1">
        <v>50</v>
      </c>
      <c r="W25" s="44">
        <v>85</v>
      </c>
      <c r="X25" s="40">
        <f>_xlfn.XLOOKUP("Ripening", CropPhenology_BottleGourd[Main_Stage], CropPhenology_BottleGourd[Start_GDD], "Not Found")</f>
        <v>961</v>
      </c>
      <c r="Y25" s="4" cm="1">
        <f t="array" ref="Y25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5" s="3">
        <f t="shared" si="11"/>
        <v>17.652941176470588</v>
      </c>
      <c r="AA25" s="41">
        <f t="shared" si="12"/>
        <v>67.977340886371209</v>
      </c>
      <c r="AB25" s="1">
        <v>7</v>
      </c>
      <c r="AC25" s="1">
        <v>15</v>
      </c>
      <c r="AD25" s="1">
        <v>3</v>
      </c>
      <c r="AE25" s="1">
        <v>90</v>
      </c>
      <c r="AF25" s="1">
        <v>12</v>
      </c>
      <c r="AG25" s="1">
        <v>5</v>
      </c>
      <c r="AH25" s="3">
        <f t="shared" si="13"/>
        <v>3.5158774509803923</v>
      </c>
      <c r="AI25" s="1">
        <v>6</v>
      </c>
      <c r="AJ25" s="1">
        <v>7.5</v>
      </c>
      <c r="AK25" s="159">
        <v>2.5</v>
      </c>
      <c r="AL25" s="150">
        <v>0.09</v>
      </c>
      <c r="AM25" s="1">
        <v>450</v>
      </c>
      <c r="AN25" s="1">
        <v>650</v>
      </c>
      <c r="AO25" s="48">
        <v>2</v>
      </c>
      <c r="AP25" s="44">
        <v>70</v>
      </c>
      <c r="AQ25" s="42">
        <v>0.72</v>
      </c>
      <c r="AR25" s="1">
        <v>100</v>
      </c>
      <c r="AS25" s="1">
        <v>40</v>
      </c>
      <c r="AT25" s="1">
        <v>1</v>
      </c>
      <c r="AU25" s="4">
        <f t="shared" si="14"/>
        <v>2.5</v>
      </c>
      <c r="AV25" s="3">
        <f t="shared" si="15"/>
        <v>3.75</v>
      </c>
      <c r="AW25" s="1">
        <v>85</v>
      </c>
      <c r="AX25" s="3">
        <f t="shared" si="16"/>
        <v>2.13</v>
      </c>
      <c r="AY25" s="1">
        <v>1</v>
      </c>
      <c r="AZ25" s="4">
        <f t="shared" si="17"/>
        <v>2.13</v>
      </c>
      <c r="BA25" s="49">
        <v>0.9</v>
      </c>
      <c r="BB25" s="4">
        <f t="shared" si="18"/>
        <v>1.917</v>
      </c>
      <c r="BC25" s="50">
        <v>1.5626185206755967</v>
      </c>
      <c r="BD25" s="69">
        <f>IFERROR(
  MAX(0.05, MIN(0.5, CropNorms_BottleGourd[[#This Row],[Leaf_Area_Per_Shoot_m2]] * CropNorms_BottleGourd[[#This Row],[Shoot_Bearing_m2]] )),
  0.2
)</f>
        <v>0.5</v>
      </c>
      <c r="BE25" s="4">
        <f>_xlfn.XLOOKUP(CropNorms_BottleGourd[[#This Row],[LAI_Start_BBCH]], CropPhenology_BottleGourd[Sub_Stage], CropPhenology_BottleGourd[Start_GDD], "Not Found")</f>
        <v>131</v>
      </c>
      <c r="BF25" s="3">
        <f>ROUND(CropNorms_BottleGourd[[#This Row],[Shoot_Bearing_m2]]*CropNorms_BottleGourd[[#This Row],[Leaf_Area_Per_Shoot_m2]],2)</f>
        <v>3</v>
      </c>
      <c r="BG25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5" s="3">
        <f>IF(CropNorms_BottleGourd[[#This Row],[Max_LAI]]&gt;=1.2, 0.85*CropNorms_BottleGourd[[#This Row],[Max_LAI]], 1)</f>
        <v>2.5499999999999998</v>
      </c>
      <c r="BI25" s="41">
        <f>_xlfn.XLOOKUP(CropNorms_BottleGourd[[#This Row],[LAI_End_BBCH]], CropPhenology_BottleGourd[Sub_Stage], CropPhenology_BottleGourd[End_GDD], "Not Found")</f>
        <v>960</v>
      </c>
      <c r="BJ25" s="3" cm="1">
        <f t="array" ref="BJ25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5" s="3" cm="1">
        <f t="array" ref="BK25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5" s="3" cm="1">
        <f t="array" ref="BL25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5" s="3" cm="1">
        <f t="array" ref="BM25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" s="42">
        <v>0.2</v>
      </c>
      <c r="BO25" s="43">
        <v>0.9</v>
      </c>
      <c r="BP25" s="42">
        <v>25</v>
      </c>
      <c r="BQ25" s="43" t="s">
        <v>1741</v>
      </c>
      <c r="BR25" s="69" t="str" cm="1">
        <f t="array" ref="BR25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5" s="3" t="str" cm="1">
        <f t="array" ref="BS25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5" s="3" t="str" cm="1">
        <f t="array" ref="BT25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5" s="70" t="str" cm="1">
        <f t="array" ref="BU25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5" s="48">
        <v>50</v>
      </c>
      <c r="BW25" s="1">
        <v>20</v>
      </c>
      <c r="BX25" s="44">
        <v>30</v>
      </c>
      <c r="BY25" s="51">
        <v>45703</v>
      </c>
      <c r="BZ25" s="5">
        <v>45731</v>
      </c>
      <c r="CA25" s="85">
        <v>0</v>
      </c>
      <c r="CB25" s="2">
        <v>1</v>
      </c>
      <c r="CC25" s="2">
        <v>1</v>
      </c>
      <c r="CD25" s="2">
        <v>1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O25" s="1">
        <v>17</v>
      </c>
      <c r="CP25" s="27" t="s">
        <v>793</v>
      </c>
      <c r="CQ25" s="27" t="s">
        <v>1773</v>
      </c>
      <c r="CR25" s="27" t="s">
        <v>1789</v>
      </c>
    </row>
    <row r="26" spans="2:101" x14ac:dyDescent="0.25">
      <c r="B26" s="36" t="s">
        <v>10</v>
      </c>
      <c r="C26" s="1" t="s">
        <v>15</v>
      </c>
      <c r="E26" s="1" t="s">
        <v>1992</v>
      </c>
      <c r="F26" s="1">
        <v>300</v>
      </c>
      <c r="K26" s="1" t="s">
        <v>1763</v>
      </c>
      <c r="L26" s="1" t="s">
        <v>1750</v>
      </c>
      <c r="M26" s="1" t="s">
        <v>362</v>
      </c>
      <c r="N26" s="6">
        <v>14</v>
      </c>
      <c r="O26" s="1" t="s">
        <v>4</v>
      </c>
      <c r="P26" s="1">
        <v>150</v>
      </c>
      <c r="Q26" s="1">
        <v>12</v>
      </c>
      <c r="R26" s="1">
        <v>10</v>
      </c>
      <c r="S26" s="1">
        <v>28</v>
      </c>
      <c r="T26" s="1">
        <v>35</v>
      </c>
      <c r="U26" s="253">
        <v>4</v>
      </c>
      <c r="V26" s="1">
        <v>50</v>
      </c>
      <c r="W26" s="44">
        <v>85</v>
      </c>
      <c r="X26" s="40">
        <f>_xlfn.XLOOKUP("Ripening", CropPhenology_BottleGourd[Main_Stage], CropPhenology_BottleGourd[Start_GDD], "Not Found")</f>
        <v>961</v>
      </c>
      <c r="Y26" s="4" cm="1">
        <f t="array" ref="Y26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6" s="3">
        <f t="shared" si="11"/>
        <v>17.652941176470588</v>
      </c>
      <c r="AA26" s="41">
        <f t="shared" si="12"/>
        <v>67.977340886371209</v>
      </c>
      <c r="AB26" s="1">
        <v>7</v>
      </c>
      <c r="AC26" s="1">
        <v>15</v>
      </c>
      <c r="AD26" s="1">
        <v>3</v>
      </c>
      <c r="AE26" s="1">
        <v>90</v>
      </c>
      <c r="AF26" s="1">
        <v>12</v>
      </c>
      <c r="AG26" s="1">
        <v>5</v>
      </c>
      <c r="AH26" s="3">
        <f t="shared" si="13"/>
        <v>3.5158774509803923</v>
      </c>
      <c r="AI26" s="1">
        <v>6</v>
      </c>
      <c r="AJ26" s="1">
        <v>7.5</v>
      </c>
      <c r="AK26" s="159">
        <v>2.5</v>
      </c>
      <c r="AL26" s="150">
        <v>0.09</v>
      </c>
      <c r="AM26" s="1">
        <v>450</v>
      </c>
      <c r="AN26" s="1">
        <v>650</v>
      </c>
      <c r="AO26" s="48">
        <v>2</v>
      </c>
      <c r="AP26" s="44">
        <v>70</v>
      </c>
      <c r="AQ26" s="42">
        <v>0.75</v>
      </c>
      <c r="AR26" s="1">
        <v>100</v>
      </c>
      <c r="AS26" s="1">
        <v>40</v>
      </c>
      <c r="AT26" s="1">
        <v>1</v>
      </c>
      <c r="AU26" s="4">
        <f t="shared" si="14"/>
        <v>2.5</v>
      </c>
      <c r="AV26" s="3">
        <f t="shared" si="15"/>
        <v>3.75</v>
      </c>
      <c r="AW26" s="1">
        <v>85</v>
      </c>
      <c r="AX26" s="3">
        <f t="shared" si="16"/>
        <v>2.13</v>
      </c>
      <c r="AY26" s="1">
        <v>1</v>
      </c>
      <c r="AZ26" s="4">
        <f t="shared" si="17"/>
        <v>2.13</v>
      </c>
      <c r="BA26" s="49">
        <v>0.9</v>
      </c>
      <c r="BB26" s="4">
        <f t="shared" si="18"/>
        <v>1.917</v>
      </c>
      <c r="BC26" s="50">
        <v>1.5626185206755967</v>
      </c>
      <c r="BD26" s="69">
        <f>IFERROR(
  MAX(0.05, MIN(0.5, CropNorms_BottleGourd[[#This Row],[Leaf_Area_Per_Shoot_m2]] * CropNorms_BottleGourd[[#This Row],[Shoot_Bearing_m2]] )),
  0.2
)</f>
        <v>0.5</v>
      </c>
      <c r="BE26" s="4">
        <f>_xlfn.XLOOKUP(CropNorms_BottleGourd[[#This Row],[LAI_Start_BBCH]], CropPhenology_BottleGourd[Sub_Stage], CropPhenology_BottleGourd[Start_GDD], "Not Found")</f>
        <v>131</v>
      </c>
      <c r="BF26" s="3">
        <f>ROUND(CropNorms_BottleGourd[[#This Row],[Shoot_Bearing_m2]]*CropNorms_BottleGourd[[#This Row],[Leaf_Area_Per_Shoot_m2]],2)</f>
        <v>3</v>
      </c>
      <c r="BG26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6" s="3">
        <f>IF(CropNorms_BottleGourd[[#This Row],[Max_LAI]]&gt;=1.2, 0.85*CropNorms_BottleGourd[[#This Row],[Max_LAI]], 1)</f>
        <v>2.5499999999999998</v>
      </c>
      <c r="BI26" s="41">
        <f>_xlfn.XLOOKUP(CropNorms_BottleGourd[[#This Row],[LAI_End_BBCH]], CropPhenology_BottleGourd[Sub_Stage], CropPhenology_BottleGourd[End_GDD], "Not Found")</f>
        <v>960</v>
      </c>
      <c r="BJ26" s="3" cm="1">
        <f t="array" ref="BJ26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6" s="3" cm="1">
        <f t="array" ref="BK26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6" s="3" cm="1">
        <f t="array" ref="BL26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6" s="3" cm="1">
        <f t="array" ref="BM26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" s="42">
        <v>0.2</v>
      </c>
      <c r="BO26" s="43">
        <v>0.9</v>
      </c>
      <c r="BP26" s="42">
        <v>25</v>
      </c>
      <c r="BQ26" s="43" t="s">
        <v>1741</v>
      </c>
      <c r="BR26" s="69" t="str" cm="1">
        <f t="array" ref="BR26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" s="3" t="str" cm="1">
        <f t="array" ref="BS26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6" s="3" t="str" cm="1">
        <f t="array" ref="BT26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6" s="70" t="str" cm="1">
        <f t="array" ref="BU26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6" s="48">
        <v>50</v>
      </c>
      <c r="BW26" s="1">
        <v>20</v>
      </c>
      <c r="BX26" s="44">
        <v>30</v>
      </c>
      <c r="BY26" s="51">
        <v>45703</v>
      </c>
      <c r="BZ26" s="5">
        <v>45731</v>
      </c>
      <c r="CA26" s="85">
        <v>0</v>
      </c>
      <c r="CB26" s="2">
        <v>1</v>
      </c>
      <c r="CC26" s="2">
        <v>1</v>
      </c>
      <c r="CD26" s="2">
        <v>1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O26" s="1">
        <v>18</v>
      </c>
      <c r="CP26" s="27" t="s">
        <v>1774</v>
      </c>
      <c r="CQ26" s="27" t="s">
        <v>1765</v>
      </c>
      <c r="CR26" s="27" t="s">
        <v>1795</v>
      </c>
    </row>
    <row r="27" spans="2:101" x14ac:dyDescent="0.25">
      <c r="B27" s="36" t="s">
        <v>10</v>
      </c>
      <c r="C27" s="1" t="s">
        <v>16</v>
      </c>
      <c r="E27" s="1" t="s">
        <v>1992</v>
      </c>
      <c r="F27" s="1">
        <v>320</v>
      </c>
      <c r="K27" s="1" t="s">
        <v>1763</v>
      </c>
      <c r="L27" s="1" t="s">
        <v>1750</v>
      </c>
      <c r="M27" s="1" t="s">
        <v>362</v>
      </c>
      <c r="N27" s="6">
        <v>14</v>
      </c>
      <c r="O27" s="1" t="s">
        <v>4</v>
      </c>
      <c r="P27" s="1">
        <v>150</v>
      </c>
      <c r="Q27" s="1">
        <v>12</v>
      </c>
      <c r="R27" s="1">
        <v>10</v>
      </c>
      <c r="S27" s="1">
        <v>28</v>
      </c>
      <c r="T27" s="1">
        <v>35</v>
      </c>
      <c r="U27" s="253">
        <v>4</v>
      </c>
      <c r="V27" s="1">
        <v>50</v>
      </c>
      <c r="W27" s="44">
        <v>85</v>
      </c>
      <c r="X27" s="40">
        <f>_xlfn.XLOOKUP("Ripening", CropPhenology_BottleGourd[Main_Stage], CropPhenology_BottleGourd[Start_GDD], "Not Found")</f>
        <v>961</v>
      </c>
      <c r="Y27" s="4" cm="1">
        <f t="array" ref="Y27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7" s="3">
        <f t="shared" si="11"/>
        <v>17.652941176470588</v>
      </c>
      <c r="AA27" s="41">
        <f t="shared" si="12"/>
        <v>67.977340886371209</v>
      </c>
      <c r="AB27" s="1">
        <v>7</v>
      </c>
      <c r="AC27" s="1">
        <v>15</v>
      </c>
      <c r="AD27" s="1">
        <v>3</v>
      </c>
      <c r="AE27" s="1">
        <v>90</v>
      </c>
      <c r="AF27" s="1">
        <v>12</v>
      </c>
      <c r="AG27" s="1">
        <v>5</v>
      </c>
      <c r="AH27" s="3">
        <f t="shared" si="13"/>
        <v>3.5158774509803923</v>
      </c>
      <c r="AI27" s="1">
        <v>6</v>
      </c>
      <c r="AJ27" s="1">
        <v>7.5</v>
      </c>
      <c r="AK27" s="159">
        <v>2.5</v>
      </c>
      <c r="AL27" s="150">
        <v>0.09</v>
      </c>
      <c r="AM27" s="1">
        <v>450</v>
      </c>
      <c r="AN27" s="1">
        <v>650</v>
      </c>
      <c r="AO27" s="48">
        <v>2</v>
      </c>
      <c r="AP27" s="44">
        <v>70</v>
      </c>
      <c r="AQ27" s="42">
        <v>0.78</v>
      </c>
      <c r="AR27" s="1">
        <v>100</v>
      </c>
      <c r="AS27" s="1">
        <v>40</v>
      </c>
      <c r="AT27" s="1">
        <v>1</v>
      </c>
      <c r="AU27" s="4">
        <f t="shared" si="14"/>
        <v>2.5</v>
      </c>
      <c r="AV27" s="3">
        <f t="shared" si="15"/>
        <v>3.75</v>
      </c>
      <c r="AW27" s="1">
        <v>85</v>
      </c>
      <c r="AX27" s="3">
        <f t="shared" si="16"/>
        <v>2.13</v>
      </c>
      <c r="AY27" s="1">
        <v>1</v>
      </c>
      <c r="AZ27" s="4">
        <f t="shared" si="17"/>
        <v>2.13</v>
      </c>
      <c r="BA27" s="49">
        <v>0.9</v>
      </c>
      <c r="BB27" s="4">
        <f t="shared" si="18"/>
        <v>1.917</v>
      </c>
      <c r="BC27" s="50">
        <v>1.5626185206755967</v>
      </c>
      <c r="BD27" s="69">
        <f>IFERROR(
  MAX(0.05, MIN(0.5, CropNorms_BottleGourd[[#This Row],[Leaf_Area_Per_Shoot_m2]] * CropNorms_BottleGourd[[#This Row],[Shoot_Bearing_m2]] )),
  0.2
)</f>
        <v>0.5</v>
      </c>
      <c r="BE27" s="4">
        <f>_xlfn.XLOOKUP(CropNorms_BottleGourd[[#This Row],[LAI_Start_BBCH]], CropPhenology_BottleGourd[Sub_Stage], CropPhenology_BottleGourd[Start_GDD], "Not Found")</f>
        <v>131</v>
      </c>
      <c r="BF27" s="3">
        <f>ROUND(CropNorms_BottleGourd[[#This Row],[Shoot_Bearing_m2]]*CropNorms_BottleGourd[[#This Row],[Leaf_Area_Per_Shoot_m2]],2)</f>
        <v>3</v>
      </c>
      <c r="BG27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7" s="3">
        <f>IF(CropNorms_BottleGourd[[#This Row],[Max_LAI]]&gt;=1.2, 0.85*CropNorms_BottleGourd[[#This Row],[Max_LAI]], 1)</f>
        <v>2.5499999999999998</v>
      </c>
      <c r="BI27" s="41">
        <f>_xlfn.XLOOKUP(CropNorms_BottleGourd[[#This Row],[LAI_End_BBCH]], CropPhenology_BottleGourd[Sub_Stage], CropPhenology_BottleGourd[End_GDD], "Not Found")</f>
        <v>960</v>
      </c>
      <c r="BJ27" s="3" cm="1">
        <f t="array" ref="BJ27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7" s="3" cm="1">
        <f t="array" ref="BK27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7" s="3" cm="1">
        <f t="array" ref="BL27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7" s="3" cm="1">
        <f t="array" ref="BM27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" s="42">
        <v>0.2</v>
      </c>
      <c r="BO27" s="43">
        <v>0.9</v>
      </c>
      <c r="BP27" s="42">
        <v>25</v>
      </c>
      <c r="BQ27" s="43" t="s">
        <v>1741</v>
      </c>
      <c r="BR27" s="69" t="str" cm="1">
        <f t="array" ref="BR27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7" s="3" t="str" cm="1">
        <f t="array" ref="BS27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7" s="3" t="str" cm="1">
        <f t="array" ref="BT27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7" s="70" t="str" cm="1">
        <f t="array" ref="BU27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7" s="48">
        <v>50</v>
      </c>
      <c r="BW27" s="1">
        <v>20</v>
      </c>
      <c r="BX27" s="44">
        <v>30</v>
      </c>
      <c r="BY27" s="51">
        <v>45703</v>
      </c>
      <c r="BZ27" s="5">
        <v>45731</v>
      </c>
      <c r="CA27" s="85">
        <v>0</v>
      </c>
      <c r="CB27" s="2">
        <v>1</v>
      </c>
      <c r="CC27" s="2">
        <v>1</v>
      </c>
      <c r="CD27" s="2">
        <v>1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O27" s="1">
        <v>19</v>
      </c>
      <c r="CP27" s="27" t="s">
        <v>845</v>
      </c>
      <c r="CQ27" s="27" t="s">
        <v>1763</v>
      </c>
      <c r="CR27" s="27" t="s">
        <v>1741</v>
      </c>
    </row>
    <row r="28" spans="2:101" x14ac:dyDescent="0.25">
      <c r="B28" s="36" t="s">
        <v>10</v>
      </c>
      <c r="C28" s="1" t="s">
        <v>17</v>
      </c>
      <c r="E28" s="1" t="s">
        <v>1993</v>
      </c>
      <c r="F28" s="1">
        <v>250</v>
      </c>
      <c r="K28" s="1" t="s">
        <v>1763</v>
      </c>
      <c r="L28" s="1" t="s">
        <v>1750</v>
      </c>
      <c r="M28" s="1" t="s">
        <v>362</v>
      </c>
      <c r="N28" s="6">
        <v>14</v>
      </c>
      <c r="O28" s="1" t="s">
        <v>4</v>
      </c>
      <c r="P28" s="1">
        <v>150</v>
      </c>
      <c r="Q28" s="1">
        <v>12</v>
      </c>
      <c r="R28" s="1">
        <v>10</v>
      </c>
      <c r="S28" s="1">
        <v>28</v>
      </c>
      <c r="T28" s="1">
        <v>35</v>
      </c>
      <c r="U28" s="253">
        <v>4</v>
      </c>
      <c r="V28" s="1">
        <v>50</v>
      </c>
      <c r="W28" s="44">
        <v>85</v>
      </c>
      <c r="X28" s="40">
        <f>_xlfn.XLOOKUP("Ripening", CropPhenology_BottleGourd[Main_Stage], CropPhenology_BottleGourd[Start_GDD], "Not Found")</f>
        <v>961</v>
      </c>
      <c r="Y28" s="4" cm="1">
        <f t="array" ref="Y28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8" s="3">
        <f t="shared" si="11"/>
        <v>17.652941176470588</v>
      </c>
      <c r="AA28" s="41">
        <f t="shared" si="12"/>
        <v>67.977340886371209</v>
      </c>
      <c r="AB28" s="1">
        <v>7</v>
      </c>
      <c r="AC28" s="1">
        <v>15</v>
      </c>
      <c r="AD28" s="1">
        <v>3</v>
      </c>
      <c r="AE28" s="1">
        <v>90</v>
      </c>
      <c r="AF28" s="1">
        <v>12</v>
      </c>
      <c r="AG28" s="1">
        <v>5</v>
      </c>
      <c r="AH28" s="3">
        <f t="shared" si="13"/>
        <v>3.5158774509803923</v>
      </c>
      <c r="AI28" s="1">
        <v>6</v>
      </c>
      <c r="AJ28" s="1">
        <v>7.5</v>
      </c>
      <c r="AK28" s="159">
        <v>2.5</v>
      </c>
      <c r="AL28" s="150">
        <v>0.09</v>
      </c>
      <c r="AM28" s="1">
        <v>450</v>
      </c>
      <c r="AN28" s="1">
        <v>650</v>
      </c>
      <c r="AO28" s="48">
        <v>2</v>
      </c>
      <c r="AP28" s="44">
        <v>70</v>
      </c>
      <c r="AQ28" s="42">
        <v>0.6</v>
      </c>
      <c r="AR28" s="1">
        <v>100</v>
      </c>
      <c r="AS28" s="1">
        <v>40</v>
      </c>
      <c r="AT28" s="1">
        <v>1</v>
      </c>
      <c r="AU28" s="4">
        <f t="shared" si="14"/>
        <v>2.5</v>
      </c>
      <c r="AV28" s="3">
        <f t="shared" si="15"/>
        <v>3.75</v>
      </c>
      <c r="AW28" s="1">
        <v>85</v>
      </c>
      <c r="AX28" s="3">
        <f t="shared" si="16"/>
        <v>2.13</v>
      </c>
      <c r="AY28" s="1">
        <v>1</v>
      </c>
      <c r="AZ28" s="4">
        <f t="shared" si="17"/>
        <v>2.13</v>
      </c>
      <c r="BA28" s="49">
        <v>0.9</v>
      </c>
      <c r="BB28" s="4">
        <f t="shared" si="18"/>
        <v>1.917</v>
      </c>
      <c r="BC28" s="50">
        <v>1.5626185206755967</v>
      </c>
      <c r="BD28" s="69">
        <f>IFERROR(
  MAX(0.05, MIN(0.5, CropNorms_BottleGourd[[#This Row],[Leaf_Area_Per_Shoot_m2]] * CropNorms_BottleGourd[[#This Row],[Shoot_Bearing_m2]] )),
  0.2
)</f>
        <v>0.5</v>
      </c>
      <c r="BE28" s="4">
        <f>_xlfn.XLOOKUP(CropNorms_BottleGourd[[#This Row],[LAI_Start_BBCH]], CropPhenology_BottleGourd[Sub_Stage], CropPhenology_BottleGourd[Start_GDD], "Not Found")</f>
        <v>131</v>
      </c>
      <c r="BF28" s="3">
        <f>ROUND(CropNorms_BottleGourd[[#This Row],[Shoot_Bearing_m2]]*CropNorms_BottleGourd[[#This Row],[Leaf_Area_Per_Shoot_m2]],2)</f>
        <v>3</v>
      </c>
      <c r="BG28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8" s="3">
        <f>IF(CropNorms_BottleGourd[[#This Row],[Max_LAI]]&gt;=1.2, 0.85*CropNorms_BottleGourd[[#This Row],[Max_LAI]], 1)</f>
        <v>2.5499999999999998</v>
      </c>
      <c r="BI28" s="41">
        <f>_xlfn.XLOOKUP(CropNorms_BottleGourd[[#This Row],[LAI_End_BBCH]], CropPhenology_BottleGourd[Sub_Stage], CropPhenology_BottleGourd[End_GDD], "Not Found")</f>
        <v>960</v>
      </c>
      <c r="BJ28" s="3" cm="1">
        <f t="array" ref="BJ28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8" s="3" cm="1">
        <f t="array" ref="BK28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8" s="3" cm="1">
        <f t="array" ref="BL28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8" s="3" cm="1">
        <f t="array" ref="BM28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" s="42">
        <v>0.2</v>
      </c>
      <c r="BO28" s="43">
        <v>0.9</v>
      </c>
      <c r="BP28" s="42">
        <v>25</v>
      </c>
      <c r="BQ28" s="43" t="s">
        <v>1741</v>
      </c>
      <c r="BR28" s="69" t="str" cm="1">
        <f t="array" ref="BR28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8" s="3" t="str" cm="1">
        <f t="array" ref="BS28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8" s="3" t="str" cm="1">
        <f t="array" ref="BT28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8" s="70" t="str" cm="1">
        <f t="array" ref="BU28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8" s="48">
        <v>50</v>
      </c>
      <c r="BW28" s="1">
        <v>20</v>
      </c>
      <c r="BX28" s="44">
        <v>30</v>
      </c>
      <c r="BY28" s="51">
        <v>45703</v>
      </c>
      <c r="BZ28" s="5">
        <v>45731</v>
      </c>
      <c r="CA28" s="85">
        <v>0</v>
      </c>
      <c r="CB28" s="2">
        <v>1</v>
      </c>
      <c r="CC28" s="2">
        <v>1</v>
      </c>
      <c r="CD28" s="2">
        <v>1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O28" s="1">
        <v>20</v>
      </c>
      <c r="CP28" s="27" t="s">
        <v>1775</v>
      </c>
      <c r="CQ28" s="27" t="s">
        <v>1769</v>
      </c>
      <c r="CR28" s="27" t="s">
        <v>1745</v>
      </c>
    </row>
    <row r="29" spans="2:101" ht="11.25" thickBot="1" x14ac:dyDescent="0.3">
      <c r="B29" s="36" t="s">
        <v>10</v>
      </c>
      <c r="C29" s="1" t="s">
        <v>18</v>
      </c>
      <c r="E29" s="1" t="s">
        <v>1992</v>
      </c>
      <c r="F29" s="1">
        <v>320</v>
      </c>
      <c r="K29" s="1" t="s">
        <v>1763</v>
      </c>
      <c r="L29" s="1" t="s">
        <v>1750</v>
      </c>
      <c r="M29" s="1" t="s">
        <v>362</v>
      </c>
      <c r="N29" s="6">
        <v>14</v>
      </c>
      <c r="O29" s="1" t="s">
        <v>4</v>
      </c>
      <c r="P29" s="1">
        <v>150</v>
      </c>
      <c r="Q29" s="1">
        <v>12</v>
      </c>
      <c r="R29" s="1">
        <v>10</v>
      </c>
      <c r="S29" s="1">
        <v>28</v>
      </c>
      <c r="T29" s="1">
        <v>35</v>
      </c>
      <c r="U29" s="254">
        <v>4</v>
      </c>
      <c r="V29" s="1">
        <v>50</v>
      </c>
      <c r="W29" s="44">
        <v>85</v>
      </c>
      <c r="X29" s="40">
        <f>_xlfn.XLOOKUP("Ripening", CropPhenology_BottleGourd[Main_Stage], CropPhenology_BottleGourd[Start_GDD], "Not Found")</f>
        <v>961</v>
      </c>
      <c r="Y29" s="4" cm="1">
        <f t="array" ref="Y29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Z29" s="3">
        <f t="shared" si="11"/>
        <v>17.652941176470588</v>
      </c>
      <c r="AA29" s="41">
        <f t="shared" si="12"/>
        <v>67.977340886371209</v>
      </c>
      <c r="AB29" s="1">
        <v>7</v>
      </c>
      <c r="AC29" s="1">
        <v>15</v>
      </c>
      <c r="AD29" s="1">
        <v>3</v>
      </c>
      <c r="AE29" s="1">
        <v>90</v>
      </c>
      <c r="AF29" s="1">
        <v>12</v>
      </c>
      <c r="AG29" s="1">
        <v>5</v>
      </c>
      <c r="AH29" s="3">
        <f t="shared" si="13"/>
        <v>3.5158774509803923</v>
      </c>
      <c r="AI29" s="1">
        <v>6</v>
      </c>
      <c r="AJ29" s="1">
        <v>7.5</v>
      </c>
      <c r="AK29" s="160">
        <v>2.5</v>
      </c>
      <c r="AL29" s="161">
        <v>0.09</v>
      </c>
      <c r="AM29" s="1">
        <v>450</v>
      </c>
      <c r="AN29" s="1">
        <v>650</v>
      </c>
      <c r="AO29" s="48">
        <v>2</v>
      </c>
      <c r="AP29" s="44">
        <v>70</v>
      </c>
      <c r="AQ29" s="42">
        <v>0.8</v>
      </c>
      <c r="AR29" s="1">
        <v>100</v>
      </c>
      <c r="AS29" s="1">
        <v>40</v>
      </c>
      <c r="AT29" s="1">
        <v>1</v>
      </c>
      <c r="AU29" s="4">
        <f t="shared" si="14"/>
        <v>2.5</v>
      </c>
      <c r="AV29" s="3">
        <f t="shared" si="15"/>
        <v>3.75</v>
      </c>
      <c r="AW29" s="1">
        <v>85</v>
      </c>
      <c r="AX29" s="3">
        <f t="shared" si="16"/>
        <v>2.13</v>
      </c>
      <c r="AY29" s="1">
        <v>1</v>
      </c>
      <c r="AZ29" s="4">
        <f t="shared" si="17"/>
        <v>2.13</v>
      </c>
      <c r="BA29" s="49">
        <v>0.9</v>
      </c>
      <c r="BB29" s="4">
        <f t="shared" si="18"/>
        <v>1.917</v>
      </c>
      <c r="BC29" s="50">
        <v>1.5626185206755967</v>
      </c>
      <c r="BD29" s="69">
        <f>IFERROR(
  MAX(0.05, MIN(0.5, CropNorms_BottleGourd[[#This Row],[Leaf_Area_Per_Shoot_m2]] * CropNorms_BottleGourd[[#This Row],[Shoot_Bearing_m2]] )),
  0.2
)</f>
        <v>0.5</v>
      </c>
      <c r="BE29" s="4">
        <f>_xlfn.XLOOKUP(CropNorms_BottleGourd[[#This Row],[LAI_Start_BBCH]], CropPhenology_BottleGourd[Sub_Stage], CropPhenology_BottleGourd[Start_GDD], "Not Found")</f>
        <v>131</v>
      </c>
      <c r="BF29" s="3">
        <f>ROUND(CropNorms_BottleGourd[[#This Row],[Shoot_Bearing_m2]]*CropNorms_BottleGourd[[#This Row],[Leaf_Area_Per_Shoot_m2]],2)</f>
        <v>3</v>
      </c>
      <c r="BG29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H29" s="3">
        <f>IF(CropNorms_BottleGourd[[#This Row],[Max_LAI]]&gt;=1.2, 0.85*CropNorms_BottleGourd[[#This Row],[Max_LAI]], 1)</f>
        <v>2.5499999999999998</v>
      </c>
      <c r="BI29" s="41">
        <f>_xlfn.XLOOKUP(CropNorms_BottleGourd[[#This Row],[LAI_End_BBCH]], CropPhenology_BottleGourd[Sub_Stage], CropPhenology_BottleGourd[End_GDD], "Not Found")</f>
        <v>960</v>
      </c>
      <c r="BJ29" s="3" cm="1">
        <f t="array" ref="BJ29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K29" s="3" cm="1">
        <f t="array" ref="BK29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L29" s="3" cm="1">
        <f t="array" ref="BL29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M29" s="3" cm="1">
        <f t="array" ref="BM29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" s="42">
        <v>0.2</v>
      </c>
      <c r="BO29" s="43">
        <v>0.9</v>
      </c>
      <c r="BP29" s="42">
        <v>25</v>
      </c>
      <c r="BQ29" s="43" t="s">
        <v>1741</v>
      </c>
      <c r="BR29" s="69" t="str" cm="1">
        <f t="array" ref="BR29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9" s="3" t="str" cm="1">
        <f t="array" ref="BS29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29" s="3" t="str" cm="1">
        <f t="array" ref="BT29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29" s="70" t="str" cm="1">
        <f t="array" ref="BU29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29" s="48">
        <v>50</v>
      </c>
      <c r="BW29" s="1">
        <v>20</v>
      </c>
      <c r="BX29" s="44">
        <v>30</v>
      </c>
      <c r="BY29" s="51">
        <v>45703</v>
      </c>
      <c r="BZ29" s="5">
        <v>45731</v>
      </c>
      <c r="CA29" s="85">
        <v>0</v>
      </c>
      <c r="CB29" s="2">
        <v>1</v>
      </c>
      <c r="CC29" s="2">
        <v>1</v>
      </c>
      <c r="CD29" s="2">
        <v>1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O29" s="1">
        <v>21</v>
      </c>
      <c r="CP29" s="27" t="s">
        <v>1669</v>
      </c>
      <c r="CQ29" s="27" t="s">
        <v>1748</v>
      </c>
      <c r="CR29" s="27" t="s">
        <v>1795</v>
      </c>
    </row>
    <row r="30" spans="2:101" ht="11.25" thickBot="1" x14ac:dyDescent="0.3">
      <c r="Y30" s="3"/>
      <c r="Z30" s="4"/>
      <c r="AG30" s="3"/>
      <c r="AR30" s="4"/>
      <c r="AS30" s="3"/>
      <c r="AU30" s="3"/>
      <c r="AW30" s="4"/>
      <c r="AX30" s="49"/>
      <c r="AY30" s="4"/>
      <c r="BV30" s="51"/>
      <c r="BW30" s="51"/>
      <c r="CO30" s="1">
        <v>22</v>
      </c>
      <c r="CP30" s="27" t="s">
        <v>1776</v>
      </c>
      <c r="CQ30" s="27" t="s">
        <v>1765</v>
      </c>
      <c r="CR30" s="27" t="s">
        <v>1798</v>
      </c>
    </row>
    <row r="31" spans="2:101" ht="11.25" thickBot="1" x14ac:dyDescent="0.3">
      <c r="B31" s="54" t="s">
        <v>1753</v>
      </c>
      <c r="C31" s="53" t="s">
        <v>1754</v>
      </c>
      <c r="D31" s="53" t="s">
        <v>1804</v>
      </c>
      <c r="E31" s="53" t="s">
        <v>1805</v>
      </c>
      <c r="F31" s="53" t="s">
        <v>1806</v>
      </c>
      <c r="G31" s="53" t="s">
        <v>1807</v>
      </c>
      <c r="H31" s="53" t="s">
        <v>1808</v>
      </c>
      <c r="I31" s="53" t="s">
        <v>1809</v>
      </c>
      <c r="J31" s="53" t="s">
        <v>1810</v>
      </c>
      <c r="K31" s="53" t="s">
        <v>1747</v>
      </c>
      <c r="L31" s="54" t="s">
        <v>1749</v>
      </c>
      <c r="M31" s="53" t="s">
        <v>357</v>
      </c>
      <c r="N31" s="55" t="s">
        <v>692</v>
      </c>
      <c r="O31" s="53" t="s">
        <v>325</v>
      </c>
      <c r="P31" s="53" t="s">
        <v>356</v>
      </c>
      <c r="Q31" s="53" t="s">
        <v>326</v>
      </c>
      <c r="R31" s="53" t="s">
        <v>327</v>
      </c>
      <c r="S31" s="53" t="s">
        <v>328</v>
      </c>
      <c r="T31" s="53" t="s">
        <v>329</v>
      </c>
      <c r="U31" s="250" t="s">
        <v>2349</v>
      </c>
      <c r="V31" s="53" t="s">
        <v>330</v>
      </c>
      <c r="W31" s="53" t="s">
        <v>331</v>
      </c>
      <c r="X31" s="56" t="s">
        <v>354</v>
      </c>
      <c r="Y31" s="57" t="s">
        <v>355</v>
      </c>
      <c r="Z31" s="58" t="s">
        <v>413</v>
      </c>
      <c r="AA31" s="59" t="s">
        <v>583</v>
      </c>
      <c r="AB31" s="53" t="s">
        <v>324</v>
      </c>
      <c r="AC31" s="53" t="s">
        <v>332</v>
      </c>
      <c r="AD31" s="53" t="s">
        <v>333</v>
      </c>
      <c r="AE31" s="53" t="s">
        <v>334</v>
      </c>
      <c r="AF31" s="53" t="s">
        <v>335</v>
      </c>
      <c r="AG31" s="53" t="s">
        <v>336</v>
      </c>
      <c r="AH31" s="60" t="s">
        <v>337</v>
      </c>
      <c r="AI31" s="53" t="s">
        <v>338</v>
      </c>
      <c r="AJ31" s="53" t="s">
        <v>339</v>
      </c>
      <c r="AK31" s="157" t="s">
        <v>2346</v>
      </c>
      <c r="AL31" s="158" t="s">
        <v>2347</v>
      </c>
      <c r="AM31" s="53" t="s">
        <v>340</v>
      </c>
      <c r="AN31" s="53" t="s">
        <v>341</v>
      </c>
      <c r="AO31" s="61" t="s">
        <v>342</v>
      </c>
      <c r="AP31" s="62" t="s">
        <v>343</v>
      </c>
      <c r="AQ31" s="55" t="s">
        <v>344</v>
      </c>
      <c r="AR31" s="53" t="s">
        <v>345</v>
      </c>
      <c r="AS31" s="53" t="s">
        <v>346</v>
      </c>
      <c r="AT31" s="53" t="s">
        <v>364</v>
      </c>
      <c r="AU31" s="60" t="s">
        <v>347</v>
      </c>
      <c r="AV31" s="58" t="s">
        <v>363</v>
      </c>
      <c r="AW31" s="53" t="s">
        <v>348</v>
      </c>
      <c r="AX31" s="58" t="s">
        <v>349</v>
      </c>
      <c r="AY31" s="53" t="s">
        <v>366</v>
      </c>
      <c r="AZ31" s="60" t="s">
        <v>350</v>
      </c>
      <c r="BA31" s="53" t="s">
        <v>365</v>
      </c>
      <c r="BB31" s="60" t="s">
        <v>1827</v>
      </c>
      <c r="BC31" s="63" t="s">
        <v>351</v>
      </c>
      <c r="BD31" s="71" t="s">
        <v>1811</v>
      </c>
      <c r="BE31" s="57" t="s">
        <v>352</v>
      </c>
      <c r="BF31" s="58" t="s">
        <v>1812</v>
      </c>
      <c r="BG31" s="57" t="s">
        <v>1752</v>
      </c>
      <c r="BH31" s="60" t="s">
        <v>1813</v>
      </c>
      <c r="BI31" s="59" t="s">
        <v>353</v>
      </c>
      <c r="BJ31" s="71" t="s">
        <v>1828</v>
      </c>
      <c r="BK31" s="58" t="s">
        <v>1829</v>
      </c>
      <c r="BL31" s="58" t="s">
        <v>1830</v>
      </c>
      <c r="BM31" s="72" t="s">
        <v>1831</v>
      </c>
      <c r="BN31" s="64" t="s">
        <v>1154</v>
      </c>
      <c r="BO31" s="65" t="s">
        <v>1742</v>
      </c>
      <c r="BP31" s="64" t="s">
        <v>1155</v>
      </c>
      <c r="BQ31" s="65" t="s">
        <v>1755</v>
      </c>
      <c r="BR31" s="71" t="s">
        <v>367</v>
      </c>
      <c r="BS31" s="58" t="s">
        <v>1751</v>
      </c>
      <c r="BT31" s="58" t="s">
        <v>368</v>
      </c>
      <c r="BU31" s="156" t="s">
        <v>1814</v>
      </c>
      <c r="BV31" s="61" t="s">
        <v>369</v>
      </c>
      <c r="BW31" s="53" t="s">
        <v>370</v>
      </c>
      <c r="BX31" s="62" t="s">
        <v>371</v>
      </c>
      <c r="BY31" s="53" t="s">
        <v>359</v>
      </c>
      <c r="BZ31" s="53" t="s">
        <v>361</v>
      </c>
      <c r="CA31" s="61" t="s">
        <v>1815</v>
      </c>
      <c r="CB31" s="53" t="s">
        <v>1816</v>
      </c>
      <c r="CC31" s="53" t="s">
        <v>1817</v>
      </c>
      <c r="CD31" s="53" t="s">
        <v>1818</v>
      </c>
      <c r="CE31" s="53" t="s">
        <v>1819</v>
      </c>
      <c r="CF31" s="53" t="s">
        <v>1820</v>
      </c>
      <c r="CG31" s="53" t="s">
        <v>1821</v>
      </c>
      <c r="CH31" s="53" t="s">
        <v>1822</v>
      </c>
      <c r="CI31" s="53" t="s">
        <v>1823</v>
      </c>
      <c r="CJ31" s="53" t="s">
        <v>1824</v>
      </c>
      <c r="CK31" s="53" t="s">
        <v>1825</v>
      </c>
      <c r="CL31" s="53" t="s">
        <v>1826</v>
      </c>
      <c r="CO31" s="1">
        <v>23</v>
      </c>
      <c r="CP31" s="27" t="s">
        <v>1334</v>
      </c>
      <c r="CQ31" s="27" t="s">
        <v>1777</v>
      </c>
      <c r="CR31" s="27" t="s">
        <v>1745</v>
      </c>
    </row>
    <row r="32" spans="2:101" x14ac:dyDescent="0.25">
      <c r="B32" s="36" t="s">
        <v>19</v>
      </c>
      <c r="C32" s="1" t="s">
        <v>20</v>
      </c>
      <c r="K32" s="1" t="s">
        <v>1763</v>
      </c>
      <c r="L32" s="1" t="s">
        <v>1750</v>
      </c>
      <c r="M32" s="1" t="s">
        <v>362</v>
      </c>
      <c r="N32" s="6">
        <v>14</v>
      </c>
      <c r="O32" s="1" t="s">
        <v>4</v>
      </c>
      <c r="P32" s="1">
        <v>150</v>
      </c>
      <c r="Q32" s="1">
        <v>15</v>
      </c>
      <c r="R32" s="1">
        <v>10</v>
      </c>
      <c r="S32" s="1">
        <v>30</v>
      </c>
      <c r="T32" s="1">
        <v>40</v>
      </c>
      <c r="U32" s="253">
        <v>4</v>
      </c>
      <c r="V32" s="1">
        <v>90</v>
      </c>
      <c r="W32" s="44">
        <v>130</v>
      </c>
      <c r="X32" s="40">
        <f>_xlfn.XLOOKUP("Ripening", CropPhenology_Brinjal[Main_Stage], CropPhenology_Brinjal[Start_GDD], "Not Found")</f>
        <v>1151</v>
      </c>
      <c r="Y32" s="4" cm="1">
        <f t="array" ref="Y32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2" s="3">
        <f t="shared" ref="Z32:Z48" si="19">MIN(Y32/V32,MAX(X32/W32,R32,(X32/W32+Y32/V32)/2))</f>
        <v>12.76025641025641</v>
      </c>
      <c r="AA32" s="41">
        <f t="shared" ref="AA32:AA48" si="20">Y32/Z32</f>
        <v>117.55249673465286</v>
      </c>
      <c r="AB32" s="1">
        <v>7.5</v>
      </c>
      <c r="AC32" s="1">
        <v>18</v>
      </c>
      <c r="AD32" s="1">
        <v>4</v>
      </c>
      <c r="AE32" s="1">
        <v>85</v>
      </c>
      <c r="AF32" s="1">
        <v>15</v>
      </c>
      <c r="AG32" s="1">
        <v>5</v>
      </c>
      <c r="AH32" s="3">
        <f t="shared" si="13"/>
        <v>2.9688863247863249</v>
      </c>
      <c r="AI32" s="1">
        <v>6</v>
      </c>
      <c r="AJ32" s="1">
        <v>7.5</v>
      </c>
      <c r="AK32" s="159">
        <v>1.5</v>
      </c>
      <c r="AL32" s="150">
        <v>0.1</v>
      </c>
      <c r="AM32" s="1">
        <v>500</v>
      </c>
      <c r="AN32" s="1">
        <v>600</v>
      </c>
      <c r="AO32" s="48">
        <v>1.5</v>
      </c>
      <c r="AP32" s="44">
        <v>80</v>
      </c>
      <c r="AQ32" s="42">
        <v>0.75</v>
      </c>
      <c r="AR32" s="1">
        <v>75</v>
      </c>
      <c r="AS32" s="1">
        <v>45</v>
      </c>
      <c r="AT32" s="1">
        <v>1</v>
      </c>
      <c r="AU32" s="4">
        <f t="shared" ref="AU32:AU83" si="21">IFERROR(10000/(AS32*AR32),0)*AT32</f>
        <v>2.9629629629629628</v>
      </c>
      <c r="AV32" s="3">
        <f t="shared" ref="AV32:AV48" si="22">ROUND((P32/1000000)*AU32*10000,2)</f>
        <v>4.4400000000000004</v>
      </c>
      <c r="AW32" s="1">
        <v>85</v>
      </c>
      <c r="AX32" s="3">
        <f t="shared" ref="AX32:AX48" si="23">ROUND(AU32*AW32/100,2)</f>
        <v>2.52</v>
      </c>
      <c r="AY32" s="1">
        <v>3</v>
      </c>
      <c r="AZ32" s="4">
        <f t="shared" ref="AZ32" si="24">IFERROR(AX32*AY32,0)</f>
        <v>7.5600000000000005</v>
      </c>
      <c r="BA32" s="49">
        <v>0.9</v>
      </c>
      <c r="BB32" s="4">
        <f t="shared" ref="BB32:BB83" si="25">IFERROR(AZ32*BA32,0)</f>
        <v>6.8040000000000003</v>
      </c>
      <c r="BC32" s="50">
        <v>0.44104411764705886</v>
      </c>
      <c r="BD32" s="69">
        <f>IFERROR(
  MAX(0.05, MIN(0.5, CropNorms_Brinjal[[#This Row],[Leaf_Area_Per_Shoot_m2]] * CropNorms_Brinjal[[#This Row],[Shoot_Bearing_m2]] )),
  0.2
)</f>
        <v>0.5</v>
      </c>
      <c r="BE32" s="4">
        <f>_xlfn.XLOOKUP(CropNorms_Brinjal[[#This Row],[LAI_Start_BBCH]], CropPhenology_Brinjal[Sub_Stage], CropPhenology_Brinjal[Start_GDD], "Not Found")</f>
        <v>121</v>
      </c>
      <c r="BF32" s="3">
        <f>ROUND(CropNorms_Brinjal[[#This Row],[Shoot_Bearing_m2]]*CropNorms_Brinjal[[#This Row],[Leaf_Area_Per_Shoot_m2]],2)</f>
        <v>3</v>
      </c>
      <c r="BG32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2" s="3">
        <f>IF(CropNorms_Brinjal[[#This Row],[Max_LAI]]&gt;=1.2, 0.85*CropNorms_Brinjal[[#This Row],[Max_LAI]], 1)</f>
        <v>2.5499999999999998</v>
      </c>
      <c r="BI32" s="41">
        <f>_xlfn.XLOOKUP(CropNorms_Brinjal[[#This Row],[LAI_End_BBCH]], CropPhenology_Brinjal[Sub_Stage], CropPhenology_Brinjal[End_GDD], "Not Found")</f>
        <v>1150</v>
      </c>
      <c r="BJ32" s="3" cm="1">
        <f t="array" ref="BJ32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2" s="3" cm="1">
        <f t="array" ref="BK3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2" s="3" cm="1">
        <f t="array" ref="BL32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2" s="3" cm="1">
        <f t="array" ref="BM3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" s="42">
        <v>0.3</v>
      </c>
      <c r="BO32" s="43">
        <v>0.85</v>
      </c>
      <c r="BP32" s="42">
        <v>17</v>
      </c>
      <c r="BQ32" s="43" t="s">
        <v>1741</v>
      </c>
      <c r="BR32" s="69" t="str" cm="1">
        <f t="array" ref="BR3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" s="3" t="str" cm="1">
        <f t="array" ref="BS3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2" s="3" t="str" cm="1">
        <f t="array" ref="BT32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2" s="70" t="str" cm="1">
        <f t="array" ref="BU32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2" s="48">
        <v>75</v>
      </c>
      <c r="BW32" s="1">
        <v>30</v>
      </c>
      <c r="BX32" s="44">
        <v>40</v>
      </c>
      <c r="BY32" s="51">
        <v>45703</v>
      </c>
      <c r="BZ32" s="5">
        <v>45731</v>
      </c>
      <c r="CA32" s="85">
        <v>0</v>
      </c>
      <c r="CB32" s="2">
        <v>0</v>
      </c>
      <c r="CC32" s="2">
        <v>1</v>
      </c>
      <c r="CD32" s="2">
        <v>1</v>
      </c>
      <c r="CE32" s="2">
        <v>1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O32" s="1">
        <v>24</v>
      </c>
      <c r="CP32" s="27" t="s">
        <v>1778</v>
      </c>
      <c r="CQ32" s="27" t="s">
        <v>1765</v>
      </c>
      <c r="CR32" s="27" t="s">
        <v>1795</v>
      </c>
    </row>
    <row r="33" spans="2:96" x14ac:dyDescent="0.25">
      <c r="B33" s="36" t="s">
        <v>19</v>
      </c>
      <c r="C33" s="1" t="s">
        <v>21</v>
      </c>
      <c r="K33" s="1" t="s">
        <v>1763</v>
      </c>
      <c r="L33" s="1" t="s">
        <v>1750</v>
      </c>
      <c r="M33" s="1" t="s">
        <v>362</v>
      </c>
      <c r="N33" s="6">
        <v>14</v>
      </c>
      <c r="O33" s="1" t="s">
        <v>4</v>
      </c>
      <c r="P33" s="1">
        <v>150</v>
      </c>
      <c r="Q33" s="1">
        <v>15</v>
      </c>
      <c r="R33" s="1">
        <v>10</v>
      </c>
      <c r="S33" s="1">
        <v>30</v>
      </c>
      <c r="T33" s="1">
        <v>40</v>
      </c>
      <c r="U33" s="253">
        <v>4</v>
      </c>
      <c r="V33" s="1">
        <v>90</v>
      </c>
      <c r="W33" s="44">
        <v>130</v>
      </c>
      <c r="X33" s="40">
        <f>_xlfn.XLOOKUP("Ripening", CropPhenology_Brinjal[Main_Stage], CropPhenology_Brinjal[Start_GDD], "Not Found")</f>
        <v>1151</v>
      </c>
      <c r="Y33" s="4" cm="1">
        <f t="array" ref="Y33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3" s="3">
        <f t="shared" si="19"/>
        <v>12.76025641025641</v>
      </c>
      <c r="AA33" s="41">
        <f t="shared" si="20"/>
        <v>117.55249673465286</v>
      </c>
      <c r="AB33" s="1">
        <v>7.5</v>
      </c>
      <c r="AC33" s="1">
        <v>18</v>
      </c>
      <c r="AD33" s="1">
        <v>4</v>
      </c>
      <c r="AE33" s="1">
        <v>85</v>
      </c>
      <c r="AF33" s="1">
        <v>15</v>
      </c>
      <c r="AG33" s="1">
        <v>5</v>
      </c>
      <c r="AH33" s="3">
        <f t="shared" si="13"/>
        <v>2.9688863247863249</v>
      </c>
      <c r="AI33" s="1">
        <v>6</v>
      </c>
      <c r="AJ33" s="1">
        <v>7.5</v>
      </c>
      <c r="AK33" s="159">
        <v>1.5</v>
      </c>
      <c r="AL33" s="150">
        <v>0.1</v>
      </c>
      <c r="AM33" s="1">
        <v>500</v>
      </c>
      <c r="AN33" s="1">
        <v>600</v>
      </c>
      <c r="AO33" s="48">
        <v>1.5</v>
      </c>
      <c r="AP33" s="44">
        <v>80</v>
      </c>
      <c r="AQ33" s="42">
        <v>0.75</v>
      </c>
      <c r="AR33" s="1">
        <v>75</v>
      </c>
      <c r="AS33" s="1">
        <v>45</v>
      </c>
      <c r="AT33" s="1">
        <v>1</v>
      </c>
      <c r="AU33" s="4">
        <f t="shared" si="21"/>
        <v>2.9629629629629628</v>
      </c>
      <c r="AV33" s="3">
        <f t="shared" si="22"/>
        <v>4.4400000000000004</v>
      </c>
      <c r="AW33" s="1">
        <v>85</v>
      </c>
      <c r="AX33" s="3">
        <f t="shared" si="23"/>
        <v>2.52</v>
      </c>
      <c r="AY33" s="1">
        <v>3</v>
      </c>
      <c r="AZ33" s="4">
        <f t="shared" ref="AZ33:AZ48" si="26">IFERROR(AX33*AY33,0)</f>
        <v>7.5600000000000005</v>
      </c>
      <c r="BA33" s="49">
        <v>0.9</v>
      </c>
      <c r="BB33" s="4">
        <f t="shared" si="25"/>
        <v>6.8040000000000003</v>
      </c>
      <c r="BC33" s="50">
        <v>0.44104411764705886</v>
      </c>
      <c r="BD33" s="69">
        <f>IFERROR(
  MAX(0.05, MIN(0.5, CropNorms_Brinjal[[#This Row],[Leaf_Area_Per_Shoot_m2]] * CropNorms_Brinjal[[#This Row],[Shoot_Bearing_m2]] )),
  0.2
)</f>
        <v>0.5</v>
      </c>
      <c r="BE33" s="4">
        <f>_xlfn.XLOOKUP(CropNorms_Brinjal[[#This Row],[LAI_Start_BBCH]], CropPhenology_Brinjal[Sub_Stage], CropPhenology_Brinjal[Start_GDD], "Not Found")</f>
        <v>121</v>
      </c>
      <c r="BF33" s="3">
        <f>ROUND(CropNorms_Brinjal[[#This Row],[Shoot_Bearing_m2]]*CropNorms_Brinjal[[#This Row],[Leaf_Area_Per_Shoot_m2]],2)</f>
        <v>3</v>
      </c>
      <c r="BG33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3" s="3">
        <f>IF(CropNorms_Brinjal[[#This Row],[Max_LAI]]&gt;=1.2, 0.85*CropNorms_Brinjal[[#This Row],[Max_LAI]], 1)</f>
        <v>2.5499999999999998</v>
      </c>
      <c r="BI33" s="41">
        <f>_xlfn.XLOOKUP(CropNorms_Brinjal[[#This Row],[LAI_End_BBCH]], CropPhenology_Brinjal[Sub_Stage], CropPhenology_Brinjal[End_GDD], "Not Found")</f>
        <v>1150</v>
      </c>
      <c r="BJ33" s="3" cm="1">
        <f t="array" ref="BJ33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3" s="3" cm="1">
        <f t="array" ref="BK3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3" s="3" cm="1">
        <f t="array" ref="BL33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3" s="3" cm="1">
        <f t="array" ref="BM3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" s="42">
        <v>0.3</v>
      </c>
      <c r="BO33" s="43">
        <v>0.85</v>
      </c>
      <c r="BP33" s="42">
        <v>17</v>
      </c>
      <c r="BQ33" s="43" t="s">
        <v>1741</v>
      </c>
      <c r="BR33" s="69" t="str" cm="1">
        <f t="array" ref="BR3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3" s="3" t="str" cm="1">
        <f t="array" ref="BS3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3" s="3" t="str" cm="1">
        <f t="array" ref="BT33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3" s="70" t="str" cm="1">
        <f t="array" ref="BU33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3" s="48">
        <v>75</v>
      </c>
      <c r="BW33" s="1">
        <v>30</v>
      </c>
      <c r="BX33" s="44">
        <v>40</v>
      </c>
      <c r="BY33" s="51">
        <v>45703</v>
      </c>
      <c r="BZ33" s="5">
        <v>45731</v>
      </c>
      <c r="CA33" s="85">
        <v>0</v>
      </c>
      <c r="CB33" s="2">
        <v>0</v>
      </c>
      <c r="CC33" s="2">
        <v>1</v>
      </c>
      <c r="CD33" s="2">
        <v>1</v>
      </c>
      <c r="CE33" s="2">
        <v>1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O33" s="1">
        <v>25</v>
      </c>
      <c r="CP33" s="27" t="s">
        <v>847</v>
      </c>
      <c r="CQ33" s="27" t="s">
        <v>1765</v>
      </c>
      <c r="CR33" s="27" t="s">
        <v>1795</v>
      </c>
    </row>
    <row r="34" spans="2:96" x14ac:dyDescent="0.25">
      <c r="B34" s="36" t="s">
        <v>19</v>
      </c>
      <c r="C34" s="1" t="s">
        <v>22</v>
      </c>
      <c r="K34" s="1" t="s">
        <v>1763</v>
      </c>
      <c r="L34" s="1" t="s">
        <v>1750</v>
      </c>
      <c r="M34" s="1" t="s">
        <v>362</v>
      </c>
      <c r="N34" s="6">
        <v>14</v>
      </c>
      <c r="O34" s="1" t="s">
        <v>4</v>
      </c>
      <c r="P34" s="1">
        <v>150</v>
      </c>
      <c r="Q34" s="1">
        <v>15</v>
      </c>
      <c r="R34" s="1">
        <v>10</v>
      </c>
      <c r="S34" s="1">
        <v>30</v>
      </c>
      <c r="T34" s="1">
        <v>40</v>
      </c>
      <c r="U34" s="253">
        <v>4</v>
      </c>
      <c r="V34" s="1">
        <v>90</v>
      </c>
      <c r="W34" s="44">
        <v>130</v>
      </c>
      <c r="X34" s="40">
        <f>_xlfn.XLOOKUP("Ripening", CropPhenology_Brinjal[Main_Stage], CropPhenology_Brinjal[Start_GDD], "Not Found")</f>
        <v>1151</v>
      </c>
      <c r="Y34" s="4" cm="1">
        <f t="array" ref="Y34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4" s="3">
        <f t="shared" si="19"/>
        <v>12.76025641025641</v>
      </c>
      <c r="AA34" s="41">
        <f t="shared" si="20"/>
        <v>117.55249673465286</v>
      </c>
      <c r="AB34" s="1">
        <v>7.5</v>
      </c>
      <c r="AC34" s="1">
        <v>18</v>
      </c>
      <c r="AD34" s="1">
        <v>4</v>
      </c>
      <c r="AE34" s="1">
        <v>85</v>
      </c>
      <c r="AF34" s="1">
        <v>15</v>
      </c>
      <c r="AG34" s="1">
        <v>5</v>
      </c>
      <c r="AH34" s="3">
        <f t="shared" si="13"/>
        <v>2.9688863247863249</v>
      </c>
      <c r="AI34" s="1">
        <v>6</v>
      </c>
      <c r="AJ34" s="1">
        <v>7.5</v>
      </c>
      <c r="AK34" s="159">
        <v>1.5</v>
      </c>
      <c r="AL34" s="150">
        <v>0.1</v>
      </c>
      <c r="AM34" s="1">
        <v>500</v>
      </c>
      <c r="AN34" s="1">
        <v>600</v>
      </c>
      <c r="AO34" s="48">
        <v>1.5</v>
      </c>
      <c r="AP34" s="44">
        <v>80</v>
      </c>
      <c r="AQ34" s="42">
        <v>0.75</v>
      </c>
      <c r="AR34" s="1">
        <v>75</v>
      </c>
      <c r="AS34" s="1">
        <v>45</v>
      </c>
      <c r="AT34" s="1">
        <v>1</v>
      </c>
      <c r="AU34" s="4">
        <f t="shared" si="21"/>
        <v>2.9629629629629628</v>
      </c>
      <c r="AV34" s="3">
        <f t="shared" si="22"/>
        <v>4.4400000000000004</v>
      </c>
      <c r="AW34" s="1">
        <v>85</v>
      </c>
      <c r="AX34" s="3">
        <f t="shared" si="23"/>
        <v>2.52</v>
      </c>
      <c r="AY34" s="1">
        <v>3</v>
      </c>
      <c r="AZ34" s="4">
        <f t="shared" si="26"/>
        <v>7.5600000000000005</v>
      </c>
      <c r="BA34" s="49">
        <v>0.9</v>
      </c>
      <c r="BB34" s="4">
        <f t="shared" si="25"/>
        <v>6.8040000000000003</v>
      </c>
      <c r="BC34" s="50">
        <v>0.44104411764705886</v>
      </c>
      <c r="BD34" s="69">
        <f>IFERROR(
  MAX(0.05, MIN(0.5, CropNorms_Brinjal[[#This Row],[Leaf_Area_Per_Shoot_m2]] * CropNorms_Brinjal[[#This Row],[Shoot_Bearing_m2]] )),
  0.2
)</f>
        <v>0.5</v>
      </c>
      <c r="BE34" s="4">
        <f>_xlfn.XLOOKUP(CropNorms_Brinjal[[#This Row],[LAI_Start_BBCH]], CropPhenology_Brinjal[Sub_Stage], CropPhenology_Brinjal[Start_GDD], "Not Found")</f>
        <v>121</v>
      </c>
      <c r="BF34" s="3">
        <f>ROUND(CropNorms_Brinjal[[#This Row],[Shoot_Bearing_m2]]*CropNorms_Brinjal[[#This Row],[Leaf_Area_Per_Shoot_m2]],2)</f>
        <v>3</v>
      </c>
      <c r="BG34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4" s="3">
        <f>IF(CropNorms_Brinjal[[#This Row],[Max_LAI]]&gt;=1.2, 0.85*CropNorms_Brinjal[[#This Row],[Max_LAI]], 1)</f>
        <v>2.5499999999999998</v>
      </c>
      <c r="BI34" s="41">
        <f>_xlfn.XLOOKUP(CropNorms_Brinjal[[#This Row],[LAI_End_BBCH]], CropPhenology_Brinjal[Sub_Stage], CropPhenology_Brinjal[End_GDD], "Not Found")</f>
        <v>1150</v>
      </c>
      <c r="BJ34" s="3" cm="1">
        <f t="array" ref="BJ34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4" s="3" cm="1">
        <f t="array" ref="BK3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4" s="3" cm="1">
        <f t="array" ref="BL34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4" s="3" cm="1">
        <f t="array" ref="BM3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" s="42">
        <v>0.3</v>
      </c>
      <c r="BO34" s="43">
        <v>0.85</v>
      </c>
      <c r="BP34" s="42">
        <v>17</v>
      </c>
      <c r="BQ34" s="43" t="s">
        <v>1741</v>
      </c>
      <c r="BR34" s="69" t="str" cm="1">
        <f t="array" ref="BR3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" s="3" t="str" cm="1">
        <f t="array" ref="BS3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4" s="3" t="str" cm="1">
        <f t="array" ref="BT34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4" s="70" t="str" cm="1">
        <f t="array" ref="BU34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4" s="48">
        <v>75</v>
      </c>
      <c r="BW34" s="1">
        <v>30</v>
      </c>
      <c r="BX34" s="44">
        <v>40</v>
      </c>
      <c r="BY34" s="51">
        <v>45703</v>
      </c>
      <c r="BZ34" s="5">
        <v>45731</v>
      </c>
      <c r="CA34" s="85">
        <v>0</v>
      </c>
      <c r="CB34" s="2">
        <v>0</v>
      </c>
      <c r="CC34" s="2">
        <v>1</v>
      </c>
      <c r="CD34" s="2">
        <v>1</v>
      </c>
      <c r="CE34" s="2">
        <v>1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O34" s="1">
        <v>26</v>
      </c>
      <c r="CP34" s="27" t="s">
        <v>849</v>
      </c>
      <c r="CQ34" s="27" t="s">
        <v>1748</v>
      </c>
      <c r="CR34" s="27" t="s">
        <v>1795</v>
      </c>
    </row>
    <row r="35" spans="2:96" x14ac:dyDescent="0.25">
      <c r="B35" s="36" t="s">
        <v>19</v>
      </c>
      <c r="C35" s="1" t="s">
        <v>23</v>
      </c>
      <c r="K35" s="1" t="s">
        <v>1763</v>
      </c>
      <c r="L35" s="1" t="s">
        <v>1750</v>
      </c>
      <c r="M35" s="1" t="s">
        <v>362</v>
      </c>
      <c r="N35" s="6">
        <v>14</v>
      </c>
      <c r="O35" s="1" t="s">
        <v>4</v>
      </c>
      <c r="P35" s="1">
        <v>150</v>
      </c>
      <c r="Q35" s="1">
        <v>15</v>
      </c>
      <c r="R35" s="1">
        <v>10</v>
      </c>
      <c r="S35" s="1">
        <v>30</v>
      </c>
      <c r="T35" s="1">
        <v>40</v>
      </c>
      <c r="U35" s="253">
        <v>4</v>
      </c>
      <c r="V35" s="1">
        <v>90</v>
      </c>
      <c r="W35" s="44">
        <v>130</v>
      </c>
      <c r="X35" s="40">
        <f>_xlfn.XLOOKUP("Ripening", CropPhenology_Brinjal[Main_Stage], CropPhenology_Brinjal[Start_GDD], "Not Found")</f>
        <v>1151</v>
      </c>
      <c r="Y35" s="4" cm="1">
        <f t="array" ref="Y35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5" s="3">
        <f t="shared" si="19"/>
        <v>12.76025641025641</v>
      </c>
      <c r="AA35" s="41">
        <f t="shared" si="20"/>
        <v>117.55249673465286</v>
      </c>
      <c r="AB35" s="1">
        <v>7.5</v>
      </c>
      <c r="AC35" s="1">
        <v>18</v>
      </c>
      <c r="AD35" s="1">
        <v>4</v>
      </c>
      <c r="AE35" s="1">
        <v>85</v>
      </c>
      <c r="AF35" s="1">
        <v>15</v>
      </c>
      <c r="AG35" s="1">
        <v>5</v>
      </c>
      <c r="AH35" s="3">
        <f t="shared" si="13"/>
        <v>2.9688863247863249</v>
      </c>
      <c r="AI35" s="1">
        <v>6</v>
      </c>
      <c r="AJ35" s="1">
        <v>7.5</v>
      </c>
      <c r="AK35" s="159">
        <v>1.5</v>
      </c>
      <c r="AL35" s="150">
        <v>0.1</v>
      </c>
      <c r="AM35" s="1">
        <v>500</v>
      </c>
      <c r="AN35" s="1">
        <v>600</v>
      </c>
      <c r="AO35" s="48">
        <v>1.5</v>
      </c>
      <c r="AP35" s="44">
        <v>80</v>
      </c>
      <c r="AQ35" s="42">
        <v>0.75</v>
      </c>
      <c r="AR35" s="1">
        <v>75</v>
      </c>
      <c r="AS35" s="1">
        <v>45</v>
      </c>
      <c r="AT35" s="1">
        <v>1</v>
      </c>
      <c r="AU35" s="4">
        <f t="shared" si="21"/>
        <v>2.9629629629629628</v>
      </c>
      <c r="AV35" s="3">
        <f t="shared" si="22"/>
        <v>4.4400000000000004</v>
      </c>
      <c r="AW35" s="1">
        <v>85</v>
      </c>
      <c r="AX35" s="3">
        <f t="shared" si="23"/>
        <v>2.52</v>
      </c>
      <c r="AY35" s="1">
        <v>3</v>
      </c>
      <c r="AZ35" s="4">
        <f t="shared" si="26"/>
        <v>7.5600000000000005</v>
      </c>
      <c r="BA35" s="49">
        <v>0.9</v>
      </c>
      <c r="BB35" s="4">
        <f t="shared" si="25"/>
        <v>6.8040000000000003</v>
      </c>
      <c r="BC35" s="50">
        <v>0.44104411764705886</v>
      </c>
      <c r="BD35" s="69">
        <f>IFERROR(
  MAX(0.05, MIN(0.5, CropNorms_Brinjal[[#This Row],[Leaf_Area_Per_Shoot_m2]] * CropNorms_Brinjal[[#This Row],[Shoot_Bearing_m2]] )),
  0.2
)</f>
        <v>0.5</v>
      </c>
      <c r="BE35" s="4">
        <f>_xlfn.XLOOKUP(CropNorms_Brinjal[[#This Row],[LAI_Start_BBCH]], CropPhenology_Brinjal[Sub_Stage], CropPhenology_Brinjal[Start_GDD], "Not Found")</f>
        <v>121</v>
      </c>
      <c r="BF35" s="3">
        <f>ROUND(CropNorms_Brinjal[[#This Row],[Shoot_Bearing_m2]]*CropNorms_Brinjal[[#This Row],[Leaf_Area_Per_Shoot_m2]],2)</f>
        <v>3</v>
      </c>
      <c r="BG35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5" s="3">
        <f>IF(CropNorms_Brinjal[[#This Row],[Max_LAI]]&gt;=1.2, 0.85*CropNorms_Brinjal[[#This Row],[Max_LAI]], 1)</f>
        <v>2.5499999999999998</v>
      </c>
      <c r="BI35" s="41">
        <f>_xlfn.XLOOKUP(CropNorms_Brinjal[[#This Row],[LAI_End_BBCH]], CropPhenology_Brinjal[Sub_Stage], CropPhenology_Brinjal[End_GDD], "Not Found")</f>
        <v>1150</v>
      </c>
      <c r="BJ35" s="3" cm="1">
        <f t="array" ref="BJ35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5" s="3" cm="1">
        <f t="array" ref="BK3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5" s="3" cm="1">
        <f t="array" ref="BL35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5" s="3" cm="1">
        <f t="array" ref="BM3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" s="42">
        <v>0.3</v>
      </c>
      <c r="BO35" s="43">
        <v>0.85</v>
      </c>
      <c r="BP35" s="42">
        <v>17</v>
      </c>
      <c r="BQ35" s="43" t="s">
        <v>1741</v>
      </c>
      <c r="BR35" s="69" t="str" cm="1">
        <f t="array" ref="BR3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" s="3" t="str" cm="1">
        <f t="array" ref="BS3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5" s="3" t="str" cm="1">
        <f t="array" ref="BT35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5" s="70" t="str" cm="1">
        <f t="array" ref="BU35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5" s="48">
        <v>75</v>
      </c>
      <c r="BW35" s="1">
        <v>30</v>
      </c>
      <c r="BX35" s="44">
        <v>40</v>
      </c>
      <c r="BY35" s="51">
        <v>45703</v>
      </c>
      <c r="BZ35" s="5">
        <v>45731</v>
      </c>
      <c r="CA35" s="85">
        <v>0</v>
      </c>
      <c r="CB35" s="2">
        <v>0</v>
      </c>
      <c r="CC35" s="2">
        <v>1</v>
      </c>
      <c r="CD35" s="2">
        <v>1</v>
      </c>
      <c r="CE35" s="2">
        <v>1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O35" s="1">
        <v>27</v>
      </c>
      <c r="CP35" s="27" t="s">
        <v>900</v>
      </c>
      <c r="CQ35" s="27" t="s">
        <v>1765</v>
      </c>
      <c r="CR35" s="27" t="s">
        <v>1795</v>
      </c>
    </row>
    <row r="36" spans="2:96" x14ac:dyDescent="0.25">
      <c r="B36" s="36" t="s">
        <v>19</v>
      </c>
      <c r="C36" s="1" t="s">
        <v>24</v>
      </c>
      <c r="K36" s="1" t="s">
        <v>1763</v>
      </c>
      <c r="L36" s="1" t="s">
        <v>1750</v>
      </c>
      <c r="M36" s="1" t="s">
        <v>362</v>
      </c>
      <c r="N36" s="6">
        <v>14</v>
      </c>
      <c r="O36" s="1" t="s">
        <v>4</v>
      </c>
      <c r="P36" s="1">
        <v>150</v>
      </c>
      <c r="Q36" s="1">
        <v>15</v>
      </c>
      <c r="R36" s="1">
        <v>10</v>
      </c>
      <c r="S36" s="1">
        <v>30</v>
      </c>
      <c r="T36" s="1">
        <v>40</v>
      </c>
      <c r="U36" s="253">
        <v>4</v>
      </c>
      <c r="V36" s="1">
        <v>90</v>
      </c>
      <c r="W36" s="44">
        <v>130</v>
      </c>
      <c r="X36" s="40">
        <f>_xlfn.XLOOKUP("Ripening", CropPhenology_Brinjal[Main_Stage], CropPhenology_Brinjal[Start_GDD], "Not Found")</f>
        <v>1151</v>
      </c>
      <c r="Y36" s="4" cm="1">
        <f t="array" ref="Y36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6" s="3">
        <f t="shared" si="19"/>
        <v>12.76025641025641</v>
      </c>
      <c r="AA36" s="41">
        <f t="shared" si="20"/>
        <v>117.55249673465286</v>
      </c>
      <c r="AB36" s="1">
        <v>7.5</v>
      </c>
      <c r="AC36" s="1">
        <v>18</v>
      </c>
      <c r="AD36" s="1">
        <v>4</v>
      </c>
      <c r="AE36" s="1">
        <v>85</v>
      </c>
      <c r="AF36" s="1">
        <v>15</v>
      </c>
      <c r="AG36" s="1">
        <v>5</v>
      </c>
      <c r="AH36" s="3">
        <f t="shared" si="13"/>
        <v>2.9688863247863249</v>
      </c>
      <c r="AI36" s="1">
        <v>6</v>
      </c>
      <c r="AJ36" s="1">
        <v>7.5</v>
      </c>
      <c r="AK36" s="159">
        <v>1.5</v>
      </c>
      <c r="AL36" s="150">
        <v>0.1</v>
      </c>
      <c r="AM36" s="1">
        <v>500</v>
      </c>
      <c r="AN36" s="1">
        <v>600</v>
      </c>
      <c r="AO36" s="48">
        <v>1.5</v>
      </c>
      <c r="AP36" s="44">
        <v>80</v>
      </c>
      <c r="AQ36" s="42">
        <v>0.75</v>
      </c>
      <c r="AR36" s="1">
        <v>75</v>
      </c>
      <c r="AS36" s="1">
        <v>45</v>
      </c>
      <c r="AT36" s="1">
        <v>1</v>
      </c>
      <c r="AU36" s="4">
        <f t="shared" si="21"/>
        <v>2.9629629629629628</v>
      </c>
      <c r="AV36" s="3">
        <f t="shared" si="22"/>
        <v>4.4400000000000004</v>
      </c>
      <c r="AW36" s="1">
        <v>85</v>
      </c>
      <c r="AX36" s="3">
        <f t="shared" si="23"/>
        <v>2.52</v>
      </c>
      <c r="AY36" s="1">
        <v>3</v>
      </c>
      <c r="AZ36" s="4">
        <f t="shared" si="26"/>
        <v>7.5600000000000005</v>
      </c>
      <c r="BA36" s="49">
        <v>0.9</v>
      </c>
      <c r="BB36" s="4">
        <f t="shared" si="25"/>
        <v>6.8040000000000003</v>
      </c>
      <c r="BC36" s="50">
        <v>0.44104411764705886</v>
      </c>
      <c r="BD36" s="69">
        <f>IFERROR(
  MAX(0.05, MIN(0.5, CropNorms_Brinjal[[#This Row],[Leaf_Area_Per_Shoot_m2]] * CropNorms_Brinjal[[#This Row],[Shoot_Bearing_m2]] )),
  0.2
)</f>
        <v>0.5</v>
      </c>
      <c r="BE36" s="4">
        <f>_xlfn.XLOOKUP(CropNorms_Brinjal[[#This Row],[LAI_Start_BBCH]], CropPhenology_Brinjal[Sub_Stage], CropPhenology_Brinjal[Start_GDD], "Not Found")</f>
        <v>121</v>
      </c>
      <c r="BF36" s="3">
        <f>ROUND(CropNorms_Brinjal[[#This Row],[Shoot_Bearing_m2]]*CropNorms_Brinjal[[#This Row],[Leaf_Area_Per_Shoot_m2]],2)</f>
        <v>3</v>
      </c>
      <c r="BG36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6" s="3">
        <f>IF(CropNorms_Brinjal[[#This Row],[Max_LAI]]&gt;=1.2, 0.85*CropNorms_Brinjal[[#This Row],[Max_LAI]], 1)</f>
        <v>2.5499999999999998</v>
      </c>
      <c r="BI36" s="41">
        <f>_xlfn.XLOOKUP(CropNorms_Brinjal[[#This Row],[LAI_End_BBCH]], CropPhenology_Brinjal[Sub_Stage], CropPhenology_Brinjal[End_GDD], "Not Found")</f>
        <v>1150</v>
      </c>
      <c r="BJ36" s="3" cm="1">
        <f t="array" ref="BJ36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6" s="3" cm="1">
        <f t="array" ref="BK3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6" s="3" cm="1">
        <f t="array" ref="BL36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6" s="3" cm="1">
        <f t="array" ref="BM3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" s="42">
        <v>0.3</v>
      </c>
      <c r="BO36" s="43">
        <v>0.85</v>
      </c>
      <c r="BP36" s="42">
        <v>17</v>
      </c>
      <c r="BQ36" s="43" t="s">
        <v>1741</v>
      </c>
      <c r="BR36" s="69" t="str" cm="1">
        <f t="array" ref="BR3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" s="3" t="str" cm="1">
        <f t="array" ref="BS3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6" s="3" t="str" cm="1">
        <f t="array" ref="BT36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6" s="70" t="str" cm="1">
        <f t="array" ref="BU36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6" s="48">
        <v>75</v>
      </c>
      <c r="BW36" s="1">
        <v>30</v>
      </c>
      <c r="BX36" s="44">
        <v>40</v>
      </c>
      <c r="BY36" s="51">
        <v>45703</v>
      </c>
      <c r="BZ36" s="5">
        <v>45731</v>
      </c>
      <c r="CA36" s="85">
        <v>0</v>
      </c>
      <c r="CB36" s="2">
        <v>0</v>
      </c>
      <c r="CC36" s="2">
        <v>1</v>
      </c>
      <c r="CD36" s="2">
        <v>1</v>
      </c>
      <c r="CE36" s="2">
        <v>1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O36" s="1">
        <v>28</v>
      </c>
      <c r="CP36" s="27" t="s">
        <v>1633</v>
      </c>
      <c r="CQ36" s="27" t="s">
        <v>1773</v>
      </c>
      <c r="CR36" s="27" t="s">
        <v>1790</v>
      </c>
    </row>
    <row r="37" spans="2:96" x14ac:dyDescent="0.25">
      <c r="B37" s="36" t="s">
        <v>19</v>
      </c>
      <c r="C37" s="1" t="s">
        <v>25</v>
      </c>
      <c r="K37" s="1" t="s">
        <v>1763</v>
      </c>
      <c r="L37" s="1" t="s">
        <v>1750</v>
      </c>
      <c r="M37" s="1" t="s">
        <v>362</v>
      </c>
      <c r="N37" s="6">
        <v>14</v>
      </c>
      <c r="O37" s="1" t="s">
        <v>4</v>
      </c>
      <c r="P37" s="1">
        <v>150</v>
      </c>
      <c r="Q37" s="1">
        <v>15</v>
      </c>
      <c r="R37" s="1">
        <v>10</v>
      </c>
      <c r="S37" s="1">
        <v>30</v>
      </c>
      <c r="T37" s="1">
        <v>40</v>
      </c>
      <c r="U37" s="253">
        <v>4</v>
      </c>
      <c r="V37" s="1">
        <v>90</v>
      </c>
      <c r="W37" s="44">
        <v>130</v>
      </c>
      <c r="X37" s="40">
        <f>_xlfn.XLOOKUP("Ripening", CropPhenology_Brinjal[Main_Stage], CropPhenology_Brinjal[Start_GDD], "Not Found")</f>
        <v>1151</v>
      </c>
      <c r="Y37" s="4" cm="1">
        <f t="array" ref="Y37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7" s="3">
        <f t="shared" si="19"/>
        <v>12.76025641025641</v>
      </c>
      <c r="AA37" s="41">
        <f t="shared" si="20"/>
        <v>117.55249673465286</v>
      </c>
      <c r="AB37" s="1">
        <v>7.5</v>
      </c>
      <c r="AC37" s="1">
        <v>18</v>
      </c>
      <c r="AD37" s="1">
        <v>4</v>
      </c>
      <c r="AE37" s="1">
        <v>85</v>
      </c>
      <c r="AF37" s="1">
        <v>15</v>
      </c>
      <c r="AG37" s="1">
        <v>5</v>
      </c>
      <c r="AH37" s="3">
        <f t="shared" si="13"/>
        <v>2.9688863247863249</v>
      </c>
      <c r="AI37" s="1">
        <v>6</v>
      </c>
      <c r="AJ37" s="1">
        <v>7.5</v>
      </c>
      <c r="AK37" s="159">
        <v>1.5</v>
      </c>
      <c r="AL37" s="150">
        <v>0.1</v>
      </c>
      <c r="AM37" s="1">
        <v>500</v>
      </c>
      <c r="AN37" s="1">
        <v>600</v>
      </c>
      <c r="AO37" s="48">
        <v>1.5</v>
      </c>
      <c r="AP37" s="44">
        <v>80</v>
      </c>
      <c r="AQ37" s="42">
        <v>0.75</v>
      </c>
      <c r="AR37" s="1">
        <v>75</v>
      </c>
      <c r="AS37" s="1">
        <v>45</v>
      </c>
      <c r="AT37" s="1">
        <v>1</v>
      </c>
      <c r="AU37" s="4">
        <f t="shared" si="21"/>
        <v>2.9629629629629628</v>
      </c>
      <c r="AV37" s="3">
        <f t="shared" si="22"/>
        <v>4.4400000000000004</v>
      </c>
      <c r="AW37" s="1">
        <v>85</v>
      </c>
      <c r="AX37" s="3">
        <f t="shared" si="23"/>
        <v>2.52</v>
      </c>
      <c r="AY37" s="1">
        <v>3</v>
      </c>
      <c r="AZ37" s="4">
        <f t="shared" si="26"/>
        <v>7.5600000000000005</v>
      </c>
      <c r="BA37" s="49">
        <v>0.9</v>
      </c>
      <c r="BB37" s="4">
        <f t="shared" si="25"/>
        <v>6.8040000000000003</v>
      </c>
      <c r="BC37" s="50">
        <v>0.44104411764705886</v>
      </c>
      <c r="BD37" s="69">
        <f>IFERROR(
  MAX(0.05, MIN(0.5, CropNorms_Brinjal[[#This Row],[Leaf_Area_Per_Shoot_m2]] * CropNorms_Brinjal[[#This Row],[Shoot_Bearing_m2]] )),
  0.2
)</f>
        <v>0.5</v>
      </c>
      <c r="BE37" s="4">
        <f>_xlfn.XLOOKUP(CropNorms_Brinjal[[#This Row],[LAI_Start_BBCH]], CropPhenology_Brinjal[Sub_Stage], CropPhenology_Brinjal[Start_GDD], "Not Found")</f>
        <v>121</v>
      </c>
      <c r="BF37" s="3">
        <f>ROUND(CropNorms_Brinjal[[#This Row],[Shoot_Bearing_m2]]*CropNorms_Brinjal[[#This Row],[Leaf_Area_Per_Shoot_m2]],2)</f>
        <v>3</v>
      </c>
      <c r="BG37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7" s="3">
        <f>IF(CropNorms_Brinjal[[#This Row],[Max_LAI]]&gt;=1.2, 0.85*CropNorms_Brinjal[[#This Row],[Max_LAI]], 1)</f>
        <v>2.5499999999999998</v>
      </c>
      <c r="BI37" s="41">
        <f>_xlfn.XLOOKUP(CropNorms_Brinjal[[#This Row],[LAI_End_BBCH]], CropPhenology_Brinjal[Sub_Stage], CropPhenology_Brinjal[End_GDD], "Not Found")</f>
        <v>1150</v>
      </c>
      <c r="BJ37" s="3" cm="1">
        <f t="array" ref="BJ37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7" s="3" cm="1">
        <f t="array" ref="BK3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7" s="3" cm="1">
        <f t="array" ref="BL37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7" s="3" cm="1">
        <f t="array" ref="BM3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" s="42">
        <v>0.3</v>
      </c>
      <c r="BO37" s="43">
        <v>0.85</v>
      </c>
      <c r="BP37" s="42">
        <v>17</v>
      </c>
      <c r="BQ37" s="43" t="s">
        <v>1741</v>
      </c>
      <c r="BR37" s="69" t="str" cm="1">
        <f t="array" ref="BR3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" s="3" t="str" cm="1">
        <f t="array" ref="BS3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7" s="3" t="str" cm="1">
        <f t="array" ref="BT37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" s="70" t="str" cm="1">
        <f t="array" ref="BU37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" s="48">
        <v>75</v>
      </c>
      <c r="BW37" s="1">
        <v>30</v>
      </c>
      <c r="BX37" s="44">
        <v>40</v>
      </c>
      <c r="BY37" s="51">
        <v>45703</v>
      </c>
      <c r="BZ37" s="5">
        <v>45731</v>
      </c>
      <c r="CA37" s="85">
        <v>0</v>
      </c>
      <c r="CB37" s="2">
        <v>0</v>
      </c>
      <c r="CC37" s="2">
        <v>1</v>
      </c>
      <c r="CD37" s="2">
        <v>1</v>
      </c>
      <c r="CE37" s="2">
        <v>1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O37" s="1">
        <v>29</v>
      </c>
      <c r="CP37" s="27" t="s">
        <v>699</v>
      </c>
      <c r="CQ37" s="27" t="s">
        <v>1748</v>
      </c>
      <c r="CR37" s="27" t="s">
        <v>1795</v>
      </c>
    </row>
    <row r="38" spans="2:96" x14ac:dyDescent="0.25">
      <c r="B38" s="36" t="s">
        <v>19</v>
      </c>
      <c r="C38" s="1" t="s">
        <v>26</v>
      </c>
      <c r="K38" s="1" t="s">
        <v>1763</v>
      </c>
      <c r="L38" s="1" t="s">
        <v>1750</v>
      </c>
      <c r="M38" s="1" t="s">
        <v>362</v>
      </c>
      <c r="N38" s="6">
        <v>14</v>
      </c>
      <c r="O38" s="1" t="s">
        <v>4</v>
      </c>
      <c r="P38" s="1">
        <v>150</v>
      </c>
      <c r="Q38" s="1">
        <v>15</v>
      </c>
      <c r="R38" s="1">
        <v>10</v>
      </c>
      <c r="S38" s="1">
        <v>30</v>
      </c>
      <c r="T38" s="1">
        <v>40</v>
      </c>
      <c r="U38" s="253">
        <v>4</v>
      </c>
      <c r="V38" s="1">
        <v>90</v>
      </c>
      <c r="W38" s="44">
        <v>130</v>
      </c>
      <c r="X38" s="40">
        <f>_xlfn.XLOOKUP("Ripening", CropPhenology_Brinjal[Main_Stage], CropPhenology_Brinjal[Start_GDD], "Not Found")</f>
        <v>1151</v>
      </c>
      <c r="Y38" s="4" cm="1">
        <f t="array" ref="Y38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8" s="3">
        <f t="shared" si="19"/>
        <v>12.76025641025641</v>
      </c>
      <c r="AA38" s="41">
        <f t="shared" si="20"/>
        <v>117.55249673465286</v>
      </c>
      <c r="AB38" s="1">
        <v>7.5</v>
      </c>
      <c r="AC38" s="1">
        <v>18</v>
      </c>
      <c r="AD38" s="1">
        <v>4</v>
      </c>
      <c r="AE38" s="1">
        <v>85</v>
      </c>
      <c r="AF38" s="1">
        <v>15</v>
      </c>
      <c r="AG38" s="1">
        <v>5</v>
      </c>
      <c r="AH38" s="3">
        <f t="shared" si="13"/>
        <v>2.9688863247863249</v>
      </c>
      <c r="AI38" s="1">
        <v>6</v>
      </c>
      <c r="AJ38" s="1">
        <v>7.5</v>
      </c>
      <c r="AK38" s="159">
        <v>1.5</v>
      </c>
      <c r="AL38" s="150">
        <v>0.1</v>
      </c>
      <c r="AM38" s="1">
        <v>500</v>
      </c>
      <c r="AN38" s="1">
        <v>600</v>
      </c>
      <c r="AO38" s="48">
        <v>1.5</v>
      </c>
      <c r="AP38" s="44">
        <v>80</v>
      </c>
      <c r="AQ38" s="42">
        <v>0.75</v>
      </c>
      <c r="AR38" s="1">
        <v>75</v>
      </c>
      <c r="AS38" s="1">
        <v>45</v>
      </c>
      <c r="AT38" s="1">
        <v>1</v>
      </c>
      <c r="AU38" s="4">
        <f t="shared" si="21"/>
        <v>2.9629629629629628</v>
      </c>
      <c r="AV38" s="3">
        <f t="shared" si="22"/>
        <v>4.4400000000000004</v>
      </c>
      <c r="AW38" s="1">
        <v>85</v>
      </c>
      <c r="AX38" s="3">
        <f t="shared" si="23"/>
        <v>2.52</v>
      </c>
      <c r="AY38" s="1">
        <v>3</v>
      </c>
      <c r="AZ38" s="4">
        <f t="shared" si="26"/>
        <v>7.5600000000000005</v>
      </c>
      <c r="BA38" s="49">
        <v>0.9</v>
      </c>
      <c r="BB38" s="4">
        <f t="shared" si="25"/>
        <v>6.8040000000000003</v>
      </c>
      <c r="BC38" s="50">
        <v>0.44104411764705886</v>
      </c>
      <c r="BD38" s="69">
        <f>IFERROR(
  MAX(0.05, MIN(0.5, CropNorms_Brinjal[[#This Row],[Leaf_Area_Per_Shoot_m2]] * CropNorms_Brinjal[[#This Row],[Shoot_Bearing_m2]] )),
  0.2
)</f>
        <v>0.5</v>
      </c>
      <c r="BE38" s="4">
        <f>_xlfn.XLOOKUP(CropNorms_Brinjal[[#This Row],[LAI_Start_BBCH]], CropPhenology_Brinjal[Sub_Stage], CropPhenology_Brinjal[Start_GDD], "Not Found")</f>
        <v>121</v>
      </c>
      <c r="BF38" s="3">
        <f>ROUND(CropNorms_Brinjal[[#This Row],[Shoot_Bearing_m2]]*CropNorms_Brinjal[[#This Row],[Leaf_Area_Per_Shoot_m2]],2)</f>
        <v>3</v>
      </c>
      <c r="BG38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8" s="3">
        <f>IF(CropNorms_Brinjal[[#This Row],[Max_LAI]]&gt;=1.2, 0.85*CropNorms_Brinjal[[#This Row],[Max_LAI]], 1)</f>
        <v>2.5499999999999998</v>
      </c>
      <c r="BI38" s="41">
        <f>_xlfn.XLOOKUP(CropNorms_Brinjal[[#This Row],[LAI_End_BBCH]], CropPhenology_Brinjal[Sub_Stage], CropPhenology_Brinjal[End_GDD], "Not Found")</f>
        <v>1150</v>
      </c>
      <c r="BJ38" s="3" cm="1">
        <f t="array" ref="BJ38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8" s="3" cm="1">
        <f t="array" ref="BK3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8" s="3" cm="1">
        <f t="array" ref="BL38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8" s="3" cm="1">
        <f t="array" ref="BM3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" s="42">
        <v>0.3</v>
      </c>
      <c r="BO38" s="43">
        <v>0.85</v>
      </c>
      <c r="BP38" s="42">
        <v>17</v>
      </c>
      <c r="BQ38" s="43" t="s">
        <v>1741</v>
      </c>
      <c r="BR38" s="69" t="str" cm="1">
        <f t="array" ref="BR3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" s="3" t="str" cm="1">
        <f t="array" ref="BS3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8" s="3" t="str" cm="1">
        <f t="array" ref="BT38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" s="70" t="str" cm="1">
        <f t="array" ref="BU38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" s="48">
        <v>75</v>
      </c>
      <c r="BW38" s="1">
        <v>30</v>
      </c>
      <c r="BX38" s="44">
        <v>40</v>
      </c>
      <c r="BY38" s="51">
        <v>45703</v>
      </c>
      <c r="BZ38" s="5">
        <v>45731</v>
      </c>
      <c r="CA38" s="85">
        <v>0</v>
      </c>
      <c r="CB38" s="2">
        <v>0</v>
      </c>
      <c r="CC38" s="2">
        <v>1</v>
      </c>
      <c r="CD38" s="2">
        <v>1</v>
      </c>
      <c r="CE38" s="2">
        <v>1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O38" s="1">
        <v>30</v>
      </c>
      <c r="CP38" s="27" t="s">
        <v>901</v>
      </c>
      <c r="CQ38" s="27" t="s">
        <v>1769</v>
      </c>
      <c r="CR38" s="27" t="s">
        <v>1745</v>
      </c>
    </row>
    <row r="39" spans="2:96" x14ac:dyDescent="0.25">
      <c r="B39" s="36" t="s">
        <v>19</v>
      </c>
      <c r="C39" s="1" t="s">
        <v>27</v>
      </c>
      <c r="K39" s="1" t="s">
        <v>1763</v>
      </c>
      <c r="L39" s="1" t="s">
        <v>1750</v>
      </c>
      <c r="M39" s="1" t="s">
        <v>362</v>
      </c>
      <c r="N39" s="6">
        <v>14</v>
      </c>
      <c r="O39" s="1" t="s">
        <v>4</v>
      </c>
      <c r="P39" s="1">
        <v>150</v>
      </c>
      <c r="Q39" s="1">
        <v>15</v>
      </c>
      <c r="R39" s="1">
        <v>10</v>
      </c>
      <c r="S39" s="1">
        <v>30</v>
      </c>
      <c r="T39" s="1">
        <v>40</v>
      </c>
      <c r="U39" s="253">
        <v>4</v>
      </c>
      <c r="V39" s="1">
        <v>90</v>
      </c>
      <c r="W39" s="44">
        <v>130</v>
      </c>
      <c r="X39" s="40">
        <f>_xlfn.XLOOKUP("Ripening", CropPhenology_Brinjal[Main_Stage], CropPhenology_Brinjal[Start_GDD], "Not Found")</f>
        <v>1151</v>
      </c>
      <c r="Y39" s="4" cm="1">
        <f t="array" ref="Y39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39" s="3">
        <f t="shared" si="19"/>
        <v>12.76025641025641</v>
      </c>
      <c r="AA39" s="41">
        <f t="shared" si="20"/>
        <v>117.55249673465286</v>
      </c>
      <c r="AB39" s="1">
        <v>7.5</v>
      </c>
      <c r="AC39" s="1">
        <v>18</v>
      </c>
      <c r="AD39" s="1">
        <v>4</v>
      </c>
      <c r="AE39" s="1">
        <v>85</v>
      </c>
      <c r="AF39" s="1">
        <v>15</v>
      </c>
      <c r="AG39" s="1">
        <v>5</v>
      </c>
      <c r="AH39" s="3">
        <f t="shared" si="13"/>
        <v>2.9688863247863249</v>
      </c>
      <c r="AI39" s="1">
        <v>6</v>
      </c>
      <c r="AJ39" s="1">
        <v>7.5</v>
      </c>
      <c r="AK39" s="159">
        <v>1.5</v>
      </c>
      <c r="AL39" s="150">
        <v>0.1</v>
      </c>
      <c r="AM39" s="1">
        <v>500</v>
      </c>
      <c r="AN39" s="1">
        <v>600</v>
      </c>
      <c r="AO39" s="48">
        <v>1.5</v>
      </c>
      <c r="AP39" s="44">
        <v>80</v>
      </c>
      <c r="AQ39" s="42">
        <v>0.75</v>
      </c>
      <c r="AR39" s="1">
        <v>75</v>
      </c>
      <c r="AS39" s="1">
        <v>45</v>
      </c>
      <c r="AT39" s="1">
        <v>1</v>
      </c>
      <c r="AU39" s="4">
        <f t="shared" si="21"/>
        <v>2.9629629629629628</v>
      </c>
      <c r="AV39" s="3">
        <f t="shared" si="22"/>
        <v>4.4400000000000004</v>
      </c>
      <c r="AW39" s="1">
        <v>85</v>
      </c>
      <c r="AX39" s="3">
        <f t="shared" si="23"/>
        <v>2.52</v>
      </c>
      <c r="AY39" s="1">
        <v>3</v>
      </c>
      <c r="AZ39" s="4">
        <f t="shared" si="26"/>
        <v>7.5600000000000005</v>
      </c>
      <c r="BA39" s="49">
        <v>0.9</v>
      </c>
      <c r="BB39" s="4">
        <f t="shared" si="25"/>
        <v>6.8040000000000003</v>
      </c>
      <c r="BC39" s="50">
        <v>0.44104411764705886</v>
      </c>
      <c r="BD39" s="69">
        <f>IFERROR(
  MAX(0.05, MIN(0.5, CropNorms_Brinjal[[#This Row],[Leaf_Area_Per_Shoot_m2]] * CropNorms_Brinjal[[#This Row],[Shoot_Bearing_m2]] )),
  0.2
)</f>
        <v>0.5</v>
      </c>
      <c r="BE39" s="4">
        <f>_xlfn.XLOOKUP(CropNorms_Brinjal[[#This Row],[LAI_Start_BBCH]], CropPhenology_Brinjal[Sub_Stage], CropPhenology_Brinjal[Start_GDD], "Not Found")</f>
        <v>121</v>
      </c>
      <c r="BF39" s="3">
        <f>ROUND(CropNorms_Brinjal[[#This Row],[Shoot_Bearing_m2]]*CropNorms_Brinjal[[#This Row],[Leaf_Area_Per_Shoot_m2]],2)</f>
        <v>3</v>
      </c>
      <c r="BG39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39" s="3">
        <f>IF(CropNorms_Brinjal[[#This Row],[Max_LAI]]&gt;=1.2, 0.85*CropNorms_Brinjal[[#This Row],[Max_LAI]], 1)</f>
        <v>2.5499999999999998</v>
      </c>
      <c r="BI39" s="41">
        <f>_xlfn.XLOOKUP(CropNorms_Brinjal[[#This Row],[LAI_End_BBCH]], CropPhenology_Brinjal[Sub_Stage], CropPhenology_Brinjal[End_GDD], "Not Found")</f>
        <v>1150</v>
      </c>
      <c r="BJ39" s="3" cm="1">
        <f t="array" ref="BJ39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39" s="3" cm="1">
        <f t="array" ref="BK3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39" s="3" cm="1">
        <f t="array" ref="BL39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39" s="3" cm="1">
        <f t="array" ref="BM3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" s="42">
        <v>0.3</v>
      </c>
      <c r="BO39" s="43">
        <v>0.85</v>
      </c>
      <c r="BP39" s="42">
        <v>17</v>
      </c>
      <c r="BQ39" s="43" t="s">
        <v>1741</v>
      </c>
      <c r="BR39" s="69" t="str" cm="1">
        <f t="array" ref="BR3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" s="3" t="str" cm="1">
        <f t="array" ref="BS3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39" s="3" t="str" cm="1">
        <f t="array" ref="BT39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9" s="70" t="str" cm="1">
        <f t="array" ref="BU39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9" s="48">
        <v>75</v>
      </c>
      <c r="BW39" s="1">
        <v>30</v>
      </c>
      <c r="BX39" s="44">
        <v>40</v>
      </c>
      <c r="BY39" s="51">
        <v>45703</v>
      </c>
      <c r="BZ39" s="5">
        <v>45731</v>
      </c>
      <c r="CA39" s="85">
        <v>0</v>
      </c>
      <c r="CB39" s="2">
        <v>0</v>
      </c>
      <c r="CC39" s="2">
        <v>1</v>
      </c>
      <c r="CD39" s="2">
        <v>1</v>
      </c>
      <c r="CE39" s="2">
        <v>1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O39" s="1">
        <v>31</v>
      </c>
      <c r="CP39" s="27" t="s">
        <v>1281</v>
      </c>
      <c r="CQ39" s="27" t="s">
        <v>1779</v>
      </c>
      <c r="CR39" s="27" t="s">
        <v>1797</v>
      </c>
    </row>
    <row r="40" spans="2:96" x14ac:dyDescent="0.25">
      <c r="B40" s="36" t="s">
        <v>19</v>
      </c>
      <c r="C40" s="1" t="s">
        <v>28</v>
      </c>
      <c r="K40" s="1" t="s">
        <v>1763</v>
      </c>
      <c r="L40" s="1" t="s">
        <v>1750</v>
      </c>
      <c r="M40" s="1" t="s">
        <v>362</v>
      </c>
      <c r="N40" s="6">
        <v>14</v>
      </c>
      <c r="O40" s="1" t="s">
        <v>4</v>
      </c>
      <c r="P40" s="1">
        <v>150</v>
      </c>
      <c r="Q40" s="1">
        <v>15</v>
      </c>
      <c r="R40" s="1">
        <v>10</v>
      </c>
      <c r="S40" s="1">
        <v>30</v>
      </c>
      <c r="T40" s="1">
        <v>40</v>
      </c>
      <c r="U40" s="253">
        <v>4</v>
      </c>
      <c r="V40" s="1">
        <v>90</v>
      </c>
      <c r="W40" s="44">
        <v>130</v>
      </c>
      <c r="X40" s="40">
        <f>_xlfn.XLOOKUP("Ripening", CropPhenology_Brinjal[Main_Stage], CropPhenology_Brinjal[Start_GDD], "Not Found")</f>
        <v>1151</v>
      </c>
      <c r="Y40" s="4" cm="1">
        <f t="array" ref="Y40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0" s="3">
        <f t="shared" si="19"/>
        <v>12.76025641025641</v>
      </c>
      <c r="AA40" s="41">
        <f t="shared" si="20"/>
        <v>117.55249673465286</v>
      </c>
      <c r="AB40" s="1">
        <v>7.5</v>
      </c>
      <c r="AC40" s="1">
        <v>18</v>
      </c>
      <c r="AD40" s="1">
        <v>4</v>
      </c>
      <c r="AE40" s="1">
        <v>85</v>
      </c>
      <c r="AF40" s="1">
        <v>15</v>
      </c>
      <c r="AG40" s="1">
        <v>5</v>
      </c>
      <c r="AH40" s="3">
        <f t="shared" si="13"/>
        <v>2.9688863247863249</v>
      </c>
      <c r="AI40" s="1">
        <v>6</v>
      </c>
      <c r="AJ40" s="1">
        <v>7.5</v>
      </c>
      <c r="AK40" s="159">
        <v>1.5</v>
      </c>
      <c r="AL40" s="150">
        <v>0.1</v>
      </c>
      <c r="AM40" s="1">
        <v>500</v>
      </c>
      <c r="AN40" s="1">
        <v>600</v>
      </c>
      <c r="AO40" s="48">
        <v>1.5</v>
      </c>
      <c r="AP40" s="44">
        <v>80</v>
      </c>
      <c r="AQ40" s="42">
        <v>0.75</v>
      </c>
      <c r="AR40" s="1">
        <v>75</v>
      </c>
      <c r="AS40" s="1">
        <v>45</v>
      </c>
      <c r="AT40" s="1">
        <v>1</v>
      </c>
      <c r="AU40" s="4">
        <f t="shared" si="21"/>
        <v>2.9629629629629628</v>
      </c>
      <c r="AV40" s="3">
        <f t="shared" si="22"/>
        <v>4.4400000000000004</v>
      </c>
      <c r="AW40" s="1">
        <v>85</v>
      </c>
      <c r="AX40" s="3">
        <f t="shared" si="23"/>
        <v>2.52</v>
      </c>
      <c r="AY40" s="1">
        <v>3</v>
      </c>
      <c r="AZ40" s="4">
        <f t="shared" si="26"/>
        <v>7.5600000000000005</v>
      </c>
      <c r="BA40" s="49">
        <v>0.9</v>
      </c>
      <c r="BB40" s="4">
        <f t="shared" si="25"/>
        <v>6.8040000000000003</v>
      </c>
      <c r="BC40" s="50">
        <v>0.44104411764705886</v>
      </c>
      <c r="BD40" s="69">
        <f>IFERROR(
  MAX(0.05, MIN(0.5, CropNorms_Brinjal[[#This Row],[Leaf_Area_Per_Shoot_m2]] * CropNorms_Brinjal[[#This Row],[Shoot_Bearing_m2]] )),
  0.2
)</f>
        <v>0.5</v>
      </c>
      <c r="BE40" s="4">
        <f>_xlfn.XLOOKUP(CropNorms_Brinjal[[#This Row],[LAI_Start_BBCH]], CropPhenology_Brinjal[Sub_Stage], CropPhenology_Brinjal[Start_GDD], "Not Found")</f>
        <v>121</v>
      </c>
      <c r="BF40" s="3">
        <f>ROUND(CropNorms_Brinjal[[#This Row],[Shoot_Bearing_m2]]*CropNorms_Brinjal[[#This Row],[Leaf_Area_Per_Shoot_m2]],2)</f>
        <v>3</v>
      </c>
      <c r="BG40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0" s="3">
        <f>IF(CropNorms_Brinjal[[#This Row],[Max_LAI]]&gt;=1.2, 0.85*CropNorms_Brinjal[[#This Row],[Max_LAI]], 1)</f>
        <v>2.5499999999999998</v>
      </c>
      <c r="BI40" s="41">
        <f>_xlfn.XLOOKUP(CropNorms_Brinjal[[#This Row],[LAI_End_BBCH]], CropPhenology_Brinjal[Sub_Stage], CropPhenology_Brinjal[End_GDD], "Not Found")</f>
        <v>1150</v>
      </c>
      <c r="BJ40" s="3" cm="1">
        <f t="array" ref="BJ40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0" s="3" cm="1">
        <f t="array" ref="BK4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0" s="3" cm="1">
        <f t="array" ref="BL40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0" s="3" cm="1">
        <f t="array" ref="BM4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" s="42">
        <v>0.3</v>
      </c>
      <c r="BO40" s="43">
        <v>0.85</v>
      </c>
      <c r="BP40" s="42">
        <v>17</v>
      </c>
      <c r="BQ40" s="43" t="s">
        <v>1741</v>
      </c>
      <c r="BR40" s="69" t="str" cm="1">
        <f t="array" ref="BR4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" s="3" t="str" cm="1">
        <f t="array" ref="BS4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0" s="3" t="str" cm="1">
        <f t="array" ref="BT40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0" s="70" t="str" cm="1">
        <f t="array" ref="BU40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0" s="48">
        <v>75</v>
      </c>
      <c r="BW40" s="1">
        <v>30</v>
      </c>
      <c r="BX40" s="44">
        <v>40</v>
      </c>
      <c r="BY40" s="51">
        <v>45703</v>
      </c>
      <c r="BZ40" s="5">
        <v>45731</v>
      </c>
      <c r="CA40" s="85">
        <v>0</v>
      </c>
      <c r="CB40" s="2">
        <v>0</v>
      </c>
      <c r="CC40" s="2">
        <v>1</v>
      </c>
      <c r="CD40" s="2">
        <v>1</v>
      </c>
      <c r="CE40" s="2">
        <v>1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O40" s="1">
        <v>32</v>
      </c>
      <c r="CP40" s="27" t="s">
        <v>695</v>
      </c>
      <c r="CQ40" s="27" t="s">
        <v>1748</v>
      </c>
      <c r="CR40" s="27" t="s">
        <v>1795</v>
      </c>
    </row>
    <row r="41" spans="2:96" x14ac:dyDescent="0.25">
      <c r="B41" s="36" t="s">
        <v>19</v>
      </c>
      <c r="C41" s="1" t="s">
        <v>29</v>
      </c>
      <c r="K41" s="1" t="s">
        <v>1763</v>
      </c>
      <c r="L41" s="1" t="s">
        <v>1750</v>
      </c>
      <c r="M41" s="1" t="s">
        <v>362</v>
      </c>
      <c r="N41" s="6">
        <v>14</v>
      </c>
      <c r="O41" s="1" t="s">
        <v>4</v>
      </c>
      <c r="P41" s="1">
        <v>150</v>
      </c>
      <c r="Q41" s="1">
        <v>15</v>
      </c>
      <c r="R41" s="1">
        <v>10</v>
      </c>
      <c r="S41" s="1">
        <v>30</v>
      </c>
      <c r="T41" s="1">
        <v>40</v>
      </c>
      <c r="U41" s="253">
        <v>4</v>
      </c>
      <c r="V41" s="1">
        <v>90</v>
      </c>
      <c r="W41" s="44">
        <v>130</v>
      </c>
      <c r="X41" s="40">
        <f>_xlfn.XLOOKUP("Ripening", CropPhenology_Brinjal[Main_Stage], CropPhenology_Brinjal[Start_GDD], "Not Found")</f>
        <v>1151</v>
      </c>
      <c r="Y41" s="4" cm="1">
        <f t="array" ref="Y4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1" s="3">
        <f t="shared" si="19"/>
        <v>12.76025641025641</v>
      </c>
      <c r="AA41" s="41">
        <f t="shared" si="20"/>
        <v>117.55249673465286</v>
      </c>
      <c r="AB41" s="1">
        <v>7.5</v>
      </c>
      <c r="AC41" s="1">
        <v>18</v>
      </c>
      <c r="AD41" s="1">
        <v>4</v>
      </c>
      <c r="AE41" s="1">
        <v>85</v>
      </c>
      <c r="AF41" s="1">
        <v>15</v>
      </c>
      <c r="AG41" s="1">
        <v>5</v>
      </c>
      <c r="AH41" s="3">
        <f t="shared" si="13"/>
        <v>2.9688863247863249</v>
      </c>
      <c r="AI41" s="1">
        <v>6</v>
      </c>
      <c r="AJ41" s="1">
        <v>7.5</v>
      </c>
      <c r="AK41" s="159">
        <v>1.5</v>
      </c>
      <c r="AL41" s="150">
        <v>0.1</v>
      </c>
      <c r="AM41" s="1">
        <v>500</v>
      </c>
      <c r="AN41" s="1">
        <v>600</v>
      </c>
      <c r="AO41" s="48">
        <v>1.5</v>
      </c>
      <c r="AP41" s="44">
        <v>80</v>
      </c>
      <c r="AQ41" s="42">
        <v>0.75</v>
      </c>
      <c r="AR41" s="1">
        <v>75</v>
      </c>
      <c r="AS41" s="1">
        <v>45</v>
      </c>
      <c r="AT41" s="1">
        <v>1</v>
      </c>
      <c r="AU41" s="4">
        <f t="shared" si="21"/>
        <v>2.9629629629629628</v>
      </c>
      <c r="AV41" s="3">
        <f t="shared" si="22"/>
        <v>4.4400000000000004</v>
      </c>
      <c r="AW41" s="1">
        <v>85</v>
      </c>
      <c r="AX41" s="3">
        <f t="shared" si="23"/>
        <v>2.52</v>
      </c>
      <c r="AY41" s="1">
        <v>3</v>
      </c>
      <c r="AZ41" s="4">
        <f t="shared" si="26"/>
        <v>7.5600000000000005</v>
      </c>
      <c r="BA41" s="49">
        <v>0.9</v>
      </c>
      <c r="BB41" s="4">
        <f t="shared" si="25"/>
        <v>6.8040000000000003</v>
      </c>
      <c r="BC41" s="50">
        <v>0.44104411764705886</v>
      </c>
      <c r="BD41" s="69">
        <f>IFERROR(
  MAX(0.05, MIN(0.5, CropNorms_Brinjal[[#This Row],[Leaf_Area_Per_Shoot_m2]] * CropNorms_Brinjal[[#This Row],[Shoot_Bearing_m2]] )),
  0.2
)</f>
        <v>0.5</v>
      </c>
      <c r="BE41" s="4">
        <f>_xlfn.XLOOKUP(CropNorms_Brinjal[[#This Row],[LAI_Start_BBCH]], CropPhenology_Brinjal[Sub_Stage], CropPhenology_Brinjal[Start_GDD], "Not Found")</f>
        <v>121</v>
      </c>
      <c r="BF41" s="3">
        <f>ROUND(CropNorms_Brinjal[[#This Row],[Shoot_Bearing_m2]]*CropNorms_Brinjal[[#This Row],[Leaf_Area_Per_Shoot_m2]],2)</f>
        <v>3</v>
      </c>
      <c r="BG41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1" s="3">
        <f>IF(CropNorms_Brinjal[[#This Row],[Max_LAI]]&gt;=1.2, 0.85*CropNorms_Brinjal[[#This Row],[Max_LAI]], 1)</f>
        <v>2.5499999999999998</v>
      </c>
      <c r="BI41" s="41">
        <f>_xlfn.XLOOKUP(CropNorms_Brinjal[[#This Row],[LAI_End_BBCH]], CropPhenology_Brinjal[Sub_Stage], CropPhenology_Brinjal[End_GDD], "Not Found")</f>
        <v>1150</v>
      </c>
      <c r="BJ41" s="3" cm="1">
        <f t="array" ref="BJ4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1" s="3" cm="1">
        <f t="array" ref="BK4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1" s="3" cm="1">
        <f t="array" ref="BL4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1" s="3" cm="1">
        <f t="array" ref="BM4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" s="42">
        <v>0.3</v>
      </c>
      <c r="BO41" s="43">
        <v>0.85</v>
      </c>
      <c r="BP41" s="42">
        <v>17</v>
      </c>
      <c r="BQ41" s="43" t="s">
        <v>1741</v>
      </c>
      <c r="BR41" s="69" t="str" cm="1">
        <f t="array" ref="BR4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" s="3" t="str" cm="1">
        <f t="array" ref="BS4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1" s="3" t="str" cm="1">
        <f t="array" ref="BT4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1" s="70" t="str" cm="1">
        <f t="array" ref="BU4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1" s="48">
        <v>75</v>
      </c>
      <c r="BW41" s="1">
        <v>30</v>
      </c>
      <c r="BX41" s="44">
        <v>40</v>
      </c>
      <c r="BY41" s="51">
        <v>45703</v>
      </c>
      <c r="BZ41" s="5">
        <v>45731</v>
      </c>
      <c r="CA41" s="85">
        <v>0</v>
      </c>
      <c r="CB41" s="2">
        <v>0</v>
      </c>
      <c r="CC41" s="2">
        <v>1</v>
      </c>
      <c r="CD41" s="2">
        <v>1</v>
      </c>
      <c r="CE41" s="2">
        <v>1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O41" s="1">
        <v>33</v>
      </c>
      <c r="CP41" s="27" t="s">
        <v>903</v>
      </c>
      <c r="CQ41" s="27" t="s">
        <v>1763</v>
      </c>
      <c r="CR41" s="27" t="s">
        <v>1798</v>
      </c>
    </row>
    <row r="42" spans="2:96" x14ac:dyDescent="0.25">
      <c r="B42" s="36" t="s">
        <v>19</v>
      </c>
      <c r="C42" s="1" t="s">
        <v>30</v>
      </c>
      <c r="K42" s="1" t="s">
        <v>1763</v>
      </c>
      <c r="L42" s="1" t="s">
        <v>1750</v>
      </c>
      <c r="M42" s="1" t="s">
        <v>362</v>
      </c>
      <c r="N42" s="6">
        <v>14</v>
      </c>
      <c r="O42" s="1" t="s">
        <v>4</v>
      </c>
      <c r="P42" s="1">
        <v>150</v>
      </c>
      <c r="Q42" s="1">
        <v>15</v>
      </c>
      <c r="R42" s="1">
        <v>10</v>
      </c>
      <c r="S42" s="1">
        <v>30</v>
      </c>
      <c r="T42" s="1">
        <v>40</v>
      </c>
      <c r="U42" s="253">
        <v>4</v>
      </c>
      <c r="V42" s="1">
        <v>90</v>
      </c>
      <c r="W42" s="44">
        <v>130</v>
      </c>
      <c r="X42" s="40">
        <f>_xlfn.XLOOKUP("Ripening", CropPhenology_Brinjal[Main_Stage], CropPhenology_Brinjal[Start_GDD], "Not Found")</f>
        <v>1151</v>
      </c>
      <c r="Y42" s="4" cm="1">
        <f t="array" ref="Y42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2" s="3">
        <f t="shared" si="19"/>
        <v>12.76025641025641</v>
      </c>
      <c r="AA42" s="41">
        <f t="shared" si="20"/>
        <v>117.55249673465286</v>
      </c>
      <c r="AB42" s="1">
        <v>7.5</v>
      </c>
      <c r="AC42" s="1">
        <v>18</v>
      </c>
      <c r="AD42" s="1">
        <v>4</v>
      </c>
      <c r="AE42" s="1">
        <v>85</v>
      </c>
      <c r="AF42" s="1">
        <v>15</v>
      </c>
      <c r="AG42" s="1">
        <v>5</v>
      </c>
      <c r="AH42" s="3">
        <f t="shared" si="13"/>
        <v>2.9688863247863249</v>
      </c>
      <c r="AI42" s="1">
        <v>6</v>
      </c>
      <c r="AJ42" s="1">
        <v>7.5</v>
      </c>
      <c r="AK42" s="159">
        <v>1.5</v>
      </c>
      <c r="AL42" s="150">
        <v>0.1</v>
      </c>
      <c r="AM42" s="1">
        <v>500</v>
      </c>
      <c r="AN42" s="1">
        <v>600</v>
      </c>
      <c r="AO42" s="48">
        <v>1.5</v>
      </c>
      <c r="AP42" s="44">
        <v>80</v>
      </c>
      <c r="AQ42" s="42">
        <v>0.75</v>
      </c>
      <c r="AR42" s="1">
        <v>75</v>
      </c>
      <c r="AS42" s="1">
        <v>45</v>
      </c>
      <c r="AT42" s="1">
        <v>1</v>
      </c>
      <c r="AU42" s="4">
        <f t="shared" si="21"/>
        <v>2.9629629629629628</v>
      </c>
      <c r="AV42" s="3">
        <f t="shared" si="22"/>
        <v>4.4400000000000004</v>
      </c>
      <c r="AW42" s="1">
        <v>85</v>
      </c>
      <c r="AX42" s="3">
        <f t="shared" si="23"/>
        <v>2.52</v>
      </c>
      <c r="AY42" s="1">
        <v>3</v>
      </c>
      <c r="AZ42" s="4">
        <f t="shared" si="26"/>
        <v>7.5600000000000005</v>
      </c>
      <c r="BA42" s="49">
        <v>0.9</v>
      </c>
      <c r="BB42" s="4">
        <f t="shared" si="25"/>
        <v>6.8040000000000003</v>
      </c>
      <c r="BC42" s="50">
        <v>0.44104411764705886</v>
      </c>
      <c r="BD42" s="69">
        <f>IFERROR(
  MAX(0.05, MIN(0.5, CropNorms_Brinjal[[#This Row],[Leaf_Area_Per_Shoot_m2]] * CropNorms_Brinjal[[#This Row],[Shoot_Bearing_m2]] )),
  0.2
)</f>
        <v>0.5</v>
      </c>
      <c r="BE42" s="4">
        <f>_xlfn.XLOOKUP(CropNorms_Brinjal[[#This Row],[LAI_Start_BBCH]], CropPhenology_Brinjal[Sub_Stage], CropPhenology_Brinjal[Start_GDD], "Not Found")</f>
        <v>121</v>
      </c>
      <c r="BF42" s="3">
        <f>ROUND(CropNorms_Brinjal[[#This Row],[Shoot_Bearing_m2]]*CropNorms_Brinjal[[#This Row],[Leaf_Area_Per_Shoot_m2]],2)</f>
        <v>3</v>
      </c>
      <c r="BG42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2" s="3">
        <f>IF(CropNorms_Brinjal[[#This Row],[Max_LAI]]&gt;=1.2, 0.85*CropNorms_Brinjal[[#This Row],[Max_LAI]], 1)</f>
        <v>2.5499999999999998</v>
      </c>
      <c r="BI42" s="41">
        <f>_xlfn.XLOOKUP(CropNorms_Brinjal[[#This Row],[LAI_End_BBCH]], CropPhenology_Brinjal[Sub_Stage], CropPhenology_Brinjal[End_GDD], "Not Found")</f>
        <v>1150</v>
      </c>
      <c r="BJ42" s="3" cm="1">
        <f t="array" ref="BJ42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2" s="3" cm="1">
        <f t="array" ref="BK4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2" s="3" cm="1">
        <f t="array" ref="BL42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2" s="3" cm="1">
        <f t="array" ref="BM4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" s="42">
        <v>0.3</v>
      </c>
      <c r="BO42" s="43">
        <v>0.85</v>
      </c>
      <c r="BP42" s="42">
        <v>17</v>
      </c>
      <c r="BQ42" s="43" t="s">
        <v>1741</v>
      </c>
      <c r="BR42" s="69" t="str" cm="1">
        <f t="array" ref="BR4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" s="3" t="str" cm="1">
        <f t="array" ref="BS4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2" s="3" t="str" cm="1">
        <f t="array" ref="BT42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2" s="70" t="str" cm="1">
        <f t="array" ref="BU42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2" s="48">
        <v>75</v>
      </c>
      <c r="BW42" s="1">
        <v>30</v>
      </c>
      <c r="BX42" s="44">
        <v>40</v>
      </c>
      <c r="BY42" s="51">
        <v>45703</v>
      </c>
      <c r="BZ42" s="5">
        <v>45731</v>
      </c>
      <c r="CA42" s="85">
        <v>0</v>
      </c>
      <c r="CB42" s="2">
        <v>0</v>
      </c>
      <c r="CC42" s="2">
        <v>1</v>
      </c>
      <c r="CD42" s="2">
        <v>1</v>
      </c>
      <c r="CE42" s="2">
        <v>1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O42" s="1">
        <v>34</v>
      </c>
      <c r="CP42" s="27" t="s">
        <v>1406</v>
      </c>
      <c r="CQ42" s="27" t="s">
        <v>1763</v>
      </c>
      <c r="CR42" s="27" t="s">
        <v>1800</v>
      </c>
    </row>
    <row r="43" spans="2:96" x14ac:dyDescent="0.25">
      <c r="B43" s="36" t="s">
        <v>19</v>
      </c>
      <c r="C43" s="1" t="s">
        <v>31</v>
      </c>
      <c r="K43" s="1" t="s">
        <v>1763</v>
      </c>
      <c r="L43" s="1" t="s">
        <v>1750</v>
      </c>
      <c r="M43" s="1" t="s">
        <v>362</v>
      </c>
      <c r="N43" s="6">
        <v>14</v>
      </c>
      <c r="O43" s="1" t="s">
        <v>4</v>
      </c>
      <c r="P43" s="1">
        <v>150</v>
      </c>
      <c r="Q43" s="1">
        <v>15</v>
      </c>
      <c r="R43" s="1">
        <v>10</v>
      </c>
      <c r="S43" s="1">
        <v>30</v>
      </c>
      <c r="T43" s="1">
        <v>40</v>
      </c>
      <c r="U43" s="253">
        <v>4</v>
      </c>
      <c r="V43" s="1">
        <v>90</v>
      </c>
      <c r="W43" s="44">
        <v>130</v>
      </c>
      <c r="X43" s="40">
        <f>_xlfn.XLOOKUP("Ripening", CropPhenology_Brinjal[Main_Stage], CropPhenology_Brinjal[Start_GDD], "Not Found")</f>
        <v>1151</v>
      </c>
      <c r="Y43" s="4" cm="1">
        <f t="array" ref="Y43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3" s="3">
        <f t="shared" si="19"/>
        <v>12.76025641025641</v>
      </c>
      <c r="AA43" s="41">
        <f t="shared" si="20"/>
        <v>117.55249673465286</v>
      </c>
      <c r="AB43" s="1">
        <v>7.5</v>
      </c>
      <c r="AC43" s="1">
        <v>18</v>
      </c>
      <c r="AD43" s="1">
        <v>4</v>
      </c>
      <c r="AE43" s="1">
        <v>85</v>
      </c>
      <c r="AF43" s="1">
        <v>15</v>
      </c>
      <c r="AG43" s="1">
        <v>5</v>
      </c>
      <c r="AH43" s="3">
        <f t="shared" si="13"/>
        <v>2.9688863247863249</v>
      </c>
      <c r="AI43" s="1">
        <v>6</v>
      </c>
      <c r="AJ43" s="1">
        <v>7.5</v>
      </c>
      <c r="AK43" s="159">
        <v>1.5</v>
      </c>
      <c r="AL43" s="150">
        <v>0.1</v>
      </c>
      <c r="AM43" s="1">
        <v>500</v>
      </c>
      <c r="AN43" s="1">
        <v>600</v>
      </c>
      <c r="AO43" s="48">
        <v>1.5</v>
      </c>
      <c r="AP43" s="44">
        <v>80</v>
      </c>
      <c r="AQ43" s="42">
        <v>0.75</v>
      </c>
      <c r="AR43" s="1">
        <v>75</v>
      </c>
      <c r="AS43" s="1">
        <v>45</v>
      </c>
      <c r="AT43" s="1">
        <v>1</v>
      </c>
      <c r="AU43" s="4">
        <f t="shared" si="21"/>
        <v>2.9629629629629628</v>
      </c>
      <c r="AV43" s="3">
        <f t="shared" si="22"/>
        <v>4.4400000000000004</v>
      </c>
      <c r="AW43" s="1">
        <v>85</v>
      </c>
      <c r="AX43" s="3">
        <f t="shared" si="23"/>
        <v>2.52</v>
      </c>
      <c r="AY43" s="1">
        <v>3</v>
      </c>
      <c r="AZ43" s="4">
        <f t="shared" si="26"/>
        <v>7.5600000000000005</v>
      </c>
      <c r="BA43" s="49">
        <v>0.9</v>
      </c>
      <c r="BB43" s="4">
        <f t="shared" si="25"/>
        <v>6.8040000000000003</v>
      </c>
      <c r="BC43" s="50">
        <v>0.44104411764705886</v>
      </c>
      <c r="BD43" s="69">
        <f>IFERROR(
  MAX(0.05, MIN(0.5, CropNorms_Brinjal[[#This Row],[Leaf_Area_Per_Shoot_m2]] * CropNorms_Brinjal[[#This Row],[Shoot_Bearing_m2]] )),
  0.2
)</f>
        <v>0.5</v>
      </c>
      <c r="BE43" s="4">
        <f>_xlfn.XLOOKUP(CropNorms_Brinjal[[#This Row],[LAI_Start_BBCH]], CropPhenology_Brinjal[Sub_Stage], CropPhenology_Brinjal[Start_GDD], "Not Found")</f>
        <v>121</v>
      </c>
      <c r="BF43" s="3">
        <f>ROUND(CropNorms_Brinjal[[#This Row],[Shoot_Bearing_m2]]*CropNorms_Brinjal[[#This Row],[Leaf_Area_Per_Shoot_m2]],2)</f>
        <v>3</v>
      </c>
      <c r="BG43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3" s="3">
        <f>IF(CropNorms_Brinjal[[#This Row],[Max_LAI]]&gt;=1.2, 0.85*CropNorms_Brinjal[[#This Row],[Max_LAI]], 1)</f>
        <v>2.5499999999999998</v>
      </c>
      <c r="BI43" s="41">
        <f>_xlfn.XLOOKUP(CropNorms_Brinjal[[#This Row],[LAI_End_BBCH]], CropPhenology_Brinjal[Sub_Stage], CropPhenology_Brinjal[End_GDD], "Not Found")</f>
        <v>1150</v>
      </c>
      <c r="BJ43" s="3" cm="1">
        <f t="array" ref="BJ43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3" s="3" cm="1">
        <f t="array" ref="BK4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3" s="3" cm="1">
        <f t="array" ref="BL43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3" s="3" cm="1">
        <f t="array" ref="BM4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" s="42">
        <v>0.3</v>
      </c>
      <c r="BO43" s="43">
        <v>0.85</v>
      </c>
      <c r="BP43" s="42">
        <v>17</v>
      </c>
      <c r="BQ43" s="43" t="s">
        <v>1741</v>
      </c>
      <c r="BR43" s="69" t="str" cm="1">
        <f t="array" ref="BR4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" s="3" t="str" cm="1">
        <f t="array" ref="BS4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3" s="3" t="str" cm="1">
        <f t="array" ref="BT43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3" s="70" t="str" cm="1">
        <f t="array" ref="BU43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3" s="48">
        <v>75</v>
      </c>
      <c r="BW43" s="1">
        <v>30</v>
      </c>
      <c r="BX43" s="44">
        <v>40</v>
      </c>
      <c r="BY43" s="51">
        <v>45703</v>
      </c>
      <c r="BZ43" s="5">
        <v>45731</v>
      </c>
      <c r="CA43" s="85">
        <v>0</v>
      </c>
      <c r="CB43" s="2">
        <v>0</v>
      </c>
      <c r="CC43" s="2">
        <v>1</v>
      </c>
      <c r="CD43" s="2">
        <v>1</v>
      </c>
      <c r="CE43" s="2">
        <v>1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O43" s="1">
        <v>35</v>
      </c>
      <c r="CP43" s="27" t="s">
        <v>911</v>
      </c>
      <c r="CQ43" s="27" t="s">
        <v>1780</v>
      </c>
      <c r="CR43" s="27" t="s">
        <v>1791</v>
      </c>
    </row>
    <row r="44" spans="2:96" x14ac:dyDescent="0.25">
      <c r="B44" s="36" t="s">
        <v>19</v>
      </c>
      <c r="C44" s="1" t="s">
        <v>32</v>
      </c>
      <c r="K44" s="1" t="s">
        <v>1763</v>
      </c>
      <c r="L44" s="1" t="s">
        <v>1750</v>
      </c>
      <c r="M44" s="1" t="s">
        <v>362</v>
      </c>
      <c r="N44" s="6">
        <v>14</v>
      </c>
      <c r="O44" s="1" t="s">
        <v>4</v>
      </c>
      <c r="P44" s="1">
        <v>150</v>
      </c>
      <c r="Q44" s="1">
        <v>15</v>
      </c>
      <c r="R44" s="1">
        <v>10</v>
      </c>
      <c r="S44" s="1">
        <v>30</v>
      </c>
      <c r="T44" s="1">
        <v>40</v>
      </c>
      <c r="U44" s="253">
        <v>4</v>
      </c>
      <c r="V44" s="1">
        <v>90</v>
      </c>
      <c r="W44" s="44">
        <v>130</v>
      </c>
      <c r="X44" s="40">
        <f>_xlfn.XLOOKUP("Ripening", CropPhenology_Brinjal[Main_Stage], CropPhenology_Brinjal[Start_GDD], "Not Found")</f>
        <v>1151</v>
      </c>
      <c r="Y44" s="4" cm="1">
        <f t="array" ref="Y44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4" s="3">
        <f t="shared" si="19"/>
        <v>12.76025641025641</v>
      </c>
      <c r="AA44" s="41">
        <f t="shared" si="20"/>
        <v>117.55249673465286</v>
      </c>
      <c r="AB44" s="1">
        <v>7.5</v>
      </c>
      <c r="AC44" s="1">
        <v>18</v>
      </c>
      <c r="AD44" s="1">
        <v>4</v>
      </c>
      <c r="AE44" s="1">
        <v>85</v>
      </c>
      <c r="AF44" s="1">
        <v>15</v>
      </c>
      <c r="AG44" s="1">
        <v>5</v>
      </c>
      <c r="AH44" s="3">
        <f t="shared" si="13"/>
        <v>2.9688863247863249</v>
      </c>
      <c r="AI44" s="1">
        <v>6</v>
      </c>
      <c r="AJ44" s="1">
        <v>7.5</v>
      </c>
      <c r="AK44" s="159">
        <v>1.5</v>
      </c>
      <c r="AL44" s="150">
        <v>0.1</v>
      </c>
      <c r="AM44" s="1">
        <v>500</v>
      </c>
      <c r="AN44" s="1">
        <v>600</v>
      </c>
      <c r="AO44" s="48">
        <v>1.5</v>
      </c>
      <c r="AP44" s="44">
        <v>80</v>
      </c>
      <c r="AQ44" s="42">
        <v>0.75</v>
      </c>
      <c r="AR44" s="1">
        <v>75</v>
      </c>
      <c r="AS44" s="1">
        <v>45</v>
      </c>
      <c r="AT44" s="1">
        <v>1</v>
      </c>
      <c r="AU44" s="4">
        <f t="shared" si="21"/>
        <v>2.9629629629629628</v>
      </c>
      <c r="AV44" s="3">
        <f t="shared" si="22"/>
        <v>4.4400000000000004</v>
      </c>
      <c r="AW44" s="1">
        <v>85</v>
      </c>
      <c r="AX44" s="3">
        <f t="shared" si="23"/>
        <v>2.52</v>
      </c>
      <c r="AY44" s="1">
        <v>3</v>
      </c>
      <c r="AZ44" s="4">
        <f t="shared" si="26"/>
        <v>7.5600000000000005</v>
      </c>
      <c r="BA44" s="49">
        <v>0.9</v>
      </c>
      <c r="BB44" s="4">
        <f t="shared" si="25"/>
        <v>6.8040000000000003</v>
      </c>
      <c r="BC44" s="50">
        <v>0.44104411764705886</v>
      </c>
      <c r="BD44" s="69">
        <f>IFERROR(
  MAX(0.05, MIN(0.5, CropNorms_Brinjal[[#This Row],[Leaf_Area_Per_Shoot_m2]] * CropNorms_Brinjal[[#This Row],[Shoot_Bearing_m2]] )),
  0.2
)</f>
        <v>0.5</v>
      </c>
      <c r="BE44" s="4">
        <f>_xlfn.XLOOKUP(CropNorms_Brinjal[[#This Row],[LAI_Start_BBCH]], CropPhenology_Brinjal[Sub_Stage], CropPhenology_Brinjal[Start_GDD], "Not Found")</f>
        <v>121</v>
      </c>
      <c r="BF44" s="3">
        <f>ROUND(CropNorms_Brinjal[[#This Row],[Shoot_Bearing_m2]]*CropNorms_Brinjal[[#This Row],[Leaf_Area_Per_Shoot_m2]],2)</f>
        <v>3</v>
      </c>
      <c r="BG44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4" s="3">
        <f>IF(CropNorms_Brinjal[[#This Row],[Max_LAI]]&gt;=1.2, 0.85*CropNorms_Brinjal[[#This Row],[Max_LAI]], 1)</f>
        <v>2.5499999999999998</v>
      </c>
      <c r="BI44" s="41">
        <f>_xlfn.XLOOKUP(CropNorms_Brinjal[[#This Row],[LAI_End_BBCH]], CropPhenology_Brinjal[Sub_Stage], CropPhenology_Brinjal[End_GDD], "Not Found")</f>
        <v>1150</v>
      </c>
      <c r="BJ44" s="3" cm="1">
        <f t="array" ref="BJ44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4" s="3" cm="1">
        <f t="array" ref="BK4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4" s="3" cm="1">
        <f t="array" ref="BL44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4" s="3" cm="1">
        <f t="array" ref="BM4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" s="42">
        <v>0.3</v>
      </c>
      <c r="BO44" s="43">
        <v>0.85</v>
      </c>
      <c r="BP44" s="42">
        <v>17</v>
      </c>
      <c r="BQ44" s="43" t="s">
        <v>1741</v>
      </c>
      <c r="BR44" s="69" t="str" cm="1">
        <f t="array" ref="BR4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" s="3" t="str" cm="1">
        <f t="array" ref="BS4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4" s="3" t="str" cm="1">
        <f t="array" ref="BT44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4" s="70" t="str" cm="1">
        <f t="array" ref="BU44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4" s="48">
        <v>75</v>
      </c>
      <c r="BW44" s="1">
        <v>30</v>
      </c>
      <c r="BX44" s="44">
        <v>40</v>
      </c>
      <c r="BY44" s="51">
        <v>45703</v>
      </c>
      <c r="BZ44" s="5">
        <v>45731</v>
      </c>
      <c r="CA44" s="85">
        <v>0</v>
      </c>
      <c r="CB44" s="2">
        <v>0</v>
      </c>
      <c r="CC44" s="2">
        <v>1</v>
      </c>
      <c r="CD44" s="2">
        <v>1</v>
      </c>
      <c r="CE44" s="2">
        <v>1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O44" s="1">
        <v>36</v>
      </c>
      <c r="CP44" s="27" t="s">
        <v>700</v>
      </c>
      <c r="CQ44" s="27" t="s">
        <v>1765</v>
      </c>
      <c r="CR44" s="27" t="s">
        <v>1798</v>
      </c>
    </row>
    <row r="45" spans="2:96" x14ac:dyDescent="0.25">
      <c r="B45" s="36" t="s">
        <v>19</v>
      </c>
      <c r="C45" s="1" t="s">
        <v>33</v>
      </c>
      <c r="K45" s="1" t="s">
        <v>1763</v>
      </c>
      <c r="L45" s="1" t="s">
        <v>1750</v>
      </c>
      <c r="M45" s="1" t="s">
        <v>362</v>
      </c>
      <c r="N45" s="6">
        <v>14</v>
      </c>
      <c r="O45" s="1" t="s">
        <v>4</v>
      </c>
      <c r="P45" s="1">
        <v>150</v>
      </c>
      <c r="Q45" s="1">
        <v>15</v>
      </c>
      <c r="R45" s="1">
        <v>10</v>
      </c>
      <c r="S45" s="1">
        <v>30</v>
      </c>
      <c r="T45" s="1">
        <v>40</v>
      </c>
      <c r="U45" s="253">
        <v>4</v>
      </c>
      <c r="V45" s="1">
        <v>90</v>
      </c>
      <c r="W45" s="44">
        <v>130</v>
      </c>
      <c r="X45" s="40">
        <f>_xlfn.XLOOKUP("Ripening", CropPhenology_Brinjal[Main_Stage], CropPhenology_Brinjal[Start_GDD], "Not Found")</f>
        <v>1151</v>
      </c>
      <c r="Y45" s="4" cm="1">
        <f t="array" ref="Y45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5" s="3">
        <f t="shared" si="19"/>
        <v>12.76025641025641</v>
      </c>
      <c r="AA45" s="41">
        <f t="shared" si="20"/>
        <v>117.55249673465286</v>
      </c>
      <c r="AB45" s="1">
        <v>7.5</v>
      </c>
      <c r="AC45" s="1">
        <v>18</v>
      </c>
      <c r="AD45" s="1">
        <v>4</v>
      </c>
      <c r="AE45" s="1">
        <v>85</v>
      </c>
      <c r="AF45" s="1">
        <v>15</v>
      </c>
      <c r="AG45" s="1">
        <v>5</v>
      </c>
      <c r="AH45" s="3">
        <f t="shared" si="13"/>
        <v>2.9688863247863249</v>
      </c>
      <c r="AI45" s="1">
        <v>6</v>
      </c>
      <c r="AJ45" s="1">
        <v>7.5</v>
      </c>
      <c r="AK45" s="159">
        <v>1.5</v>
      </c>
      <c r="AL45" s="150">
        <v>0.1</v>
      </c>
      <c r="AM45" s="1">
        <v>500</v>
      </c>
      <c r="AN45" s="1">
        <v>600</v>
      </c>
      <c r="AO45" s="48">
        <v>1.5</v>
      </c>
      <c r="AP45" s="44">
        <v>80</v>
      </c>
      <c r="AQ45" s="42">
        <v>0.75</v>
      </c>
      <c r="AR45" s="1">
        <v>75</v>
      </c>
      <c r="AS45" s="1">
        <v>45</v>
      </c>
      <c r="AT45" s="1">
        <v>1</v>
      </c>
      <c r="AU45" s="4">
        <f t="shared" si="21"/>
        <v>2.9629629629629628</v>
      </c>
      <c r="AV45" s="3">
        <f t="shared" si="22"/>
        <v>4.4400000000000004</v>
      </c>
      <c r="AW45" s="1">
        <v>85</v>
      </c>
      <c r="AX45" s="3">
        <f t="shared" si="23"/>
        <v>2.52</v>
      </c>
      <c r="AY45" s="1">
        <v>3</v>
      </c>
      <c r="AZ45" s="4">
        <f t="shared" si="26"/>
        <v>7.5600000000000005</v>
      </c>
      <c r="BA45" s="49">
        <v>0.9</v>
      </c>
      <c r="BB45" s="4">
        <f t="shared" si="25"/>
        <v>6.8040000000000003</v>
      </c>
      <c r="BC45" s="50">
        <v>0.44104411764705886</v>
      </c>
      <c r="BD45" s="69">
        <f>IFERROR(
  MAX(0.05, MIN(0.5, CropNorms_Brinjal[[#This Row],[Leaf_Area_Per_Shoot_m2]] * CropNorms_Brinjal[[#This Row],[Shoot_Bearing_m2]] )),
  0.2
)</f>
        <v>0.5</v>
      </c>
      <c r="BE45" s="4">
        <f>_xlfn.XLOOKUP(CropNorms_Brinjal[[#This Row],[LAI_Start_BBCH]], CropPhenology_Brinjal[Sub_Stage], CropPhenology_Brinjal[Start_GDD], "Not Found")</f>
        <v>121</v>
      </c>
      <c r="BF45" s="3">
        <f>ROUND(CropNorms_Brinjal[[#This Row],[Shoot_Bearing_m2]]*CropNorms_Brinjal[[#This Row],[Leaf_Area_Per_Shoot_m2]],2)</f>
        <v>3</v>
      </c>
      <c r="BG45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5" s="3">
        <f>IF(CropNorms_Brinjal[[#This Row],[Max_LAI]]&gt;=1.2, 0.85*CropNorms_Brinjal[[#This Row],[Max_LAI]], 1)</f>
        <v>2.5499999999999998</v>
      </c>
      <c r="BI45" s="41">
        <f>_xlfn.XLOOKUP(CropNorms_Brinjal[[#This Row],[LAI_End_BBCH]], CropPhenology_Brinjal[Sub_Stage], CropPhenology_Brinjal[End_GDD], "Not Found")</f>
        <v>1150</v>
      </c>
      <c r="BJ45" s="3" cm="1">
        <f t="array" ref="BJ45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5" s="3" cm="1">
        <f t="array" ref="BK4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5" s="3" cm="1">
        <f t="array" ref="BL45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5" s="3" cm="1">
        <f t="array" ref="BM4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" s="42">
        <v>0.3</v>
      </c>
      <c r="BO45" s="43">
        <v>0.85</v>
      </c>
      <c r="BP45" s="42">
        <v>17</v>
      </c>
      <c r="BQ45" s="43" t="s">
        <v>1741</v>
      </c>
      <c r="BR45" s="69" t="str" cm="1">
        <f t="array" ref="BR4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" s="3" t="str" cm="1">
        <f t="array" ref="BS4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5" s="3" t="str" cm="1">
        <f t="array" ref="BT45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5" s="70" t="str" cm="1">
        <f t="array" ref="BU45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5" s="48">
        <v>75</v>
      </c>
      <c r="BW45" s="1">
        <v>30</v>
      </c>
      <c r="BX45" s="44">
        <v>40</v>
      </c>
      <c r="BY45" s="51">
        <v>45703</v>
      </c>
      <c r="BZ45" s="5">
        <v>45731</v>
      </c>
      <c r="CA45" s="85">
        <v>0</v>
      </c>
      <c r="CB45" s="2">
        <v>0</v>
      </c>
      <c r="CC45" s="2">
        <v>1</v>
      </c>
      <c r="CD45" s="2">
        <v>1</v>
      </c>
      <c r="CE45" s="2">
        <v>1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O45" s="1">
        <v>37</v>
      </c>
      <c r="CP45" s="27" t="s">
        <v>944</v>
      </c>
      <c r="CQ45" s="27" t="s">
        <v>1777</v>
      </c>
      <c r="CR45" s="27" t="s">
        <v>1745</v>
      </c>
    </row>
    <row r="46" spans="2:96" x14ac:dyDescent="0.25">
      <c r="B46" s="36" t="s">
        <v>19</v>
      </c>
      <c r="C46" s="1" t="s">
        <v>34</v>
      </c>
      <c r="K46" s="1" t="s">
        <v>1763</v>
      </c>
      <c r="L46" s="1" t="s">
        <v>1750</v>
      </c>
      <c r="M46" s="1" t="s">
        <v>362</v>
      </c>
      <c r="N46" s="6">
        <v>14</v>
      </c>
      <c r="O46" s="1" t="s">
        <v>4</v>
      </c>
      <c r="P46" s="1">
        <v>150</v>
      </c>
      <c r="Q46" s="1">
        <v>15</v>
      </c>
      <c r="R46" s="1">
        <v>10</v>
      </c>
      <c r="S46" s="1">
        <v>30</v>
      </c>
      <c r="T46" s="1">
        <v>40</v>
      </c>
      <c r="U46" s="253">
        <v>4</v>
      </c>
      <c r="V46" s="1">
        <v>90</v>
      </c>
      <c r="W46" s="44">
        <v>130</v>
      </c>
      <c r="X46" s="40">
        <f>_xlfn.XLOOKUP("Ripening", CropPhenology_Brinjal[Main_Stage], CropPhenology_Brinjal[Start_GDD], "Not Found")</f>
        <v>1151</v>
      </c>
      <c r="Y46" s="4" cm="1">
        <f t="array" ref="Y46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6" s="3">
        <f t="shared" si="19"/>
        <v>12.76025641025641</v>
      </c>
      <c r="AA46" s="41">
        <f t="shared" si="20"/>
        <v>117.55249673465286</v>
      </c>
      <c r="AB46" s="1">
        <v>7.5</v>
      </c>
      <c r="AC46" s="1">
        <v>18</v>
      </c>
      <c r="AD46" s="1">
        <v>4</v>
      </c>
      <c r="AE46" s="1">
        <v>85</v>
      </c>
      <c r="AF46" s="1">
        <v>15</v>
      </c>
      <c r="AG46" s="1">
        <v>5</v>
      </c>
      <c r="AH46" s="3">
        <f t="shared" si="13"/>
        <v>2.9688863247863249</v>
      </c>
      <c r="AI46" s="1">
        <v>6</v>
      </c>
      <c r="AJ46" s="1">
        <v>7.5</v>
      </c>
      <c r="AK46" s="159">
        <v>1.5</v>
      </c>
      <c r="AL46" s="150">
        <v>0.1</v>
      </c>
      <c r="AM46" s="1">
        <v>500</v>
      </c>
      <c r="AN46" s="1">
        <v>600</v>
      </c>
      <c r="AO46" s="48">
        <v>1.5</v>
      </c>
      <c r="AP46" s="44">
        <v>80</v>
      </c>
      <c r="AQ46" s="42">
        <v>0.75</v>
      </c>
      <c r="AR46" s="1">
        <v>75</v>
      </c>
      <c r="AS46" s="1">
        <v>45</v>
      </c>
      <c r="AT46" s="1">
        <v>1</v>
      </c>
      <c r="AU46" s="4">
        <f t="shared" si="21"/>
        <v>2.9629629629629628</v>
      </c>
      <c r="AV46" s="3">
        <f t="shared" si="22"/>
        <v>4.4400000000000004</v>
      </c>
      <c r="AW46" s="1">
        <v>85</v>
      </c>
      <c r="AX46" s="3">
        <f t="shared" si="23"/>
        <v>2.52</v>
      </c>
      <c r="AY46" s="1">
        <v>3</v>
      </c>
      <c r="AZ46" s="4">
        <f t="shared" si="26"/>
        <v>7.5600000000000005</v>
      </c>
      <c r="BA46" s="49">
        <v>0.9</v>
      </c>
      <c r="BB46" s="4">
        <f t="shared" si="25"/>
        <v>6.8040000000000003</v>
      </c>
      <c r="BC46" s="50">
        <v>0.44104411764705886</v>
      </c>
      <c r="BD46" s="69">
        <f>IFERROR(
  MAX(0.05, MIN(0.5, CropNorms_Brinjal[[#This Row],[Leaf_Area_Per_Shoot_m2]] * CropNorms_Brinjal[[#This Row],[Shoot_Bearing_m2]] )),
  0.2
)</f>
        <v>0.5</v>
      </c>
      <c r="BE46" s="4">
        <f>_xlfn.XLOOKUP(CropNorms_Brinjal[[#This Row],[LAI_Start_BBCH]], CropPhenology_Brinjal[Sub_Stage], CropPhenology_Brinjal[Start_GDD], "Not Found")</f>
        <v>121</v>
      </c>
      <c r="BF46" s="3">
        <f>ROUND(CropNorms_Brinjal[[#This Row],[Shoot_Bearing_m2]]*CropNorms_Brinjal[[#This Row],[Leaf_Area_Per_Shoot_m2]],2)</f>
        <v>3</v>
      </c>
      <c r="BG46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6" s="3">
        <f>IF(CropNorms_Brinjal[[#This Row],[Max_LAI]]&gt;=1.2, 0.85*CropNorms_Brinjal[[#This Row],[Max_LAI]], 1)</f>
        <v>2.5499999999999998</v>
      </c>
      <c r="BI46" s="41">
        <f>_xlfn.XLOOKUP(CropNorms_Brinjal[[#This Row],[LAI_End_BBCH]], CropPhenology_Brinjal[Sub_Stage], CropPhenology_Brinjal[End_GDD], "Not Found")</f>
        <v>1150</v>
      </c>
      <c r="BJ46" s="3" cm="1">
        <f t="array" ref="BJ46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6" s="3" cm="1">
        <f t="array" ref="BK4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6" s="3" cm="1">
        <f t="array" ref="BL46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6" s="3" cm="1">
        <f t="array" ref="BM4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" s="42">
        <v>0.3</v>
      </c>
      <c r="BO46" s="43">
        <v>0.85</v>
      </c>
      <c r="BP46" s="42">
        <v>17</v>
      </c>
      <c r="BQ46" s="43" t="s">
        <v>1741</v>
      </c>
      <c r="BR46" s="69" t="str" cm="1">
        <f t="array" ref="BR4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" s="3" t="str" cm="1">
        <f t="array" ref="BS4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6" s="3" t="str" cm="1">
        <f t="array" ref="BT46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6" s="70" t="str" cm="1">
        <f t="array" ref="BU46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6" s="48">
        <v>75</v>
      </c>
      <c r="BW46" s="1">
        <v>30</v>
      </c>
      <c r="BX46" s="44">
        <v>40</v>
      </c>
      <c r="BY46" s="51">
        <v>45703</v>
      </c>
      <c r="BZ46" s="5">
        <v>45731</v>
      </c>
      <c r="CA46" s="85">
        <v>0</v>
      </c>
      <c r="CB46" s="2">
        <v>0</v>
      </c>
      <c r="CC46" s="2">
        <v>1</v>
      </c>
      <c r="CD46" s="2">
        <v>1</v>
      </c>
      <c r="CE46" s="2">
        <v>1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O46" s="1">
        <v>38</v>
      </c>
      <c r="CP46" s="27" t="s">
        <v>1707</v>
      </c>
      <c r="CQ46" s="27" t="s">
        <v>1748</v>
      </c>
      <c r="CR46" s="27" t="s">
        <v>1795</v>
      </c>
    </row>
    <row r="47" spans="2:96" x14ac:dyDescent="0.25">
      <c r="B47" s="36" t="s">
        <v>19</v>
      </c>
      <c r="C47" s="1" t="s">
        <v>35</v>
      </c>
      <c r="K47" s="1" t="s">
        <v>1763</v>
      </c>
      <c r="L47" s="1" t="s">
        <v>1750</v>
      </c>
      <c r="M47" s="1" t="s">
        <v>362</v>
      </c>
      <c r="N47" s="6">
        <v>14</v>
      </c>
      <c r="O47" s="1" t="s">
        <v>4</v>
      </c>
      <c r="P47" s="1">
        <v>150</v>
      </c>
      <c r="Q47" s="1">
        <v>15</v>
      </c>
      <c r="R47" s="1">
        <v>10</v>
      </c>
      <c r="S47" s="1">
        <v>30</v>
      </c>
      <c r="T47" s="1">
        <v>40</v>
      </c>
      <c r="U47" s="253">
        <v>4</v>
      </c>
      <c r="V47" s="1">
        <v>90</v>
      </c>
      <c r="W47" s="44">
        <v>130</v>
      </c>
      <c r="X47" s="40">
        <f>_xlfn.XLOOKUP("Ripening", CropPhenology_Brinjal[Main_Stage], CropPhenology_Brinjal[Start_GDD], "Not Found")</f>
        <v>1151</v>
      </c>
      <c r="Y47" s="4" cm="1">
        <f t="array" ref="Y47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7" s="3">
        <f t="shared" si="19"/>
        <v>12.76025641025641</v>
      </c>
      <c r="AA47" s="41">
        <f t="shared" si="20"/>
        <v>117.55249673465286</v>
      </c>
      <c r="AB47" s="1">
        <v>7.5</v>
      </c>
      <c r="AC47" s="1">
        <v>18</v>
      </c>
      <c r="AD47" s="1">
        <v>4</v>
      </c>
      <c r="AE47" s="1">
        <v>85</v>
      </c>
      <c r="AF47" s="1">
        <v>15</v>
      </c>
      <c r="AG47" s="1">
        <v>5</v>
      </c>
      <c r="AH47" s="3">
        <f t="shared" si="13"/>
        <v>2.9688863247863249</v>
      </c>
      <c r="AI47" s="1">
        <v>6</v>
      </c>
      <c r="AJ47" s="1">
        <v>7.5</v>
      </c>
      <c r="AK47" s="159">
        <v>1.5</v>
      </c>
      <c r="AL47" s="150">
        <v>0.1</v>
      </c>
      <c r="AM47" s="1">
        <v>500</v>
      </c>
      <c r="AN47" s="1">
        <v>600</v>
      </c>
      <c r="AO47" s="48">
        <v>1.5</v>
      </c>
      <c r="AP47" s="44">
        <v>80</v>
      </c>
      <c r="AQ47" s="42">
        <v>0.75</v>
      </c>
      <c r="AR47" s="1">
        <v>75</v>
      </c>
      <c r="AS47" s="1">
        <v>45</v>
      </c>
      <c r="AT47" s="1">
        <v>1</v>
      </c>
      <c r="AU47" s="4">
        <f t="shared" si="21"/>
        <v>2.9629629629629628</v>
      </c>
      <c r="AV47" s="3">
        <f t="shared" si="22"/>
        <v>4.4400000000000004</v>
      </c>
      <c r="AW47" s="1">
        <v>85</v>
      </c>
      <c r="AX47" s="3">
        <f t="shared" si="23"/>
        <v>2.52</v>
      </c>
      <c r="AY47" s="1">
        <v>3</v>
      </c>
      <c r="AZ47" s="4">
        <f t="shared" si="26"/>
        <v>7.5600000000000005</v>
      </c>
      <c r="BA47" s="49">
        <v>0.9</v>
      </c>
      <c r="BB47" s="4">
        <f t="shared" si="25"/>
        <v>6.8040000000000003</v>
      </c>
      <c r="BC47" s="50">
        <v>0.44104411764705886</v>
      </c>
      <c r="BD47" s="69">
        <f>IFERROR(
  MAX(0.05, MIN(0.5, CropNorms_Brinjal[[#This Row],[Leaf_Area_Per_Shoot_m2]] * CropNorms_Brinjal[[#This Row],[Shoot_Bearing_m2]] )),
  0.2
)</f>
        <v>0.5</v>
      </c>
      <c r="BE47" s="4">
        <f>_xlfn.XLOOKUP(CropNorms_Brinjal[[#This Row],[LAI_Start_BBCH]], CropPhenology_Brinjal[Sub_Stage], CropPhenology_Brinjal[Start_GDD], "Not Found")</f>
        <v>121</v>
      </c>
      <c r="BF47" s="3">
        <f>ROUND(CropNorms_Brinjal[[#This Row],[Shoot_Bearing_m2]]*CropNorms_Brinjal[[#This Row],[Leaf_Area_Per_Shoot_m2]],2)</f>
        <v>3</v>
      </c>
      <c r="BG47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7" s="3">
        <f>IF(CropNorms_Brinjal[[#This Row],[Max_LAI]]&gt;=1.2, 0.85*CropNorms_Brinjal[[#This Row],[Max_LAI]], 1)</f>
        <v>2.5499999999999998</v>
      </c>
      <c r="BI47" s="41">
        <f>_xlfn.XLOOKUP(CropNorms_Brinjal[[#This Row],[LAI_End_BBCH]], CropPhenology_Brinjal[Sub_Stage], CropPhenology_Brinjal[End_GDD], "Not Found")</f>
        <v>1150</v>
      </c>
      <c r="BJ47" s="3" cm="1">
        <f t="array" ref="BJ47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7" s="3" cm="1">
        <f t="array" ref="BK4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7" s="3" cm="1">
        <f t="array" ref="BL47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7" s="3" cm="1">
        <f t="array" ref="BM4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" s="42">
        <v>0.3</v>
      </c>
      <c r="BO47" s="43">
        <v>0.85</v>
      </c>
      <c r="BP47" s="42">
        <v>17</v>
      </c>
      <c r="BQ47" s="43" t="s">
        <v>1741</v>
      </c>
      <c r="BR47" s="69" t="str" cm="1">
        <f t="array" ref="BR4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" s="3" t="str" cm="1">
        <f t="array" ref="BS4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7" s="3" t="str" cm="1">
        <f t="array" ref="BT47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7" s="70" t="str" cm="1">
        <f t="array" ref="BU47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7" s="48">
        <v>75</v>
      </c>
      <c r="BW47" s="1">
        <v>30</v>
      </c>
      <c r="BX47" s="44">
        <v>40</v>
      </c>
      <c r="BY47" s="51">
        <v>45703</v>
      </c>
      <c r="BZ47" s="5">
        <v>45731</v>
      </c>
      <c r="CA47" s="85">
        <v>0</v>
      </c>
      <c r="CB47" s="2">
        <v>0</v>
      </c>
      <c r="CC47" s="2">
        <v>1</v>
      </c>
      <c r="CD47" s="2">
        <v>1</v>
      </c>
      <c r="CE47" s="2">
        <v>1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O47" s="1">
        <v>39</v>
      </c>
      <c r="CP47" s="27" t="s">
        <v>1374</v>
      </c>
      <c r="CQ47" s="27" t="s">
        <v>1765</v>
      </c>
      <c r="CR47" s="27" t="s">
        <v>1795</v>
      </c>
    </row>
    <row r="48" spans="2:96" ht="11.25" thickBot="1" x14ac:dyDescent="0.3">
      <c r="B48" s="36" t="s">
        <v>19</v>
      </c>
      <c r="C48" s="1" t="s">
        <v>36</v>
      </c>
      <c r="K48" s="1" t="s">
        <v>1763</v>
      </c>
      <c r="L48" s="1" t="s">
        <v>1750</v>
      </c>
      <c r="M48" s="1" t="s">
        <v>362</v>
      </c>
      <c r="N48" s="6">
        <v>14</v>
      </c>
      <c r="O48" s="1" t="s">
        <v>4</v>
      </c>
      <c r="P48" s="1">
        <v>150</v>
      </c>
      <c r="Q48" s="1">
        <v>15</v>
      </c>
      <c r="R48" s="1">
        <v>10</v>
      </c>
      <c r="S48" s="1">
        <v>30</v>
      </c>
      <c r="T48" s="1">
        <v>40</v>
      </c>
      <c r="U48" s="254">
        <v>4</v>
      </c>
      <c r="V48" s="1">
        <v>90</v>
      </c>
      <c r="W48" s="44">
        <v>130</v>
      </c>
      <c r="X48" s="40">
        <f>_xlfn.XLOOKUP("Ripening", CropPhenology_Brinjal[Main_Stage], CropPhenology_Brinjal[Start_GDD], "Not Found")</f>
        <v>1151</v>
      </c>
      <c r="Y48" s="4" cm="1">
        <f t="array" ref="Y48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Z48" s="3">
        <f t="shared" si="19"/>
        <v>12.76025641025641</v>
      </c>
      <c r="AA48" s="41">
        <f t="shared" si="20"/>
        <v>117.55249673465286</v>
      </c>
      <c r="AB48" s="1">
        <v>7.5</v>
      </c>
      <c r="AC48" s="1">
        <v>18</v>
      </c>
      <c r="AD48" s="1">
        <v>4</v>
      </c>
      <c r="AE48" s="1">
        <v>85</v>
      </c>
      <c r="AF48" s="1">
        <v>15</v>
      </c>
      <c r="AG48" s="1">
        <v>5</v>
      </c>
      <c r="AH48" s="3">
        <f t="shared" si="13"/>
        <v>2.9688863247863249</v>
      </c>
      <c r="AI48" s="1">
        <v>6</v>
      </c>
      <c r="AJ48" s="1">
        <v>7.5</v>
      </c>
      <c r="AK48" s="160">
        <v>1.5</v>
      </c>
      <c r="AL48" s="161">
        <v>0.1</v>
      </c>
      <c r="AM48" s="1">
        <v>500</v>
      </c>
      <c r="AN48" s="1">
        <v>600</v>
      </c>
      <c r="AO48" s="48">
        <v>1.5</v>
      </c>
      <c r="AP48" s="44">
        <v>80</v>
      </c>
      <c r="AQ48" s="42">
        <v>0.75</v>
      </c>
      <c r="AR48" s="1">
        <v>75</v>
      </c>
      <c r="AS48" s="1">
        <v>45</v>
      </c>
      <c r="AT48" s="1">
        <v>1</v>
      </c>
      <c r="AU48" s="4">
        <f t="shared" si="21"/>
        <v>2.9629629629629628</v>
      </c>
      <c r="AV48" s="3">
        <f t="shared" si="22"/>
        <v>4.4400000000000004</v>
      </c>
      <c r="AW48" s="1">
        <v>85</v>
      </c>
      <c r="AX48" s="3">
        <f t="shared" si="23"/>
        <v>2.52</v>
      </c>
      <c r="AY48" s="1">
        <v>3</v>
      </c>
      <c r="AZ48" s="4">
        <f t="shared" si="26"/>
        <v>7.5600000000000005</v>
      </c>
      <c r="BA48" s="49">
        <v>0.9</v>
      </c>
      <c r="BB48" s="4">
        <f t="shared" si="25"/>
        <v>6.8040000000000003</v>
      </c>
      <c r="BC48" s="50">
        <v>0.44104411764705886</v>
      </c>
      <c r="BD48" s="69">
        <f>IFERROR(
  MAX(0.05, MIN(0.5, CropNorms_Brinjal[[#This Row],[Leaf_Area_Per_Shoot_m2]] * CropNorms_Brinjal[[#This Row],[Shoot_Bearing_m2]] )),
  0.2
)</f>
        <v>0.5</v>
      </c>
      <c r="BE48" s="4">
        <f>_xlfn.XLOOKUP(CropNorms_Brinjal[[#This Row],[LAI_Start_BBCH]], CropPhenology_Brinjal[Sub_Stage], CropPhenology_Brinjal[Start_GDD], "Not Found")</f>
        <v>121</v>
      </c>
      <c r="BF48" s="3">
        <f>ROUND(CropNorms_Brinjal[[#This Row],[Shoot_Bearing_m2]]*CropNorms_Brinjal[[#This Row],[Leaf_Area_Per_Shoot_m2]],2)</f>
        <v>3</v>
      </c>
      <c r="BG48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H48" s="3">
        <f>IF(CropNorms_Brinjal[[#This Row],[Max_LAI]]&gt;=1.2, 0.85*CropNorms_Brinjal[[#This Row],[Max_LAI]], 1)</f>
        <v>2.5499999999999998</v>
      </c>
      <c r="BI48" s="41">
        <f>_xlfn.XLOOKUP(CropNorms_Brinjal[[#This Row],[LAI_End_BBCH]], CropPhenology_Brinjal[Sub_Stage], CropPhenology_Brinjal[End_GDD], "Not Found")</f>
        <v>1150</v>
      </c>
      <c r="BJ48" s="3" cm="1">
        <f t="array" ref="BJ48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K48" s="3" cm="1">
        <f t="array" ref="BK4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L48" s="3" cm="1">
        <f t="array" ref="BL48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M48" s="3" cm="1">
        <f t="array" ref="BM4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" s="42">
        <v>0.3</v>
      </c>
      <c r="BO48" s="43">
        <v>0.85</v>
      </c>
      <c r="BP48" s="42">
        <v>17</v>
      </c>
      <c r="BQ48" s="43" t="s">
        <v>1741</v>
      </c>
      <c r="BR48" s="69" t="str" cm="1">
        <f t="array" ref="BR4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" s="3" t="str" cm="1">
        <f t="array" ref="BS4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T48" s="3" t="str" cm="1">
        <f t="array" ref="BT48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48" s="70" t="str" cm="1">
        <f t="array" ref="BU48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48" s="48">
        <v>75</v>
      </c>
      <c r="BW48" s="1">
        <v>30</v>
      </c>
      <c r="BX48" s="44">
        <v>40</v>
      </c>
      <c r="BY48" s="51">
        <v>45703</v>
      </c>
      <c r="BZ48" s="5">
        <v>45731</v>
      </c>
      <c r="CA48" s="85">
        <v>0</v>
      </c>
      <c r="CB48" s="2">
        <v>0</v>
      </c>
      <c r="CC48" s="2">
        <v>1</v>
      </c>
      <c r="CD48" s="2">
        <v>1</v>
      </c>
      <c r="CE48" s="2">
        <v>1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O48" s="1">
        <v>40</v>
      </c>
      <c r="CP48" s="27" t="s">
        <v>986</v>
      </c>
      <c r="CQ48" s="27" t="s">
        <v>1770</v>
      </c>
      <c r="CR48" s="27" t="s">
        <v>1787</v>
      </c>
    </row>
    <row r="49" spans="2:96" ht="11.25" thickBot="1" x14ac:dyDescent="0.3">
      <c r="Y49" s="3"/>
      <c r="Z49" s="4"/>
      <c r="AG49" s="3"/>
      <c r="AR49" s="4"/>
      <c r="AS49" s="3"/>
      <c r="AU49" s="3"/>
      <c r="AW49" s="4"/>
      <c r="AX49" s="49"/>
      <c r="AY49" s="4"/>
      <c r="BV49" s="51"/>
      <c r="BW49" s="51"/>
      <c r="CO49" s="1">
        <v>41</v>
      </c>
      <c r="CP49" s="27" t="s">
        <v>1042</v>
      </c>
      <c r="CQ49" s="27" t="s">
        <v>1770</v>
      </c>
      <c r="CR49" s="27" t="s">
        <v>1786</v>
      </c>
    </row>
    <row r="50" spans="2:96" ht="11.25" thickBot="1" x14ac:dyDescent="0.3">
      <c r="B50" s="54" t="s">
        <v>1753</v>
      </c>
      <c r="C50" s="53" t="s">
        <v>1754</v>
      </c>
      <c r="D50" s="53" t="s">
        <v>1804</v>
      </c>
      <c r="E50" s="53" t="s">
        <v>1805</v>
      </c>
      <c r="F50" s="53" t="s">
        <v>1806</v>
      </c>
      <c r="G50" s="53" t="s">
        <v>1807</v>
      </c>
      <c r="H50" s="53" t="s">
        <v>1808</v>
      </c>
      <c r="I50" s="53" t="s">
        <v>1809</v>
      </c>
      <c r="J50" s="53" t="s">
        <v>1810</v>
      </c>
      <c r="K50" s="53" t="s">
        <v>1747</v>
      </c>
      <c r="L50" s="54" t="s">
        <v>1749</v>
      </c>
      <c r="M50" s="53" t="s">
        <v>357</v>
      </c>
      <c r="N50" s="55" t="s">
        <v>692</v>
      </c>
      <c r="O50" s="53" t="s">
        <v>325</v>
      </c>
      <c r="P50" s="53" t="s">
        <v>356</v>
      </c>
      <c r="Q50" s="53" t="s">
        <v>326</v>
      </c>
      <c r="R50" s="53" t="s">
        <v>327</v>
      </c>
      <c r="S50" s="53" t="s">
        <v>328</v>
      </c>
      <c r="T50" s="53" t="s">
        <v>329</v>
      </c>
      <c r="U50" s="250" t="s">
        <v>2349</v>
      </c>
      <c r="V50" s="53" t="s">
        <v>330</v>
      </c>
      <c r="W50" s="53" t="s">
        <v>331</v>
      </c>
      <c r="X50" s="56" t="s">
        <v>354</v>
      </c>
      <c r="Y50" s="57" t="s">
        <v>355</v>
      </c>
      <c r="Z50" s="58" t="s">
        <v>413</v>
      </c>
      <c r="AA50" s="59" t="s">
        <v>583</v>
      </c>
      <c r="AB50" s="53" t="s">
        <v>324</v>
      </c>
      <c r="AC50" s="53" t="s">
        <v>332</v>
      </c>
      <c r="AD50" s="53" t="s">
        <v>333</v>
      </c>
      <c r="AE50" s="53" t="s">
        <v>334</v>
      </c>
      <c r="AF50" s="53" t="s">
        <v>335</v>
      </c>
      <c r="AG50" s="53" t="s">
        <v>336</v>
      </c>
      <c r="AH50" s="60" t="s">
        <v>337</v>
      </c>
      <c r="AI50" s="53" t="s">
        <v>338</v>
      </c>
      <c r="AJ50" s="53" t="s">
        <v>339</v>
      </c>
      <c r="AK50" s="157" t="s">
        <v>2346</v>
      </c>
      <c r="AL50" s="158" t="s">
        <v>2347</v>
      </c>
      <c r="AM50" s="53" t="s">
        <v>340</v>
      </c>
      <c r="AN50" s="53" t="s">
        <v>341</v>
      </c>
      <c r="AO50" s="61" t="s">
        <v>342</v>
      </c>
      <c r="AP50" s="62" t="s">
        <v>343</v>
      </c>
      <c r="AQ50" s="55" t="s">
        <v>344</v>
      </c>
      <c r="AR50" s="53" t="s">
        <v>345</v>
      </c>
      <c r="AS50" s="53" t="s">
        <v>346</v>
      </c>
      <c r="AT50" s="53" t="s">
        <v>364</v>
      </c>
      <c r="AU50" s="60" t="s">
        <v>347</v>
      </c>
      <c r="AV50" s="58" t="s">
        <v>363</v>
      </c>
      <c r="AW50" s="53" t="s">
        <v>348</v>
      </c>
      <c r="AX50" s="58" t="s">
        <v>349</v>
      </c>
      <c r="AY50" s="53" t="s">
        <v>366</v>
      </c>
      <c r="AZ50" s="60" t="s">
        <v>350</v>
      </c>
      <c r="BA50" s="53" t="s">
        <v>365</v>
      </c>
      <c r="BB50" s="60" t="s">
        <v>1827</v>
      </c>
      <c r="BC50" s="63" t="s">
        <v>351</v>
      </c>
      <c r="BD50" s="71" t="s">
        <v>1811</v>
      </c>
      <c r="BE50" s="57" t="s">
        <v>352</v>
      </c>
      <c r="BF50" s="58" t="s">
        <v>1812</v>
      </c>
      <c r="BG50" s="57" t="s">
        <v>1752</v>
      </c>
      <c r="BH50" s="60" t="s">
        <v>1813</v>
      </c>
      <c r="BI50" s="59" t="s">
        <v>353</v>
      </c>
      <c r="BJ50" s="71" t="s">
        <v>1828</v>
      </c>
      <c r="BK50" s="58" t="s">
        <v>1829</v>
      </c>
      <c r="BL50" s="58" t="s">
        <v>1830</v>
      </c>
      <c r="BM50" s="72" t="s">
        <v>1831</v>
      </c>
      <c r="BN50" s="64" t="s">
        <v>1154</v>
      </c>
      <c r="BO50" s="65" t="s">
        <v>1742</v>
      </c>
      <c r="BP50" s="64" t="s">
        <v>1155</v>
      </c>
      <c r="BQ50" s="65" t="s">
        <v>1755</v>
      </c>
      <c r="BR50" s="71" t="s">
        <v>367</v>
      </c>
      <c r="BS50" s="58" t="s">
        <v>1751</v>
      </c>
      <c r="BT50" s="58" t="s">
        <v>368</v>
      </c>
      <c r="BU50" s="156" t="s">
        <v>1814</v>
      </c>
      <c r="BV50" s="61" t="s">
        <v>369</v>
      </c>
      <c r="BW50" s="53" t="s">
        <v>370</v>
      </c>
      <c r="BX50" s="62" t="s">
        <v>371</v>
      </c>
      <c r="BY50" s="53" t="s">
        <v>359</v>
      </c>
      <c r="BZ50" s="53" t="s">
        <v>361</v>
      </c>
      <c r="CA50" s="61" t="s">
        <v>1815</v>
      </c>
      <c r="CB50" s="53" t="s">
        <v>1816</v>
      </c>
      <c r="CC50" s="53" t="s">
        <v>1817</v>
      </c>
      <c r="CD50" s="53" t="s">
        <v>1818</v>
      </c>
      <c r="CE50" s="53" t="s">
        <v>1819</v>
      </c>
      <c r="CF50" s="53" t="s">
        <v>1820</v>
      </c>
      <c r="CG50" s="53" t="s">
        <v>1821</v>
      </c>
      <c r="CH50" s="53" t="s">
        <v>1822</v>
      </c>
      <c r="CI50" s="53" t="s">
        <v>1823</v>
      </c>
      <c r="CJ50" s="53" t="s">
        <v>1824</v>
      </c>
      <c r="CK50" s="53" t="s">
        <v>1825</v>
      </c>
      <c r="CL50" s="53" t="s">
        <v>1826</v>
      </c>
      <c r="CO50" s="1">
        <v>42</v>
      </c>
      <c r="CP50" s="27" t="s">
        <v>1970</v>
      </c>
      <c r="CQ50" s="27" t="s">
        <v>1769</v>
      </c>
      <c r="CR50" s="27" t="s">
        <v>1745</v>
      </c>
    </row>
    <row r="51" spans="2:96" x14ac:dyDescent="0.25">
      <c r="B51" s="36" t="s">
        <v>37</v>
      </c>
      <c r="C51" s="1" t="s">
        <v>38</v>
      </c>
      <c r="K51" s="1" t="s">
        <v>1767</v>
      </c>
      <c r="L51" s="1" t="s">
        <v>1750</v>
      </c>
      <c r="M51" s="1" t="s">
        <v>372</v>
      </c>
      <c r="N51" s="6">
        <v>12</v>
      </c>
      <c r="O51" s="1" t="s">
        <v>4</v>
      </c>
      <c r="P51" s="1">
        <v>0.5</v>
      </c>
      <c r="Q51" s="1">
        <v>7</v>
      </c>
      <c r="R51" s="1">
        <v>4</v>
      </c>
      <c r="S51" s="1">
        <v>22</v>
      </c>
      <c r="T51" s="1">
        <v>28</v>
      </c>
      <c r="U51" s="253">
        <v>3</v>
      </c>
      <c r="V51" s="1">
        <v>50</v>
      </c>
      <c r="W51" s="44">
        <v>80</v>
      </c>
      <c r="X51" s="40">
        <f>_xlfn.XLOOKUP("Ripening", CropPhenology_Broccoli[Main_Stage], CropPhenology_Broccoli[Start_GDD], "Not Found")</f>
        <v>2501</v>
      </c>
      <c r="Y51" s="4" cm="1">
        <f t="array" ref="Y51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f>
        <v>2860</v>
      </c>
      <c r="Z51" s="3">
        <f>MIN(Y51/V51,MAX(X51/W51,R51,(X51/W51+Y51/V51)/2))</f>
        <v>44.231250000000003</v>
      </c>
      <c r="AA51" s="41">
        <f t="shared" ref="AA51:AA52" si="27">Y51/Z51</f>
        <v>64.660166737318065</v>
      </c>
      <c r="AB51" s="1">
        <v>6.5</v>
      </c>
      <c r="AC51" s="1">
        <v>10</v>
      </c>
      <c r="AD51" s="1">
        <v>2.5</v>
      </c>
      <c r="AE51" s="1">
        <v>90</v>
      </c>
      <c r="AF51" s="1">
        <v>5</v>
      </c>
      <c r="AG51" s="1">
        <v>5</v>
      </c>
      <c r="AH51" s="3">
        <f t="shared" si="13"/>
        <v>5.552104458041959</v>
      </c>
      <c r="AI51" s="1">
        <v>6</v>
      </c>
      <c r="AJ51" s="1">
        <v>7.5</v>
      </c>
      <c r="AK51" s="159">
        <v>2.8</v>
      </c>
      <c r="AL51" s="150">
        <v>0.09</v>
      </c>
      <c r="AM51" s="1">
        <v>300</v>
      </c>
      <c r="AN51" s="1">
        <v>500</v>
      </c>
      <c r="AO51" s="48">
        <v>1</v>
      </c>
      <c r="AP51" s="44">
        <v>30</v>
      </c>
      <c r="AQ51" s="42">
        <v>0.7</v>
      </c>
      <c r="AR51" s="1">
        <v>60</v>
      </c>
      <c r="AS51" s="1">
        <v>45</v>
      </c>
      <c r="AT51" s="1">
        <v>1</v>
      </c>
      <c r="AU51" s="4">
        <f t="shared" si="21"/>
        <v>3.7037037037037037</v>
      </c>
      <c r="AV51" s="3">
        <f>ROUND((P51/1000000)*AU51*10000,2)</f>
        <v>0.02</v>
      </c>
      <c r="AW51" s="1">
        <v>85</v>
      </c>
      <c r="AX51" s="3">
        <f t="shared" ref="AX51:AX68" si="28">IFERROR((AU51*AW51/100),0)</f>
        <v>3.1481481481481484</v>
      </c>
      <c r="AY51" s="1">
        <v>1</v>
      </c>
      <c r="AZ51" s="4">
        <f t="shared" ref="AZ51:AZ52" si="29">IFERROR(AX51*AY51,0)</f>
        <v>3.1481481481481484</v>
      </c>
      <c r="BA51" s="49">
        <v>0.9</v>
      </c>
      <c r="BB51" s="4">
        <f t="shared" si="25"/>
        <v>2.8333333333333335</v>
      </c>
      <c r="BC51" s="50">
        <v>0.9</v>
      </c>
      <c r="BD51" s="69">
        <f>IFERROR(
  MAX(0.05, MIN(0.5, CropNorms_Broccoli[[#This Row],[Leaf_Area_Per_Shoot_m2]] * CropNorms_Broccoli[[#This Row],[Shoot_Bearing_m2]] )),
  0.2
)</f>
        <v>0.5</v>
      </c>
      <c r="BE51" s="4">
        <f>_xlfn.XLOOKUP(CropNorms_Broccoli[[#This Row],[LAI_Start_BBCH]], CropPhenology_Broccoli[Sub_Stage], CropPhenology_Broccoli[Start_GDD], "Not Found")</f>
        <v>151</v>
      </c>
      <c r="BF51" s="3">
        <f>ROUND(CropNorms_Broccoli[[#This Row],[Shoot_Bearing_m2]]*CropNorms_Broccoli[[#This Row],[Leaf_Area_Per_Shoot_m2]],2)</f>
        <v>2.5499999999999998</v>
      </c>
      <c r="BG51" s="4">
        <f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f>
        <v>1580.5</v>
      </c>
      <c r="BH51" s="3">
        <f>IF(CropNorms_Broccoli[[#This Row],[Max_LAI]]&gt;=1.2, 0.85*CropNorms_Broccoli[[#This Row],[Max_LAI]], 1)</f>
        <v>2.1675</v>
      </c>
      <c r="BI51" s="41">
        <f>_xlfn.XLOOKUP(CropNorms_Broccoli[[#This Row],[LAI_End_BBCH]], CropPhenology_Broccoli[Sub_Stage], CropPhenology_Broccoli[End_GDD], "Not Found")</f>
        <v>2500</v>
      </c>
      <c r="BJ51" s="3" cm="1">
        <f t="array" ref="BJ51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2.5857496972727709</v>
      </c>
      <c r="BK51" s="3" cm="1">
        <f t="array" ref="BK5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0.945622535532886</v>
      </c>
      <c r="BL51" s="3" cm="1">
        <f t="array" ref="BL51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1.1456239482142669</v>
      </c>
      <c r="BM51" s="3" cm="1">
        <f t="array" ref="BM5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1" s="42">
        <v>0.35</v>
      </c>
      <c r="BO51" s="43">
        <v>0.85</v>
      </c>
      <c r="BP51" s="42">
        <v>11</v>
      </c>
      <c r="BQ51" s="43" t="s">
        <v>1796</v>
      </c>
      <c r="BR51" s="69" t="str" cm="1">
        <f t="array" ref="BR5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1" s="3" t="str" cm="1">
        <f t="array" ref="BS5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51" s="3" t="str" cm="1">
        <f t="array" ref="BT51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51" s="70" t="str" cm="1">
        <f t="array" ref="BU51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51" s="48">
        <v>80</v>
      </c>
      <c r="BW51" s="1">
        <v>40</v>
      </c>
      <c r="BX51" s="44">
        <v>60</v>
      </c>
      <c r="BY51" s="51">
        <v>45870</v>
      </c>
      <c r="BZ51" s="5">
        <v>45991</v>
      </c>
      <c r="CA51" s="85">
        <v>0</v>
      </c>
      <c r="CB51" s="2">
        <v>0</v>
      </c>
      <c r="CC51" s="2">
        <v>1</v>
      </c>
      <c r="CD51" s="2">
        <v>1</v>
      </c>
      <c r="CE51" s="2">
        <v>1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O51" s="1">
        <v>43</v>
      </c>
      <c r="CP51" s="27" t="s">
        <v>1376</v>
      </c>
      <c r="CQ51" s="27" t="s">
        <v>1748</v>
      </c>
      <c r="CR51" s="27" t="s">
        <v>1795</v>
      </c>
    </row>
    <row r="52" spans="2:96" ht="11.25" thickBot="1" x14ac:dyDescent="0.3">
      <c r="B52" s="36" t="s">
        <v>37</v>
      </c>
      <c r="C52" s="1" t="s">
        <v>39</v>
      </c>
      <c r="K52" s="1" t="s">
        <v>1767</v>
      </c>
      <c r="L52" s="1" t="s">
        <v>1750</v>
      </c>
      <c r="M52" s="1" t="s">
        <v>372</v>
      </c>
      <c r="N52" s="6">
        <v>12</v>
      </c>
      <c r="O52" s="1" t="s">
        <v>4</v>
      </c>
      <c r="P52" s="1">
        <v>0.6</v>
      </c>
      <c r="Q52" s="1">
        <v>7</v>
      </c>
      <c r="R52" s="1">
        <v>4</v>
      </c>
      <c r="S52" s="1">
        <v>22</v>
      </c>
      <c r="T52" s="1">
        <v>28</v>
      </c>
      <c r="U52" s="254">
        <v>3</v>
      </c>
      <c r="V52" s="1">
        <v>50</v>
      </c>
      <c r="W52" s="44">
        <v>80</v>
      </c>
      <c r="X52" s="40">
        <f>_xlfn.XLOOKUP("Ripening", CropPhenology_Broccoli[Main_Stage], CropPhenology_Broccoli[Start_GDD], "Not Found")</f>
        <v>2501</v>
      </c>
      <c r="Y52" s="4" cm="1">
        <f t="array" ref="Y52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f>
        <v>2860</v>
      </c>
      <c r="Z52" s="3">
        <f>MIN(Y52/V52,MAX(X52/W52,R52,(X52/W52+Y52/V52)/2))</f>
        <v>44.231250000000003</v>
      </c>
      <c r="AA52" s="41">
        <f t="shared" si="27"/>
        <v>64.660166737318065</v>
      </c>
      <c r="AB52" s="1">
        <v>6.5</v>
      </c>
      <c r="AC52" s="1">
        <v>10</v>
      </c>
      <c r="AD52" s="1">
        <v>2.5</v>
      </c>
      <c r="AE52" s="1">
        <v>90</v>
      </c>
      <c r="AF52" s="1">
        <v>5</v>
      </c>
      <c r="AG52" s="1">
        <v>5</v>
      </c>
      <c r="AH52" s="3">
        <f t="shared" si="13"/>
        <v>5.552104458041959</v>
      </c>
      <c r="AI52" s="1">
        <v>6</v>
      </c>
      <c r="AJ52" s="1">
        <v>7.5</v>
      </c>
      <c r="AK52" s="160">
        <v>2.8</v>
      </c>
      <c r="AL52" s="161">
        <v>0.09</v>
      </c>
      <c r="AM52" s="1">
        <v>300</v>
      </c>
      <c r="AN52" s="1">
        <v>500</v>
      </c>
      <c r="AO52" s="48">
        <v>1</v>
      </c>
      <c r="AP52" s="44">
        <v>30</v>
      </c>
      <c r="AQ52" s="42">
        <v>0.7</v>
      </c>
      <c r="AR52" s="1">
        <v>60</v>
      </c>
      <c r="AS52" s="1">
        <v>45</v>
      </c>
      <c r="AT52" s="1">
        <v>1</v>
      </c>
      <c r="AU52" s="4">
        <f t="shared" si="21"/>
        <v>3.7037037037037037</v>
      </c>
      <c r="AV52" s="3">
        <f>ROUND((P52/1000000)*AU52*10000,2)</f>
        <v>0.02</v>
      </c>
      <c r="AW52" s="1">
        <v>85</v>
      </c>
      <c r="AX52" s="3">
        <f t="shared" si="28"/>
        <v>3.1481481481481484</v>
      </c>
      <c r="AY52" s="1">
        <v>1</v>
      </c>
      <c r="AZ52" s="4">
        <f t="shared" si="29"/>
        <v>3.1481481481481484</v>
      </c>
      <c r="BA52" s="49">
        <v>0.9</v>
      </c>
      <c r="BB52" s="4">
        <f t="shared" si="25"/>
        <v>2.8333333333333335</v>
      </c>
      <c r="BC52" s="50">
        <v>0.9</v>
      </c>
      <c r="BD52" s="69">
        <f>IFERROR(
  MAX(0.05, MIN(0.5, CropNorms_Broccoli[[#This Row],[Leaf_Area_Per_Shoot_m2]] * CropNorms_Broccoli[[#This Row],[Shoot_Bearing_m2]] )),
  0.2
)</f>
        <v>0.5</v>
      </c>
      <c r="BE52" s="4">
        <f>_xlfn.XLOOKUP(CropNorms_Broccoli[[#This Row],[LAI_Start_BBCH]], CropPhenology_Broccoli[Sub_Stage], CropPhenology_Broccoli[Start_GDD], "Not Found")</f>
        <v>151</v>
      </c>
      <c r="BF52" s="3">
        <f>ROUND(CropNorms_Broccoli[[#This Row],[Shoot_Bearing_m2]]*CropNorms_Broccoli[[#This Row],[Leaf_Area_Per_Shoot_m2]],2)</f>
        <v>2.5499999999999998</v>
      </c>
      <c r="BG52" s="4">
        <f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f>
        <v>1580.5</v>
      </c>
      <c r="BH52" s="3">
        <f>IF(CropNorms_Broccoli[[#This Row],[Max_LAI]]&gt;=1.2, 0.85*CropNorms_Broccoli[[#This Row],[Max_LAI]], 1)</f>
        <v>2.1675</v>
      </c>
      <c r="BI52" s="41">
        <f>_xlfn.XLOOKUP(CropNorms_Broccoli[[#This Row],[LAI_End_BBCH]], CropPhenology_Broccoli[Sub_Stage], CropPhenology_Broccoli[End_GDD], "Not Found")</f>
        <v>2500</v>
      </c>
      <c r="BJ52" s="3" cm="1">
        <f t="array" ref="BJ52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2.5857496972727709</v>
      </c>
      <c r="BK52" s="3" cm="1">
        <f t="array" ref="BK52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0.945622535532886</v>
      </c>
      <c r="BL52" s="3" cm="1">
        <f t="array" ref="BL52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1.1456239482142669</v>
      </c>
      <c r="BM52" s="3" cm="1">
        <f t="array" ref="BM52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2" s="42">
        <v>0.35</v>
      </c>
      <c r="BO52" s="43">
        <v>0.85</v>
      </c>
      <c r="BP52" s="42">
        <v>11</v>
      </c>
      <c r="BQ52" s="43" t="s">
        <v>1796</v>
      </c>
      <c r="BR52" s="69" t="str" cm="1">
        <f t="array" ref="BR52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2" s="3" t="str" cm="1">
        <f t="array" ref="BS52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52" s="3" t="str" cm="1">
        <f t="array" ref="BT52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52" s="70" t="str" cm="1">
        <f t="array" ref="BU52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52" s="48">
        <v>80</v>
      </c>
      <c r="BW52" s="1">
        <v>40</v>
      </c>
      <c r="BX52" s="44">
        <v>60</v>
      </c>
      <c r="BY52" s="51">
        <v>45870</v>
      </c>
      <c r="BZ52" s="5">
        <v>45991</v>
      </c>
      <c r="CA52" s="85">
        <v>0</v>
      </c>
      <c r="CB52" s="2">
        <v>0</v>
      </c>
      <c r="CC52" s="2">
        <v>1</v>
      </c>
      <c r="CD52" s="2">
        <v>1</v>
      </c>
      <c r="CE52" s="2">
        <v>1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O52" s="1">
        <v>44</v>
      </c>
      <c r="CP52" s="27" t="s">
        <v>1045</v>
      </c>
      <c r="CQ52" s="27" t="s">
        <v>1748</v>
      </c>
      <c r="CR52" s="27" t="s">
        <v>1795</v>
      </c>
    </row>
    <row r="53" spans="2:96" ht="11.25" thickBot="1" x14ac:dyDescent="0.3">
      <c r="Y53" s="3"/>
      <c r="Z53" s="4"/>
      <c r="AG53" s="3"/>
      <c r="AR53" s="4"/>
      <c r="AS53" s="3"/>
      <c r="AU53" s="3"/>
      <c r="AW53" s="4"/>
      <c r="AX53" s="49"/>
      <c r="AY53" s="4"/>
      <c r="BV53" s="51"/>
      <c r="BW53" s="51"/>
      <c r="CO53" s="1">
        <v>45</v>
      </c>
      <c r="CP53" s="27" t="s">
        <v>1661</v>
      </c>
      <c r="CQ53" s="27" t="s">
        <v>1748</v>
      </c>
      <c r="CR53" s="27" t="s">
        <v>1795</v>
      </c>
    </row>
    <row r="54" spans="2:96" ht="11.25" thickBot="1" x14ac:dyDescent="0.3">
      <c r="B54" s="54" t="s">
        <v>1753</v>
      </c>
      <c r="C54" s="53" t="s">
        <v>1754</v>
      </c>
      <c r="D54" s="53" t="s">
        <v>1804</v>
      </c>
      <c r="E54" s="53" t="s">
        <v>1805</v>
      </c>
      <c r="F54" s="53" t="s">
        <v>1806</v>
      </c>
      <c r="G54" s="53" t="s">
        <v>1807</v>
      </c>
      <c r="H54" s="53" t="s">
        <v>1808</v>
      </c>
      <c r="I54" s="53" t="s">
        <v>1809</v>
      </c>
      <c r="J54" s="53" t="s">
        <v>1810</v>
      </c>
      <c r="K54" s="53" t="s">
        <v>1747</v>
      </c>
      <c r="L54" s="54" t="s">
        <v>1749</v>
      </c>
      <c r="M54" s="53" t="s">
        <v>357</v>
      </c>
      <c r="N54" s="55" t="s">
        <v>692</v>
      </c>
      <c r="O54" s="53" t="s">
        <v>325</v>
      </c>
      <c r="P54" s="53" t="s">
        <v>356</v>
      </c>
      <c r="Q54" s="53" t="s">
        <v>326</v>
      </c>
      <c r="R54" s="53" t="s">
        <v>327</v>
      </c>
      <c r="S54" s="53" t="s">
        <v>328</v>
      </c>
      <c r="T54" s="53" t="s">
        <v>329</v>
      </c>
      <c r="U54" s="250" t="s">
        <v>2349</v>
      </c>
      <c r="V54" s="53" t="s">
        <v>330</v>
      </c>
      <c r="W54" s="53" t="s">
        <v>331</v>
      </c>
      <c r="X54" s="56" t="s">
        <v>354</v>
      </c>
      <c r="Y54" s="57" t="s">
        <v>355</v>
      </c>
      <c r="Z54" s="58" t="s">
        <v>413</v>
      </c>
      <c r="AA54" s="59" t="s">
        <v>583</v>
      </c>
      <c r="AB54" s="53" t="s">
        <v>324</v>
      </c>
      <c r="AC54" s="53" t="s">
        <v>332</v>
      </c>
      <c r="AD54" s="53" t="s">
        <v>333</v>
      </c>
      <c r="AE54" s="53" t="s">
        <v>334</v>
      </c>
      <c r="AF54" s="53" t="s">
        <v>335</v>
      </c>
      <c r="AG54" s="53" t="s">
        <v>336</v>
      </c>
      <c r="AH54" s="60" t="s">
        <v>337</v>
      </c>
      <c r="AI54" s="53" t="s">
        <v>338</v>
      </c>
      <c r="AJ54" s="53" t="s">
        <v>339</v>
      </c>
      <c r="AK54" s="157" t="s">
        <v>2346</v>
      </c>
      <c r="AL54" s="158" t="s">
        <v>2347</v>
      </c>
      <c r="AM54" s="53" t="s">
        <v>340</v>
      </c>
      <c r="AN54" s="53" t="s">
        <v>341</v>
      </c>
      <c r="AO54" s="61" t="s">
        <v>342</v>
      </c>
      <c r="AP54" s="62" t="s">
        <v>343</v>
      </c>
      <c r="AQ54" s="55" t="s">
        <v>344</v>
      </c>
      <c r="AR54" s="53" t="s">
        <v>345</v>
      </c>
      <c r="AS54" s="53" t="s">
        <v>346</v>
      </c>
      <c r="AT54" s="53" t="s">
        <v>364</v>
      </c>
      <c r="AU54" s="60" t="s">
        <v>347</v>
      </c>
      <c r="AV54" s="58" t="s">
        <v>363</v>
      </c>
      <c r="AW54" s="53" t="s">
        <v>348</v>
      </c>
      <c r="AX54" s="58" t="s">
        <v>349</v>
      </c>
      <c r="AY54" s="53" t="s">
        <v>366</v>
      </c>
      <c r="AZ54" s="60" t="s">
        <v>350</v>
      </c>
      <c r="BA54" s="53" t="s">
        <v>365</v>
      </c>
      <c r="BB54" s="60" t="s">
        <v>1827</v>
      </c>
      <c r="BC54" s="63" t="s">
        <v>351</v>
      </c>
      <c r="BD54" s="71" t="s">
        <v>1811</v>
      </c>
      <c r="BE54" s="57" t="s">
        <v>352</v>
      </c>
      <c r="BF54" s="58" t="s">
        <v>1812</v>
      </c>
      <c r="BG54" s="57" t="s">
        <v>1752</v>
      </c>
      <c r="BH54" s="60" t="s">
        <v>1813</v>
      </c>
      <c r="BI54" s="59" t="s">
        <v>353</v>
      </c>
      <c r="BJ54" s="71" t="s">
        <v>1828</v>
      </c>
      <c r="BK54" s="58" t="s">
        <v>1829</v>
      </c>
      <c r="BL54" s="58" t="s">
        <v>1830</v>
      </c>
      <c r="BM54" s="72" t="s">
        <v>1831</v>
      </c>
      <c r="BN54" s="64" t="s">
        <v>1154</v>
      </c>
      <c r="BO54" s="65" t="s">
        <v>1742</v>
      </c>
      <c r="BP54" s="64" t="s">
        <v>1155</v>
      </c>
      <c r="BQ54" s="65" t="s">
        <v>1755</v>
      </c>
      <c r="BR54" s="71" t="s">
        <v>367</v>
      </c>
      <c r="BS54" s="58" t="s">
        <v>1751</v>
      </c>
      <c r="BT54" s="58" t="s">
        <v>368</v>
      </c>
      <c r="BU54" s="156" t="s">
        <v>1814</v>
      </c>
      <c r="BV54" s="61" t="s">
        <v>369</v>
      </c>
      <c r="BW54" s="53" t="s">
        <v>370</v>
      </c>
      <c r="BX54" s="62" t="s">
        <v>371</v>
      </c>
      <c r="BY54" s="53" t="s">
        <v>359</v>
      </c>
      <c r="BZ54" s="53" t="s">
        <v>361</v>
      </c>
      <c r="CA54" s="61" t="s">
        <v>1815</v>
      </c>
      <c r="CB54" s="53" t="s">
        <v>1816</v>
      </c>
      <c r="CC54" s="53" t="s">
        <v>1817</v>
      </c>
      <c r="CD54" s="53" t="s">
        <v>1818</v>
      </c>
      <c r="CE54" s="53" t="s">
        <v>1819</v>
      </c>
      <c r="CF54" s="53" t="s">
        <v>1820</v>
      </c>
      <c r="CG54" s="53" t="s">
        <v>1821</v>
      </c>
      <c r="CH54" s="53" t="s">
        <v>1822</v>
      </c>
      <c r="CI54" s="53" t="s">
        <v>1823</v>
      </c>
      <c r="CJ54" s="53" t="s">
        <v>1824</v>
      </c>
      <c r="CK54" s="53" t="s">
        <v>1825</v>
      </c>
      <c r="CL54" s="53" t="s">
        <v>1826</v>
      </c>
      <c r="CO54" s="1">
        <v>46</v>
      </c>
      <c r="CP54" s="27" t="s">
        <v>702</v>
      </c>
      <c r="CQ54" s="27" t="s">
        <v>1769</v>
      </c>
      <c r="CR54" s="27" t="s">
        <v>1745</v>
      </c>
    </row>
    <row r="55" spans="2:96" x14ac:dyDescent="0.25">
      <c r="B55" s="36" t="s">
        <v>40</v>
      </c>
      <c r="C55" s="1" t="s">
        <v>41</v>
      </c>
      <c r="K55" s="1" t="s">
        <v>1767</v>
      </c>
      <c r="L55" s="1" t="s">
        <v>1750</v>
      </c>
      <c r="M55" s="1" t="s">
        <v>358</v>
      </c>
      <c r="N55" s="6">
        <v>10.5</v>
      </c>
      <c r="O55" s="1" t="s">
        <v>4</v>
      </c>
      <c r="P55" s="1">
        <v>0.5</v>
      </c>
      <c r="Q55" s="1">
        <v>7</v>
      </c>
      <c r="R55" s="1">
        <v>4</v>
      </c>
      <c r="S55" s="1">
        <v>20</v>
      </c>
      <c r="T55" s="1">
        <v>30</v>
      </c>
      <c r="U55" s="253">
        <v>3</v>
      </c>
      <c r="V55" s="1">
        <v>55</v>
      </c>
      <c r="W55" s="44">
        <v>110</v>
      </c>
      <c r="X55" s="40">
        <f>_xlfn.XLOOKUP("Ripening", CropPhenology_Cabbage[Main_Stage], CropPhenology_Cabbage[Start_GDD], "Not Found")</f>
        <v>2181</v>
      </c>
      <c r="Y55" s="4" cm="1">
        <f t="array" ref="Y55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Z55" s="3">
        <f>MIN(Y55/V55,MAX(X55/W55,R55,(X55/W55+Y55/V55)/2))</f>
        <v>33.095454545454544</v>
      </c>
      <c r="AA55" s="41">
        <f t="shared" ref="AA55:AA58" si="30">Y55/Z55</f>
        <v>77.049855789039967</v>
      </c>
      <c r="AB55" s="1">
        <v>6.5</v>
      </c>
      <c r="AC55" s="1">
        <v>10</v>
      </c>
      <c r="AD55" s="1">
        <v>2.5</v>
      </c>
      <c r="AE55" s="1">
        <v>90</v>
      </c>
      <c r="AF55" s="1">
        <v>5</v>
      </c>
      <c r="AG55" s="1">
        <v>5</v>
      </c>
      <c r="AH55" s="3">
        <f t="shared" si="13"/>
        <v>4.7891069518716574</v>
      </c>
      <c r="AI55" s="1">
        <v>6</v>
      </c>
      <c r="AJ55" s="1">
        <v>7.5</v>
      </c>
      <c r="AK55" s="159">
        <v>1.8</v>
      </c>
      <c r="AL55" s="150">
        <v>9.7000000000000003E-2</v>
      </c>
      <c r="AM55" s="1">
        <v>300</v>
      </c>
      <c r="AN55" s="1">
        <v>500</v>
      </c>
      <c r="AO55" s="48">
        <v>0.5</v>
      </c>
      <c r="AP55" s="44">
        <v>30</v>
      </c>
      <c r="AQ55" s="42">
        <v>0.75</v>
      </c>
      <c r="AR55" s="1">
        <v>45</v>
      </c>
      <c r="AS55" s="1">
        <v>45</v>
      </c>
      <c r="AT55" s="1">
        <v>1</v>
      </c>
      <c r="AU55" s="4">
        <f t="shared" si="21"/>
        <v>4.9382716049382713</v>
      </c>
      <c r="AV55" s="3">
        <f>ROUND((P55/1000000)*AU55*10000,2)</f>
        <v>0.02</v>
      </c>
      <c r="AW55" s="1">
        <v>85</v>
      </c>
      <c r="AX55" s="3">
        <f t="shared" si="28"/>
        <v>4.1975308641975309</v>
      </c>
      <c r="AY55" s="1">
        <v>1</v>
      </c>
      <c r="AZ55" s="4">
        <f t="shared" ref="AZ55:AZ58" si="31">IFERROR(AX55*AY55,0)</f>
        <v>4.1975308641975309</v>
      </c>
      <c r="BA55" s="49">
        <v>0.9</v>
      </c>
      <c r="BB55" s="4">
        <f t="shared" si="25"/>
        <v>3.7777777777777777</v>
      </c>
      <c r="BC55" s="50">
        <v>0.3</v>
      </c>
      <c r="BD55" s="69">
        <f>IFERROR(
  MAX(0.05, MIN(0.5, CropNorms_Cabbage[[#This Row],[Leaf_Area_Per_Shoot_m2]] * CropNorms_Cabbage[[#This Row],[Shoot_Bearing_m2]] )),
  0.2
)</f>
        <v>0.5</v>
      </c>
      <c r="BE55" s="4">
        <f>_xlfn.XLOOKUP(CropNorms_Cabbage[[#This Row],[LAI_Start_BBCH]], CropPhenology_Cabbage[Sub_Stage], CropPhenology_Cabbage[Start_GDD], "Not Found")</f>
        <v>131</v>
      </c>
      <c r="BF55" s="3">
        <f>ROUND(CropNorms_Cabbage[[#This Row],[Shoot_Bearing_m2]]*CropNorms_Cabbage[[#This Row],[Leaf_Area_Per_Shoot_m2]],2)</f>
        <v>1.1299999999999999</v>
      </c>
      <c r="BG55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H55" s="3">
        <f>IF(CropNorms_Cabbage[[#This Row],[Max_LAI]]&gt;=1.2, 0.85*CropNorms_Cabbage[[#This Row],[Max_LAI]], 1)</f>
        <v>1</v>
      </c>
      <c r="BI55" s="41">
        <f>_xlfn.XLOOKUP(CropNorms_Cabbage[[#This Row],[LAI_End_BBCH]], CropPhenology_Cabbage[Sub_Stage], CropPhenology_Cabbage[End_GDD], "Not Found")</f>
        <v>2180</v>
      </c>
      <c r="BJ55" s="3" cm="1">
        <f t="array" ref="BJ55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55" s="3" cm="1">
        <f t="array" ref="BK55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55" s="3" cm="1">
        <f t="array" ref="BL55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55" s="3" cm="1">
        <f t="array" ref="BM55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5" s="42">
        <v>0.65</v>
      </c>
      <c r="BO55" s="43">
        <v>0.85</v>
      </c>
      <c r="BP55" s="42">
        <v>30</v>
      </c>
      <c r="BQ55" s="43" t="s">
        <v>1799</v>
      </c>
      <c r="BR55" s="69" t="str" cm="1">
        <f t="array" ref="BR55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5" s="3" t="str" cm="1">
        <f t="array" ref="BS55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T55" s="3" t="str" cm="1">
        <f t="array" ref="BT55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55" s="70" t="str" cm="1">
        <f t="array" ref="BU55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55" s="48">
        <v>60</v>
      </c>
      <c r="BW55" s="1">
        <v>30</v>
      </c>
      <c r="BX55" s="44">
        <v>50</v>
      </c>
      <c r="BY55" s="51">
        <v>45870</v>
      </c>
      <c r="BZ55" s="5">
        <v>45991</v>
      </c>
      <c r="CA55" s="85">
        <v>0</v>
      </c>
      <c r="CB55" s="2">
        <v>0</v>
      </c>
      <c r="CC55" s="2">
        <v>1</v>
      </c>
      <c r="CD55" s="2">
        <v>1</v>
      </c>
      <c r="CE55" s="2">
        <v>1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O55" s="1">
        <v>47</v>
      </c>
      <c r="CP55" s="27" t="s">
        <v>1710</v>
      </c>
      <c r="CQ55" s="27" t="s">
        <v>1748</v>
      </c>
      <c r="CR55" s="27" t="s">
        <v>1797</v>
      </c>
    </row>
    <row r="56" spans="2:96" x14ac:dyDescent="0.25">
      <c r="B56" s="36" t="s">
        <v>40</v>
      </c>
      <c r="C56" s="1" t="s">
        <v>42</v>
      </c>
      <c r="K56" s="1" t="s">
        <v>1767</v>
      </c>
      <c r="L56" s="1" t="s">
        <v>1750</v>
      </c>
      <c r="M56" s="1" t="s">
        <v>358</v>
      </c>
      <c r="N56" s="6">
        <v>10.5</v>
      </c>
      <c r="O56" s="1" t="s">
        <v>4</v>
      </c>
      <c r="P56" s="1">
        <v>0.5</v>
      </c>
      <c r="Q56" s="1">
        <v>7</v>
      </c>
      <c r="R56" s="1">
        <v>4</v>
      </c>
      <c r="S56" s="1">
        <v>20</v>
      </c>
      <c r="T56" s="1">
        <v>30</v>
      </c>
      <c r="U56" s="253">
        <v>3</v>
      </c>
      <c r="V56" s="1">
        <v>55</v>
      </c>
      <c r="W56" s="44">
        <v>110</v>
      </c>
      <c r="X56" s="40">
        <f>_xlfn.XLOOKUP("Ripening", CropPhenology_Cabbage[Main_Stage], CropPhenology_Cabbage[Start_GDD], "Not Found")</f>
        <v>2181</v>
      </c>
      <c r="Y56" s="4" cm="1">
        <f t="array" ref="Y56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Z56" s="3">
        <f>MIN(Y56/V56,MAX(X56/W56,R56,(X56/W56+Y56/V56)/2))</f>
        <v>33.095454545454544</v>
      </c>
      <c r="AA56" s="41">
        <f t="shared" si="30"/>
        <v>77.049855789039967</v>
      </c>
      <c r="AB56" s="1">
        <v>6.5</v>
      </c>
      <c r="AC56" s="1">
        <v>10</v>
      </c>
      <c r="AD56" s="1">
        <v>2.5</v>
      </c>
      <c r="AE56" s="1">
        <v>90</v>
      </c>
      <c r="AF56" s="1">
        <v>5</v>
      </c>
      <c r="AG56" s="1">
        <v>5</v>
      </c>
      <c r="AH56" s="3">
        <f t="shared" si="13"/>
        <v>4.7891069518716574</v>
      </c>
      <c r="AI56" s="1">
        <v>6</v>
      </c>
      <c r="AJ56" s="1">
        <v>7.5</v>
      </c>
      <c r="AK56" s="159">
        <v>1.8</v>
      </c>
      <c r="AL56" s="150">
        <v>9.7000000000000003E-2</v>
      </c>
      <c r="AM56" s="1">
        <v>300</v>
      </c>
      <c r="AN56" s="1">
        <v>500</v>
      </c>
      <c r="AO56" s="48">
        <v>0.5</v>
      </c>
      <c r="AP56" s="44">
        <v>30</v>
      </c>
      <c r="AQ56" s="42">
        <v>0.75</v>
      </c>
      <c r="AR56" s="1">
        <v>45</v>
      </c>
      <c r="AS56" s="1">
        <v>45</v>
      </c>
      <c r="AT56" s="1">
        <v>1</v>
      </c>
      <c r="AU56" s="4">
        <f t="shared" si="21"/>
        <v>4.9382716049382713</v>
      </c>
      <c r="AV56" s="3">
        <f>ROUND((P56/1000000)*AU56*10000,2)</f>
        <v>0.02</v>
      </c>
      <c r="AW56" s="1">
        <v>85</v>
      </c>
      <c r="AX56" s="3">
        <f t="shared" si="28"/>
        <v>4.1975308641975309</v>
      </c>
      <c r="AY56" s="1">
        <v>1</v>
      </c>
      <c r="AZ56" s="4">
        <f t="shared" si="31"/>
        <v>4.1975308641975309</v>
      </c>
      <c r="BA56" s="49">
        <v>0.9</v>
      </c>
      <c r="BB56" s="4">
        <f t="shared" si="25"/>
        <v>3.7777777777777777</v>
      </c>
      <c r="BC56" s="50">
        <v>0.3</v>
      </c>
      <c r="BD56" s="69">
        <f>IFERROR(
  MAX(0.05, MIN(0.5, CropNorms_Cabbage[[#This Row],[Leaf_Area_Per_Shoot_m2]] * CropNorms_Cabbage[[#This Row],[Shoot_Bearing_m2]] )),
  0.2
)</f>
        <v>0.5</v>
      </c>
      <c r="BE56" s="4">
        <f>_xlfn.XLOOKUP(CropNorms_Cabbage[[#This Row],[LAI_Start_BBCH]], CropPhenology_Cabbage[Sub_Stage], CropPhenology_Cabbage[Start_GDD], "Not Found")</f>
        <v>131</v>
      </c>
      <c r="BF56" s="3">
        <f>ROUND(CropNorms_Cabbage[[#This Row],[Shoot_Bearing_m2]]*CropNorms_Cabbage[[#This Row],[Leaf_Area_Per_Shoot_m2]],2)</f>
        <v>1.1299999999999999</v>
      </c>
      <c r="BG56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H56" s="3">
        <f>IF(CropNorms_Cabbage[[#This Row],[Max_LAI]]&gt;=1.2, 0.85*CropNorms_Cabbage[[#This Row],[Max_LAI]], 1)</f>
        <v>1</v>
      </c>
      <c r="BI56" s="41">
        <f>_xlfn.XLOOKUP(CropNorms_Cabbage[[#This Row],[LAI_End_BBCH]], CropPhenology_Cabbage[Sub_Stage], CropPhenology_Cabbage[End_GDD], "Not Found")</f>
        <v>2180</v>
      </c>
      <c r="BJ56" s="3" cm="1">
        <f t="array" ref="BJ56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56" s="3" cm="1">
        <f t="array" ref="BK56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56" s="3" cm="1">
        <f t="array" ref="BL56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56" s="3" cm="1">
        <f t="array" ref="BM56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6" s="42">
        <v>0.65</v>
      </c>
      <c r="BO56" s="43">
        <v>0.85</v>
      </c>
      <c r="BP56" s="42">
        <v>30</v>
      </c>
      <c r="BQ56" s="43" t="s">
        <v>1799</v>
      </c>
      <c r="BR56" s="69" t="str" cm="1">
        <f t="array" ref="BR56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6" s="3" t="str" cm="1">
        <f t="array" ref="BS56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T56" s="3" t="str" cm="1">
        <f t="array" ref="BT56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56" s="70" t="str" cm="1">
        <f t="array" ref="BU56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56" s="48">
        <v>60</v>
      </c>
      <c r="BW56" s="1">
        <v>30</v>
      </c>
      <c r="BX56" s="44">
        <v>50</v>
      </c>
      <c r="BY56" s="51">
        <v>45870</v>
      </c>
      <c r="BZ56" s="5">
        <v>45991</v>
      </c>
      <c r="CA56" s="85">
        <v>0</v>
      </c>
      <c r="CB56" s="2">
        <v>0</v>
      </c>
      <c r="CC56" s="2">
        <v>1</v>
      </c>
      <c r="CD56" s="2">
        <v>1</v>
      </c>
      <c r="CE56" s="2">
        <v>1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O56" s="1">
        <v>48</v>
      </c>
      <c r="CP56" s="27" t="s">
        <v>693</v>
      </c>
      <c r="CQ56" s="27" t="s">
        <v>1748</v>
      </c>
      <c r="CR56" s="27" t="s">
        <v>1795</v>
      </c>
    </row>
    <row r="57" spans="2:96" x14ac:dyDescent="0.25">
      <c r="B57" s="36" t="s">
        <v>40</v>
      </c>
      <c r="C57" s="1" t="s">
        <v>43</v>
      </c>
      <c r="K57" s="1" t="s">
        <v>1767</v>
      </c>
      <c r="L57" s="1" t="s">
        <v>1750</v>
      </c>
      <c r="M57" s="1" t="s">
        <v>358</v>
      </c>
      <c r="N57" s="6">
        <v>10.5</v>
      </c>
      <c r="O57" s="1" t="s">
        <v>4</v>
      </c>
      <c r="P57" s="1">
        <v>0.5</v>
      </c>
      <c r="Q57" s="1">
        <v>7</v>
      </c>
      <c r="R57" s="1">
        <v>4</v>
      </c>
      <c r="S57" s="1">
        <v>20</v>
      </c>
      <c r="T57" s="1">
        <v>30</v>
      </c>
      <c r="U57" s="253">
        <v>3</v>
      </c>
      <c r="V57" s="1">
        <v>55</v>
      </c>
      <c r="W57" s="44">
        <v>110</v>
      </c>
      <c r="X57" s="40">
        <f>_xlfn.XLOOKUP("Ripening", CropPhenology_Cabbage[Main_Stage], CropPhenology_Cabbage[Start_GDD], "Not Found")</f>
        <v>2181</v>
      </c>
      <c r="Y57" s="4" cm="1">
        <f t="array" ref="Y57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Z57" s="3">
        <f>MIN(Y57/V57,MAX(X57/W57,R57,(X57/W57+Y57/V57)/2))</f>
        <v>33.095454545454544</v>
      </c>
      <c r="AA57" s="41">
        <f t="shared" si="30"/>
        <v>77.049855789039967</v>
      </c>
      <c r="AB57" s="1">
        <v>6.5</v>
      </c>
      <c r="AC57" s="1">
        <v>10</v>
      </c>
      <c r="AD57" s="1">
        <v>2.5</v>
      </c>
      <c r="AE57" s="1">
        <v>90</v>
      </c>
      <c r="AF57" s="1">
        <v>5</v>
      </c>
      <c r="AG57" s="1">
        <v>5</v>
      </c>
      <c r="AH57" s="3">
        <f t="shared" si="13"/>
        <v>4.7891069518716574</v>
      </c>
      <c r="AI57" s="1">
        <v>6</v>
      </c>
      <c r="AJ57" s="1">
        <v>7.5</v>
      </c>
      <c r="AK57" s="159">
        <v>1.8</v>
      </c>
      <c r="AL57" s="150">
        <v>9.7000000000000003E-2</v>
      </c>
      <c r="AM57" s="1">
        <v>300</v>
      </c>
      <c r="AN57" s="1">
        <v>500</v>
      </c>
      <c r="AO57" s="48">
        <v>0.5</v>
      </c>
      <c r="AP57" s="44">
        <v>30</v>
      </c>
      <c r="AQ57" s="42">
        <v>0.75</v>
      </c>
      <c r="AR57" s="1">
        <v>45</v>
      </c>
      <c r="AS57" s="1">
        <v>45</v>
      </c>
      <c r="AT57" s="1">
        <v>1</v>
      </c>
      <c r="AU57" s="4">
        <f t="shared" si="21"/>
        <v>4.9382716049382713</v>
      </c>
      <c r="AV57" s="3">
        <f>ROUND((P57/1000000)*AU57*10000,2)</f>
        <v>0.02</v>
      </c>
      <c r="AW57" s="1">
        <v>85</v>
      </c>
      <c r="AX57" s="3">
        <f t="shared" si="28"/>
        <v>4.1975308641975309</v>
      </c>
      <c r="AY57" s="1">
        <v>1</v>
      </c>
      <c r="AZ57" s="4">
        <f t="shared" si="31"/>
        <v>4.1975308641975309</v>
      </c>
      <c r="BA57" s="49">
        <v>0.9</v>
      </c>
      <c r="BB57" s="4">
        <f t="shared" si="25"/>
        <v>3.7777777777777777</v>
      </c>
      <c r="BC57" s="50">
        <v>0.3</v>
      </c>
      <c r="BD57" s="69">
        <f>IFERROR(
  MAX(0.05, MIN(0.5, CropNorms_Cabbage[[#This Row],[Leaf_Area_Per_Shoot_m2]] * CropNorms_Cabbage[[#This Row],[Shoot_Bearing_m2]] )),
  0.2
)</f>
        <v>0.5</v>
      </c>
      <c r="BE57" s="4">
        <f>_xlfn.XLOOKUP(CropNorms_Cabbage[[#This Row],[LAI_Start_BBCH]], CropPhenology_Cabbage[Sub_Stage], CropPhenology_Cabbage[Start_GDD], "Not Found")</f>
        <v>131</v>
      </c>
      <c r="BF57" s="3">
        <f>ROUND(CropNorms_Cabbage[[#This Row],[Shoot_Bearing_m2]]*CropNorms_Cabbage[[#This Row],[Leaf_Area_Per_Shoot_m2]],2)</f>
        <v>1.1299999999999999</v>
      </c>
      <c r="BG57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H57" s="3">
        <f>IF(CropNorms_Cabbage[[#This Row],[Max_LAI]]&gt;=1.2, 0.85*CropNorms_Cabbage[[#This Row],[Max_LAI]], 1)</f>
        <v>1</v>
      </c>
      <c r="BI57" s="41">
        <f>_xlfn.XLOOKUP(CropNorms_Cabbage[[#This Row],[LAI_End_BBCH]], CropPhenology_Cabbage[Sub_Stage], CropPhenology_Cabbage[End_GDD], "Not Found")</f>
        <v>2180</v>
      </c>
      <c r="BJ57" s="3" cm="1">
        <f t="array" ref="BJ57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57" s="3" cm="1">
        <f t="array" ref="BK57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57" s="3" cm="1">
        <f t="array" ref="BL57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57" s="3" cm="1">
        <f t="array" ref="BM57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7" s="42">
        <v>0.65</v>
      </c>
      <c r="BO57" s="43">
        <v>0.85</v>
      </c>
      <c r="BP57" s="42">
        <v>30</v>
      </c>
      <c r="BQ57" s="43" t="s">
        <v>1799</v>
      </c>
      <c r="BR57" s="69" t="str" cm="1">
        <f t="array" ref="BR57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7" s="3" t="str" cm="1">
        <f t="array" ref="BS57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T57" s="3" t="str" cm="1">
        <f t="array" ref="BT57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57" s="70" t="str" cm="1">
        <f t="array" ref="BU57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57" s="48">
        <v>60</v>
      </c>
      <c r="BW57" s="1">
        <v>30</v>
      </c>
      <c r="BX57" s="44">
        <v>50</v>
      </c>
      <c r="BY57" s="51">
        <v>45870</v>
      </c>
      <c r="BZ57" s="5">
        <v>45991</v>
      </c>
      <c r="CA57" s="85">
        <v>0</v>
      </c>
      <c r="CB57" s="2">
        <v>0</v>
      </c>
      <c r="CC57" s="2">
        <v>1</v>
      </c>
      <c r="CD57" s="2">
        <v>1</v>
      </c>
      <c r="CE57" s="2">
        <v>1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O57" s="1">
        <v>49</v>
      </c>
      <c r="CP57" s="27" t="s">
        <v>1781</v>
      </c>
      <c r="CQ57" s="27" t="s">
        <v>1763</v>
      </c>
      <c r="CR57" s="27" t="s">
        <v>1741</v>
      </c>
    </row>
    <row r="58" spans="2:96" ht="11.25" thickBot="1" x14ac:dyDescent="0.3">
      <c r="B58" s="36" t="s">
        <v>40</v>
      </c>
      <c r="C58" s="1" t="s">
        <v>44</v>
      </c>
      <c r="K58" s="1" t="s">
        <v>1767</v>
      </c>
      <c r="L58" s="1" t="s">
        <v>1750</v>
      </c>
      <c r="M58" s="1" t="s">
        <v>358</v>
      </c>
      <c r="N58" s="6">
        <v>10.5</v>
      </c>
      <c r="O58" s="1" t="s">
        <v>4</v>
      </c>
      <c r="P58" s="1">
        <v>0.5</v>
      </c>
      <c r="Q58" s="1">
        <v>7</v>
      </c>
      <c r="R58" s="1">
        <v>4</v>
      </c>
      <c r="S58" s="1">
        <v>20</v>
      </c>
      <c r="T58" s="1">
        <v>30</v>
      </c>
      <c r="U58" s="254">
        <v>3</v>
      </c>
      <c r="V58" s="1">
        <v>55</v>
      </c>
      <c r="W58" s="44">
        <v>110</v>
      </c>
      <c r="X58" s="40">
        <f>_xlfn.XLOOKUP("Ripening", CropPhenology_Cabbage[Main_Stage], CropPhenology_Cabbage[Start_GDD], "Not Found")</f>
        <v>2181</v>
      </c>
      <c r="Y58" s="4" cm="1">
        <f t="array" ref="Y58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Z58" s="3">
        <f>MIN(Y58/V58,MAX(X58/W58,R58,(X58/W58+Y58/V58)/2))</f>
        <v>33.095454545454544</v>
      </c>
      <c r="AA58" s="41">
        <f t="shared" si="30"/>
        <v>77.049855789039967</v>
      </c>
      <c r="AB58" s="1">
        <v>6.5</v>
      </c>
      <c r="AC58" s="1">
        <v>10</v>
      </c>
      <c r="AD58" s="1">
        <v>2.5</v>
      </c>
      <c r="AE58" s="1">
        <v>90</v>
      </c>
      <c r="AF58" s="1">
        <v>5</v>
      </c>
      <c r="AG58" s="1">
        <v>5</v>
      </c>
      <c r="AH58" s="3">
        <f t="shared" si="13"/>
        <v>4.7891069518716574</v>
      </c>
      <c r="AI58" s="1">
        <v>6</v>
      </c>
      <c r="AJ58" s="1">
        <v>7.5</v>
      </c>
      <c r="AK58" s="160">
        <v>1.8</v>
      </c>
      <c r="AL58" s="161">
        <v>9.7000000000000003E-2</v>
      </c>
      <c r="AM58" s="1">
        <v>300</v>
      </c>
      <c r="AN58" s="1">
        <v>500</v>
      </c>
      <c r="AO58" s="48">
        <v>0.5</v>
      </c>
      <c r="AP58" s="44">
        <v>30</v>
      </c>
      <c r="AQ58" s="42">
        <v>0.75</v>
      </c>
      <c r="AR58" s="1">
        <v>45</v>
      </c>
      <c r="AS58" s="1">
        <v>45</v>
      </c>
      <c r="AT58" s="1">
        <v>1</v>
      </c>
      <c r="AU58" s="4">
        <f t="shared" si="21"/>
        <v>4.9382716049382713</v>
      </c>
      <c r="AV58" s="3">
        <f>ROUND((P58/1000000)*AU58*10000,2)</f>
        <v>0.02</v>
      </c>
      <c r="AW58" s="1">
        <v>85</v>
      </c>
      <c r="AX58" s="3">
        <f t="shared" si="28"/>
        <v>4.1975308641975309</v>
      </c>
      <c r="AY58" s="1">
        <v>1</v>
      </c>
      <c r="AZ58" s="4">
        <f t="shared" si="31"/>
        <v>4.1975308641975309</v>
      </c>
      <c r="BA58" s="49">
        <v>0.9</v>
      </c>
      <c r="BB58" s="4">
        <f t="shared" si="25"/>
        <v>3.7777777777777777</v>
      </c>
      <c r="BC58" s="50">
        <v>0.3</v>
      </c>
      <c r="BD58" s="69">
        <f>IFERROR(
  MAX(0.05, MIN(0.5, CropNorms_Cabbage[[#This Row],[Leaf_Area_Per_Shoot_m2]] * CropNorms_Cabbage[[#This Row],[Shoot_Bearing_m2]] )),
  0.2
)</f>
        <v>0.5</v>
      </c>
      <c r="BE58" s="4">
        <f>_xlfn.XLOOKUP(CropNorms_Cabbage[[#This Row],[LAI_Start_BBCH]], CropPhenology_Cabbage[Sub_Stage], CropPhenology_Cabbage[Start_GDD], "Not Found")</f>
        <v>131</v>
      </c>
      <c r="BF58" s="3">
        <f>ROUND(CropNorms_Cabbage[[#This Row],[Shoot_Bearing_m2]]*CropNorms_Cabbage[[#This Row],[Leaf_Area_Per_Shoot_m2]],2)</f>
        <v>1.1299999999999999</v>
      </c>
      <c r="BG58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H58" s="3">
        <f>IF(CropNorms_Cabbage[[#This Row],[Max_LAI]]&gt;=1.2, 0.85*CropNorms_Cabbage[[#This Row],[Max_LAI]], 1)</f>
        <v>1</v>
      </c>
      <c r="BI58" s="41">
        <f>_xlfn.XLOOKUP(CropNorms_Cabbage[[#This Row],[LAI_End_BBCH]], CropPhenology_Cabbage[Sub_Stage], CropPhenology_Cabbage[End_GDD], "Not Found")</f>
        <v>2180</v>
      </c>
      <c r="BJ58" s="3" cm="1">
        <f t="array" ref="BJ58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58" s="3" cm="1">
        <f t="array" ref="BK58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58" s="3" cm="1">
        <f t="array" ref="BL58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58" s="3" cm="1">
        <f t="array" ref="BM58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8" s="42">
        <v>0.65</v>
      </c>
      <c r="BO58" s="43">
        <v>0.85</v>
      </c>
      <c r="BP58" s="42">
        <v>30</v>
      </c>
      <c r="BQ58" s="43" t="s">
        <v>1799</v>
      </c>
      <c r="BR58" s="69" t="str" cm="1">
        <f t="array" ref="BR58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8" s="3" t="str" cm="1">
        <f t="array" ref="BS58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T58" s="3" t="str" cm="1">
        <f t="array" ref="BT58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58" s="70" t="str" cm="1">
        <f t="array" ref="BU58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58" s="48">
        <v>60</v>
      </c>
      <c r="BW58" s="1">
        <v>30</v>
      </c>
      <c r="BX58" s="44">
        <v>50</v>
      </c>
      <c r="BY58" s="51">
        <v>45870</v>
      </c>
      <c r="BZ58" s="5">
        <v>45991</v>
      </c>
      <c r="CA58" s="85">
        <v>0</v>
      </c>
      <c r="CB58" s="2">
        <v>0</v>
      </c>
      <c r="CC58" s="2">
        <v>1</v>
      </c>
      <c r="CD58" s="2">
        <v>1</v>
      </c>
      <c r="CE58" s="2">
        <v>1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O58" s="1">
        <v>50</v>
      </c>
      <c r="CP58" s="27" t="s">
        <v>1782</v>
      </c>
      <c r="CQ58" s="27" t="s">
        <v>1770</v>
      </c>
      <c r="CR58" s="27" t="s">
        <v>1792</v>
      </c>
    </row>
    <row r="59" spans="2:96" ht="11.25" thickBot="1" x14ac:dyDescent="0.3">
      <c r="Y59" s="3"/>
      <c r="Z59" s="4"/>
      <c r="AG59" s="3"/>
      <c r="AR59" s="4"/>
      <c r="AS59" s="3"/>
      <c r="AU59" s="3"/>
      <c r="AW59" s="4"/>
      <c r="AX59" s="49"/>
      <c r="AY59" s="4"/>
      <c r="BV59" s="51"/>
      <c r="BW59" s="51"/>
      <c r="CO59" s="1">
        <v>51</v>
      </c>
      <c r="CP59" s="27" t="s">
        <v>1470</v>
      </c>
      <c r="CQ59" s="27" t="s">
        <v>1779</v>
      </c>
      <c r="CR59" s="27" t="s">
        <v>1794</v>
      </c>
    </row>
    <row r="60" spans="2:96" ht="11.25" thickBot="1" x14ac:dyDescent="0.3">
      <c r="B60" s="54" t="s">
        <v>1753</v>
      </c>
      <c r="C60" s="53" t="s">
        <v>1754</v>
      </c>
      <c r="D60" s="53" t="s">
        <v>1804</v>
      </c>
      <c r="E60" s="53" t="s">
        <v>1805</v>
      </c>
      <c r="F60" s="53" t="s">
        <v>1806</v>
      </c>
      <c r="G60" s="53" t="s">
        <v>1807</v>
      </c>
      <c r="H60" s="53" t="s">
        <v>1808</v>
      </c>
      <c r="I60" s="53" t="s">
        <v>1809</v>
      </c>
      <c r="J60" s="53" t="s">
        <v>1810</v>
      </c>
      <c r="K60" s="53" t="s">
        <v>1747</v>
      </c>
      <c r="L60" s="54" t="s">
        <v>1749</v>
      </c>
      <c r="M60" s="53" t="s">
        <v>357</v>
      </c>
      <c r="N60" s="55" t="s">
        <v>692</v>
      </c>
      <c r="O60" s="53" t="s">
        <v>325</v>
      </c>
      <c r="P60" s="53" t="s">
        <v>356</v>
      </c>
      <c r="Q60" s="53" t="s">
        <v>326</v>
      </c>
      <c r="R60" s="53" t="s">
        <v>327</v>
      </c>
      <c r="S60" s="53" t="s">
        <v>328</v>
      </c>
      <c r="T60" s="53" t="s">
        <v>329</v>
      </c>
      <c r="U60" s="250" t="s">
        <v>2349</v>
      </c>
      <c r="V60" s="53" t="s">
        <v>330</v>
      </c>
      <c r="W60" s="53" t="s">
        <v>331</v>
      </c>
      <c r="X60" s="56" t="s">
        <v>354</v>
      </c>
      <c r="Y60" s="57" t="s">
        <v>355</v>
      </c>
      <c r="Z60" s="58" t="s">
        <v>413</v>
      </c>
      <c r="AA60" s="59" t="s">
        <v>583</v>
      </c>
      <c r="AB60" s="53" t="s">
        <v>324</v>
      </c>
      <c r="AC60" s="53" t="s">
        <v>332</v>
      </c>
      <c r="AD60" s="53" t="s">
        <v>333</v>
      </c>
      <c r="AE60" s="53" t="s">
        <v>334</v>
      </c>
      <c r="AF60" s="53" t="s">
        <v>335</v>
      </c>
      <c r="AG60" s="53" t="s">
        <v>336</v>
      </c>
      <c r="AH60" s="60" t="s">
        <v>337</v>
      </c>
      <c r="AI60" s="53" t="s">
        <v>338</v>
      </c>
      <c r="AJ60" s="53" t="s">
        <v>339</v>
      </c>
      <c r="AK60" s="157" t="s">
        <v>2346</v>
      </c>
      <c r="AL60" s="158" t="s">
        <v>2347</v>
      </c>
      <c r="AM60" s="53" t="s">
        <v>340</v>
      </c>
      <c r="AN60" s="53" t="s">
        <v>341</v>
      </c>
      <c r="AO60" s="61" t="s">
        <v>342</v>
      </c>
      <c r="AP60" s="62" t="s">
        <v>343</v>
      </c>
      <c r="AQ60" s="55" t="s">
        <v>344</v>
      </c>
      <c r="AR60" s="53" t="s">
        <v>345</v>
      </c>
      <c r="AS60" s="53" t="s">
        <v>346</v>
      </c>
      <c r="AT60" s="53" t="s">
        <v>364</v>
      </c>
      <c r="AU60" s="60" t="s">
        <v>347</v>
      </c>
      <c r="AV60" s="58" t="s">
        <v>363</v>
      </c>
      <c r="AW60" s="53" t="s">
        <v>348</v>
      </c>
      <c r="AX60" s="58" t="s">
        <v>349</v>
      </c>
      <c r="AY60" s="53" t="s">
        <v>366</v>
      </c>
      <c r="AZ60" s="60" t="s">
        <v>350</v>
      </c>
      <c r="BA60" s="53" t="s">
        <v>365</v>
      </c>
      <c r="BB60" s="60" t="s">
        <v>1827</v>
      </c>
      <c r="BC60" s="63" t="s">
        <v>351</v>
      </c>
      <c r="BD60" s="71" t="s">
        <v>1811</v>
      </c>
      <c r="BE60" s="57" t="s">
        <v>352</v>
      </c>
      <c r="BF60" s="58" t="s">
        <v>1812</v>
      </c>
      <c r="BG60" s="57" t="s">
        <v>1752</v>
      </c>
      <c r="BH60" s="60" t="s">
        <v>1813</v>
      </c>
      <c r="BI60" s="59" t="s">
        <v>353</v>
      </c>
      <c r="BJ60" s="71" t="s">
        <v>1828</v>
      </c>
      <c r="BK60" s="58" t="s">
        <v>1829</v>
      </c>
      <c r="BL60" s="58" t="s">
        <v>1830</v>
      </c>
      <c r="BM60" s="72" t="s">
        <v>1831</v>
      </c>
      <c r="BN60" s="64" t="s">
        <v>1154</v>
      </c>
      <c r="BO60" s="65" t="s">
        <v>1742</v>
      </c>
      <c r="BP60" s="64" t="s">
        <v>1155</v>
      </c>
      <c r="BQ60" s="65" t="s">
        <v>1755</v>
      </c>
      <c r="BR60" s="71" t="s">
        <v>367</v>
      </c>
      <c r="BS60" s="58" t="s">
        <v>1751</v>
      </c>
      <c r="BT60" s="58" t="s">
        <v>368</v>
      </c>
      <c r="BU60" s="156" t="s">
        <v>1814</v>
      </c>
      <c r="BV60" s="61" t="s">
        <v>369</v>
      </c>
      <c r="BW60" s="53" t="s">
        <v>370</v>
      </c>
      <c r="BX60" s="62" t="s">
        <v>371</v>
      </c>
      <c r="BY60" s="53" t="s">
        <v>359</v>
      </c>
      <c r="BZ60" s="53" t="s">
        <v>361</v>
      </c>
      <c r="CA60" s="61" t="s">
        <v>1815</v>
      </c>
      <c r="CB60" s="53" t="s">
        <v>1816</v>
      </c>
      <c r="CC60" s="53" t="s">
        <v>1817</v>
      </c>
      <c r="CD60" s="53" t="s">
        <v>1818</v>
      </c>
      <c r="CE60" s="53" t="s">
        <v>1819</v>
      </c>
      <c r="CF60" s="53" t="s">
        <v>1820</v>
      </c>
      <c r="CG60" s="53" t="s">
        <v>1821</v>
      </c>
      <c r="CH60" s="53" t="s">
        <v>1822</v>
      </c>
      <c r="CI60" s="53" t="s">
        <v>1823</v>
      </c>
      <c r="CJ60" s="53" t="s">
        <v>1824</v>
      </c>
      <c r="CK60" s="53" t="s">
        <v>1825</v>
      </c>
      <c r="CL60" s="53" t="s">
        <v>1826</v>
      </c>
      <c r="CO60" s="1">
        <v>52</v>
      </c>
      <c r="CP60" s="27" t="s">
        <v>1117</v>
      </c>
      <c r="CQ60" s="27" t="s">
        <v>1769</v>
      </c>
      <c r="CR60" s="27" t="s">
        <v>1745</v>
      </c>
    </row>
    <row r="61" spans="2:96" x14ac:dyDescent="0.25">
      <c r="B61" s="36" t="s">
        <v>45</v>
      </c>
      <c r="C61" s="1" t="s">
        <v>45</v>
      </c>
      <c r="K61" s="1" t="s">
        <v>1748</v>
      </c>
      <c r="L61" s="1" t="s">
        <v>1750</v>
      </c>
      <c r="M61" s="1" t="s">
        <v>358</v>
      </c>
      <c r="N61" s="6">
        <v>10.5</v>
      </c>
      <c r="O61" s="1" t="s">
        <v>4</v>
      </c>
      <c r="P61" s="1">
        <v>3</v>
      </c>
      <c r="Q61" s="1">
        <v>5</v>
      </c>
      <c r="R61" s="1">
        <v>5</v>
      </c>
      <c r="S61" s="1">
        <v>20</v>
      </c>
      <c r="T61" s="1">
        <v>30</v>
      </c>
      <c r="U61" s="253">
        <v>5</v>
      </c>
      <c r="V61" s="1">
        <v>70</v>
      </c>
      <c r="W61" s="44">
        <v>120</v>
      </c>
      <c r="X61" s="40">
        <f>_xlfn.XLOOKUP("Ripening", CropPhenology_CanarySeed[Main_Stage], CropPhenology_CanarySeed[Start_GDD], "Not Found")</f>
        <v>2041</v>
      </c>
      <c r="Y61" s="4" cm="1">
        <f t="array" ref="Y61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f>
        <v>2380</v>
      </c>
      <c r="Z61" s="3">
        <f>MIN(Y61/V61,MAX(X61/W61,R61,(X61/W61+Y61/V61)/2))</f>
        <v>25.504166666666666</v>
      </c>
      <c r="AA61" s="41">
        <f t="shared" ref="AA61:AA62" si="32">Y61/Z61</f>
        <v>93.318085280182984</v>
      </c>
      <c r="AB61" s="1">
        <v>7.5</v>
      </c>
      <c r="AC61" s="1">
        <v>10</v>
      </c>
      <c r="AD61" s="1">
        <v>3</v>
      </c>
      <c r="AE61" s="1">
        <v>85</v>
      </c>
      <c r="AF61" s="1">
        <v>12</v>
      </c>
      <c r="AG61" s="1">
        <v>5</v>
      </c>
      <c r="AH61" s="3">
        <f t="shared" si="13"/>
        <v>3.6327363445378147</v>
      </c>
      <c r="AI61" s="1">
        <v>5.5</v>
      </c>
      <c r="AJ61" s="1">
        <v>8</v>
      </c>
      <c r="AK61" s="159">
        <v>3.5</v>
      </c>
      <c r="AL61" s="150">
        <v>0.1</v>
      </c>
      <c r="AM61" s="1">
        <v>300</v>
      </c>
      <c r="AN61" s="1">
        <v>400</v>
      </c>
      <c r="AO61" s="48">
        <v>2</v>
      </c>
      <c r="AP61" s="44">
        <v>30</v>
      </c>
      <c r="AQ61" s="42">
        <v>0.8</v>
      </c>
      <c r="AR61" s="1">
        <v>15</v>
      </c>
      <c r="AS61" s="1">
        <v>2</v>
      </c>
      <c r="AT61" s="1">
        <v>1</v>
      </c>
      <c r="AU61" s="4">
        <f t="shared" si="21"/>
        <v>333.33333333333331</v>
      </c>
      <c r="AV61" s="3">
        <f>ROUND((P61/1000000)*AU61*10000,2)</f>
        <v>10</v>
      </c>
      <c r="AW61" s="1">
        <v>85</v>
      </c>
      <c r="AX61" s="3">
        <f t="shared" si="28"/>
        <v>283.33333333333331</v>
      </c>
      <c r="AY61" s="1">
        <v>4</v>
      </c>
      <c r="AZ61" s="4">
        <f t="shared" ref="AZ61:AZ62" si="33">IFERROR(AX61*AY61,0)</f>
        <v>1133.3333333333333</v>
      </c>
      <c r="BA61" s="49">
        <v>0.9</v>
      </c>
      <c r="BB61" s="4">
        <f t="shared" si="25"/>
        <v>1020</v>
      </c>
      <c r="BC61" s="50">
        <v>3.9205882352941167E-3</v>
      </c>
      <c r="BD61" s="69">
        <f>IFERROR(
  MAX(0.05, MIN(0.5, CropNorms_CanarySeed[[#This Row],[Leaf_Area_Per_Shoot_m2]] * CropNorms_CanarySeed[[#This Row],[Shoot_Bearing_m2]] )),
  0.2
)</f>
        <v>0.5</v>
      </c>
      <c r="BE61" s="4">
        <f>_xlfn.XLOOKUP(CropNorms_CanarySeed[[#This Row],[LAI_Start_BBCH]], CropPhenology_CanarySeed[Sub_Stage], CropPhenology_CanarySeed[Start_GDD], "Not Found")</f>
        <v>141</v>
      </c>
      <c r="BF61" s="3">
        <f>ROUND(CropNorms_CanarySeed[[#This Row],[Shoot_Bearing_m2]]*CropNorms_CanarySeed[[#This Row],[Leaf_Area_Per_Shoot_m2]],2)</f>
        <v>4</v>
      </c>
      <c r="BG61" s="4">
        <f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f>
        <v>1100.5</v>
      </c>
      <c r="BH61" s="3">
        <f>IF(CropNorms_CanarySeed[[#This Row],[Max_LAI]]&gt;=1.2, 0.85*CropNorms_CanarySeed[[#This Row],[Max_LAI]], 1)</f>
        <v>3.4</v>
      </c>
      <c r="BI61" s="41">
        <f>_xlfn.XLOOKUP(CropNorms_CanarySeed[[#This Row],[LAI_End_BBCH]], CropPhenology_CanarySeed[Sub_Stage], CropPhenology_CanarySeed[End_GDD], "Not Found")</f>
        <v>2040</v>
      </c>
      <c r="BJ61" s="3" cm="1">
        <f t="array" ref="BJ61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1.7179581358649598</v>
      </c>
      <c r="BK61" s="3" cm="1">
        <f t="array" ref="BK6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0.93762552312884384</v>
      </c>
      <c r="BL61" s="3" cm="1">
        <f t="array" ref="BL61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1.9245509984636207</v>
      </c>
      <c r="BM61" s="3" cm="1">
        <f t="array" ref="BM6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1" s="42">
        <v>0.3</v>
      </c>
      <c r="BO61" s="43">
        <v>0</v>
      </c>
      <c r="BP61" s="42">
        <v>1.6</v>
      </c>
      <c r="BQ61" s="43" t="s">
        <v>1795</v>
      </c>
      <c r="BR61" s="69" t="str" cm="1">
        <f t="array" ref="BR6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61" s="3" t="str" cm="1">
        <f t="array" ref="BS6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</v>
      </c>
      <c r="BT61" s="3" t="str" cm="1">
        <f t="array" ref="BT61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61" s="70" t="str" cm="1">
        <f t="array" ref="BU61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61" s="48">
        <v>78</v>
      </c>
      <c r="BW61" s="1">
        <v>20</v>
      </c>
      <c r="BX61" s="44">
        <v>60</v>
      </c>
      <c r="BY61" s="51">
        <v>45931</v>
      </c>
      <c r="BZ61" s="5">
        <v>45991</v>
      </c>
      <c r="CA61" s="85">
        <v>0</v>
      </c>
      <c r="CB61" s="2">
        <v>0</v>
      </c>
      <c r="CC61" s="2">
        <v>0</v>
      </c>
      <c r="CD61" s="2">
        <v>0</v>
      </c>
      <c r="CE61" s="2">
        <v>0</v>
      </c>
      <c r="CF61" s="2">
        <v>1</v>
      </c>
      <c r="CG61" s="2">
        <v>0</v>
      </c>
      <c r="CH61" s="2">
        <v>0</v>
      </c>
      <c r="CI61" s="2">
        <v>0</v>
      </c>
      <c r="CJ61" s="2">
        <v>0</v>
      </c>
      <c r="CK61" s="2">
        <v>1</v>
      </c>
      <c r="CL61" s="2">
        <v>0</v>
      </c>
      <c r="CO61" s="1">
        <v>53</v>
      </c>
      <c r="CP61" s="27" t="s">
        <v>1514</v>
      </c>
      <c r="CQ61" s="27" t="s">
        <v>1770</v>
      </c>
      <c r="CR61" s="27" t="s">
        <v>1787</v>
      </c>
    </row>
    <row r="62" spans="2:96" ht="11.25" thickBot="1" x14ac:dyDescent="0.3">
      <c r="B62" s="36" t="s">
        <v>45</v>
      </c>
      <c r="C62" s="1" t="s">
        <v>46</v>
      </c>
      <c r="K62" s="1" t="s">
        <v>1748</v>
      </c>
      <c r="L62" s="1" t="s">
        <v>1750</v>
      </c>
      <c r="M62" s="1" t="s">
        <v>358</v>
      </c>
      <c r="N62" s="6">
        <v>10.5</v>
      </c>
      <c r="O62" s="1" t="s">
        <v>2</v>
      </c>
      <c r="P62" s="1">
        <v>3</v>
      </c>
      <c r="Q62" s="1">
        <v>5</v>
      </c>
      <c r="R62" s="1">
        <v>5</v>
      </c>
      <c r="S62" s="1">
        <v>20</v>
      </c>
      <c r="T62" s="1">
        <v>30</v>
      </c>
      <c r="U62" s="254">
        <v>5</v>
      </c>
      <c r="V62" s="1">
        <v>70</v>
      </c>
      <c r="W62" s="44">
        <v>120</v>
      </c>
      <c r="X62" s="40">
        <f>_xlfn.XLOOKUP("Ripening", CropPhenology_CanarySeed[Main_Stage], CropPhenology_CanarySeed[Start_GDD], "Not Found")</f>
        <v>2041</v>
      </c>
      <c r="Y62" s="4" cm="1">
        <f t="array" ref="Y62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f>
        <v>2380</v>
      </c>
      <c r="Z62" s="3">
        <f>MIN(Y62/V62,MAX(X62/W62,R62,(X62/W62+Y62/V62)/2))</f>
        <v>25.504166666666666</v>
      </c>
      <c r="AA62" s="41">
        <f t="shared" si="32"/>
        <v>93.318085280182984</v>
      </c>
      <c r="AB62" s="1">
        <v>7.5</v>
      </c>
      <c r="AC62" s="1">
        <v>10</v>
      </c>
      <c r="AD62" s="1">
        <v>3</v>
      </c>
      <c r="AE62" s="1">
        <v>85</v>
      </c>
      <c r="AF62" s="1">
        <v>12</v>
      </c>
      <c r="AG62" s="1">
        <v>5</v>
      </c>
      <c r="AH62" s="3">
        <f t="shared" si="13"/>
        <v>3.6327363445378147</v>
      </c>
      <c r="AI62" s="1">
        <v>5.5</v>
      </c>
      <c r="AJ62" s="1">
        <v>8</v>
      </c>
      <c r="AK62" s="160">
        <v>3.5</v>
      </c>
      <c r="AL62" s="161">
        <v>0.1</v>
      </c>
      <c r="AM62" s="1">
        <v>250</v>
      </c>
      <c r="AN62" s="1">
        <v>350</v>
      </c>
      <c r="AO62" s="48">
        <v>2</v>
      </c>
      <c r="AP62" s="44">
        <v>30</v>
      </c>
      <c r="AQ62" s="42">
        <v>0.6</v>
      </c>
      <c r="AR62" s="1">
        <v>15</v>
      </c>
      <c r="AS62" s="1">
        <v>2</v>
      </c>
      <c r="AT62" s="1">
        <v>1</v>
      </c>
      <c r="AU62" s="4">
        <f t="shared" si="21"/>
        <v>333.33333333333331</v>
      </c>
      <c r="AV62" s="3">
        <f>ROUND((P62/1000000)*AU62*10000,2)</f>
        <v>10</v>
      </c>
      <c r="AW62" s="1">
        <v>85</v>
      </c>
      <c r="AX62" s="3">
        <f t="shared" si="28"/>
        <v>283.33333333333331</v>
      </c>
      <c r="AY62" s="1">
        <v>4</v>
      </c>
      <c r="AZ62" s="4">
        <f t="shared" si="33"/>
        <v>1133.3333333333333</v>
      </c>
      <c r="BA62" s="49">
        <v>0.9</v>
      </c>
      <c r="BB62" s="4">
        <f t="shared" si="25"/>
        <v>1020</v>
      </c>
      <c r="BC62" s="50">
        <v>2.9399999999999999E-3</v>
      </c>
      <c r="BD62" s="69">
        <f>IFERROR(
  MAX(0.05, MIN(0.5, CropNorms_CanarySeed[[#This Row],[Leaf_Area_Per_Shoot_m2]] * CropNorms_CanarySeed[[#This Row],[Shoot_Bearing_m2]] )),
  0.2
)</f>
        <v>0.5</v>
      </c>
      <c r="BE62" s="4">
        <f>_xlfn.XLOOKUP(CropNorms_CanarySeed[[#This Row],[LAI_Start_BBCH]], CropPhenology_CanarySeed[Sub_Stage], CropPhenology_CanarySeed[Start_GDD], "Not Found")</f>
        <v>141</v>
      </c>
      <c r="BF62" s="3">
        <f>ROUND(CropNorms_CanarySeed[[#This Row],[Shoot_Bearing_m2]]*CropNorms_CanarySeed[[#This Row],[Leaf_Area_Per_Shoot_m2]],2)</f>
        <v>3</v>
      </c>
      <c r="BG62" s="4">
        <f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f>
        <v>1100.5</v>
      </c>
      <c r="BH62" s="3">
        <f>IF(CropNorms_CanarySeed[[#This Row],[Max_LAI]]&gt;=1.2, 0.85*CropNorms_CanarySeed[[#This Row],[Max_LAI]], 1)</f>
        <v>2.5499999999999998</v>
      </c>
      <c r="BI62" s="41">
        <f>_xlfn.XLOOKUP(CropNorms_CanarySeed[[#This Row],[LAI_End_BBCH]], CropPhenology_CanarySeed[Sub_Stage], CropPhenology_CanarySeed[End_GDD], "Not Found")</f>
        <v>2040</v>
      </c>
      <c r="BJ62" s="3" cm="1">
        <f t="array" ref="BJ62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1.6667416593322943</v>
      </c>
      <c r="BK62" s="3" cm="1">
        <f t="array" ref="BK62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0.93782730706105599</v>
      </c>
      <c r="BL62" s="3" cm="1">
        <f t="array" ref="BL62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1.4215189322601882</v>
      </c>
      <c r="BM62" s="3" cm="1">
        <f t="array" ref="BM62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2" s="42">
        <v>0.3</v>
      </c>
      <c r="BO62" s="43">
        <v>0</v>
      </c>
      <c r="BP62" s="42">
        <v>1</v>
      </c>
      <c r="BQ62" s="43" t="s">
        <v>1795</v>
      </c>
      <c r="BR62" s="69" t="str" cm="1">
        <f t="array" ref="BR62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62" s="3" t="str" cm="1">
        <f t="array" ref="BS62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</v>
      </c>
      <c r="BT62" s="3" t="str" cm="1">
        <f t="array" ref="BT62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62" s="70" t="str" cm="1">
        <f t="array" ref="BU62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62" s="48">
        <v>78</v>
      </c>
      <c r="BW62" s="1">
        <v>20</v>
      </c>
      <c r="BX62" s="44">
        <v>60</v>
      </c>
      <c r="BY62" s="51">
        <v>45931</v>
      </c>
      <c r="BZ62" s="5">
        <v>45991</v>
      </c>
      <c r="CA62" s="85">
        <v>0</v>
      </c>
      <c r="CB62" s="2">
        <v>0</v>
      </c>
      <c r="CC62" s="2">
        <v>0</v>
      </c>
      <c r="CD62" s="2">
        <v>0</v>
      </c>
      <c r="CE62" s="2">
        <v>0</v>
      </c>
      <c r="CF62" s="2">
        <v>1</v>
      </c>
      <c r="CG62" s="2">
        <v>0</v>
      </c>
      <c r="CH62" s="2">
        <v>0</v>
      </c>
      <c r="CI62" s="2">
        <v>0</v>
      </c>
      <c r="CJ62" s="2">
        <v>0</v>
      </c>
      <c r="CK62" s="2">
        <v>1</v>
      </c>
      <c r="CL62" s="2">
        <v>0</v>
      </c>
      <c r="CO62" s="1">
        <v>54</v>
      </c>
      <c r="CP62" s="27" t="s">
        <v>1609</v>
      </c>
      <c r="CQ62" s="27" t="s">
        <v>1773</v>
      </c>
      <c r="CR62" s="27" t="s">
        <v>1790</v>
      </c>
    </row>
    <row r="63" spans="2:96" ht="11.25" thickBot="1" x14ac:dyDescent="0.3">
      <c r="Y63" s="3"/>
      <c r="Z63" s="4"/>
      <c r="AG63" s="3"/>
      <c r="AR63" s="4"/>
      <c r="AS63" s="3"/>
      <c r="AU63" s="3"/>
      <c r="AW63" s="4"/>
      <c r="AX63" s="49"/>
      <c r="AY63" s="4"/>
      <c r="BV63" s="51"/>
      <c r="BW63" s="51"/>
      <c r="CO63" s="1">
        <v>55</v>
      </c>
      <c r="CP63" s="27" t="s">
        <v>1577</v>
      </c>
      <c r="CQ63" s="27" t="s">
        <v>1767</v>
      </c>
      <c r="CR63" s="27" t="s">
        <v>1793</v>
      </c>
    </row>
    <row r="64" spans="2:96" ht="11.25" thickBot="1" x14ac:dyDescent="0.3">
      <c r="B64" s="54" t="s">
        <v>1753</v>
      </c>
      <c r="C64" s="53" t="s">
        <v>1754</v>
      </c>
      <c r="D64" s="53" t="s">
        <v>1804</v>
      </c>
      <c r="E64" s="53" t="s">
        <v>1805</v>
      </c>
      <c r="F64" s="53" t="s">
        <v>1806</v>
      </c>
      <c r="G64" s="53" t="s">
        <v>1807</v>
      </c>
      <c r="H64" s="53" t="s">
        <v>1808</v>
      </c>
      <c r="I64" s="53" t="s">
        <v>1809</v>
      </c>
      <c r="J64" s="53" t="s">
        <v>1810</v>
      </c>
      <c r="K64" s="53" t="s">
        <v>1747</v>
      </c>
      <c r="L64" s="54" t="s">
        <v>1749</v>
      </c>
      <c r="M64" s="53" t="s">
        <v>357</v>
      </c>
      <c r="N64" s="55" t="s">
        <v>692</v>
      </c>
      <c r="O64" s="53" t="s">
        <v>325</v>
      </c>
      <c r="P64" s="53" t="s">
        <v>356</v>
      </c>
      <c r="Q64" s="53" t="s">
        <v>326</v>
      </c>
      <c r="R64" s="53" t="s">
        <v>327</v>
      </c>
      <c r="S64" s="53" t="s">
        <v>328</v>
      </c>
      <c r="T64" s="53" t="s">
        <v>329</v>
      </c>
      <c r="U64" s="250" t="s">
        <v>2349</v>
      </c>
      <c r="V64" s="53" t="s">
        <v>330</v>
      </c>
      <c r="W64" s="53" t="s">
        <v>331</v>
      </c>
      <c r="X64" s="56" t="s">
        <v>354</v>
      </c>
      <c r="Y64" s="57" t="s">
        <v>355</v>
      </c>
      <c r="Z64" s="58" t="s">
        <v>413</v>
      </c>
      <c r="AA64" s="59" t="s">
        <v>583</v>
      </c>
      <c r="AB64" s="53" t="s">
        <v>324</v>
      </c>
      <c r="AC64" s="53" t="s">
        <v>332</v>
      </c>
      <c r="AD64" s="53" t="s">
        <v>333</v>
      </c>
      <c r="AE64" s="53" t="s">
        <v>334</v>
      </c>
      <c r="AF64" s="53" t="s">
        <v>335</v>
      </c>
      <c r="AG64" s="53" t="s">
        <v>336</v>
      </c>
      <c r="AH64" s="60" t="s">
        <v>337</v>
      </c>
      <c r="AI64" s="53" t="s">
        <v>338</v>
      </c>
      <c r="AJ64" s="53" t="s">
        <v>339</v>
      </c>
      <c r="AK64" s="157" t="s">
        <v>2346</v>
      </c>
      <c r="AL64" s="158" t="s">
        <v>2347</v>
      </c>
      <c r="AM64" s="53" t="s">
        <v>340</v>
      </c>
      <c r="AN64" s="53" t="s">
        <v>341</v>
      </c>
      <c r="AO64" s="61" t="s">
        <v>342</v>
      </c>
      <c r="AP64" s="62" t="s">
        <v>343</v>
      </c>
      <c r="AQ64" s="55" t="s">
        <v>344</v>
      </c>
      <c r="AR64" s="53" t="s">
        <v>345</v>
      </c>
      <c r="AS64" s="53" t="s">
        <v>346</v>
      </c>
      <c r="AT64" s="53" t="s">
        <v>364</v>
      </c>
      <c r="AU64" s="60" t="s">
        <v>347</v>
      </c>
      <c r="AV64" s="58" t="s">
        <v>363</v>
      </c>
      <c r="AW64" s="53" t="s">
        <v>348</v>
      </c>
      <c r="AX64" s="58" t="s">
        <v>349</v>
      </c>
      <c r="AY64" s="53" t="s">
        <v>366</v>
      </c>
      <c r="AZ64" s="60" t="s">
        <v>350</v>
      </c>
      <c r="BA64" s="53" t="s">
        <v>365</v>
      </c>
      <c r="BB64" s="60" t="s">
        <v>1827</v>
      </c>
      <c r="BC64" s="63" t="s">
        <v>351</v>
      </c>
      <c r="BD64" s="71" t="s">
        <v>1811</v>
      </c>
      <c r="BE64" s="57" t="s">
        <v>352</v>
      </c>
      <c r="BF64" s="58" t="s">
        <v>1812</v>
      </c>
      <c r="BG64" s="57" t="s">
        <v>1752</v>
      </c>
      <c r="BH64" s="60" t="s">
        <v>1813</v>
      </c>
      <c r="BI64" s="59" t="s">
        <v>353</v>
      </c>
      <c r="BJ64" s="71" t="s">
        <v>1828</v>
      </c>
      <c r="BK64" s="58" t="s">
        <v>1829</v>
      </c>
      <c r="BL64" s="58" t="s">
        <v>1830</v>
      </c>
      <c r="BM64" s="72" t="s">
        <v>1831</v>
      </c>
      <c r="BN64" s="64" t="s">
        <v>1154</v>
      </c>
      <c r="BO64" s="65" t="s">
        <v>1742</v>
      </c>
      <c r="BP64" s="64" t="s">
        <v>1155</v>
      </c>
      <c r="BQ64" s="65" t="s">
        <v>1755</v>
      </c>
      <c r="BR64" s="71" t="s">
        <v>367</v>
      </c>
      <c r="BS64" s="58" t="s">
        <v>1751</v>
      </c>
      <c r="BT64" s="58" t="s">
        <v>368</v>
      </c>
      <c r="BU64" s="156" t="s">
        <v>1814</v>
      </c>
      <c r="BV64" s="61" t="s">
        <v>369</v>
      </c>
      <c r="BW64" s="53" t="s">
        <v>370</v>
      </c>
      <c r="BX64" s="62" t="s">
        <v>371</v>
      </c>
      <c r="BY64" s="53" t="s">
        <v>359</v>
      </c>
      <c r="BZ64" s="53" t="s">
        <v>361</v>
      </c>
      <c r="CA64" s="61" t="s">
        <v>1815</v>
      </c>
      <c r="CB64" s="53" t="s">
        <v>1816</v>
      </c>
      <c r="CC64" s="53" t="s">
        <v>1817</v>
      </c>
      <c r="CD64" s="53" t="s">
        <v>1818</v>
      </c>
      <c r="CE64" s="53" t="s">
        <v>1819</v>
      </c>
      <c r="CF64" s="53" t="s">
        <v>1820</v>
      </c>
      <c r="CG64" s="53" t="s">
        <v>1821</v>
      </c>
      <c r="CH64" s="53" t="s">
        <v>1822</v>
      </c>
      <c r="CI64" s="53" t="s">
        <v>1823</v>
      </c>
      <c r="CJ64" s="53" t="s">
        <v>1824</v>
      </c>
      <c r="CK64" s="53" t="s">
        <v>1825</v>
      </c>
      <c r="CL64" s="53" t="s">
        <v>1826</v>
      </c>
      <c r="CO64" s="1">
        <v>56</v>
      </c>
      <c r="CP64" s="27" t="s">
        <v>1783</v>
      </c>
      <c r="CQ64" s="27" t="s">
        <v>1763</v>
      </c>
      <c r="CR64" s="27" t="s">
        <v>1741</v>
      </c>
    </row>
    <row r="65" spans="2:96" x14ac:dyDescent="0.25">
      <c r="B65" s="36" t="s">
        <v>47</v>
      </c>
      <c r="C65" s="1" t="s">
        <v>48</v>
      </c>
      <c r="K65" s="1" t="s">
        <v>1769</v>
      </c>
      <c r="L65" s="1" t="s">
        <v>1750</v>
      </c>
      <c r="M65" s="1" t="s">
        <v>358</v>
      </c>
      <c r="N65" s="6">
        <v>10.5</v>
      </c>
      <c r="O65" s="1" t="s">
        <v>4</v>
      </c>
      <c r="P65" s="1">
        <v>3</v>
      </c>
      <c r="Q65" s="1">
        <v>5</v>
      </c>
      <c r="R65" s="1">
        <v>5</v>
      </c>
      <c r="S65" s="1">
        <v>20</v>
      </c>
      <c r="T65" s="1">
        <v>28</v>
      </c>
      <c r="U65" s="253">
        <v>4</v>
      </c>
      <c r="V65" s="1">
        <v>110</v>
      </c>
      <c r="W65" s="44">
        <v>170</v>
      </c>
      <c r="X65" s="40">
        <f>_xlfn.XLOOKUP("Ripening", CropPhenology_Canola[Main_Stage], CropPhenology_Canola[Start_GDD], "Not Found")</f>
        <v>2001</v>
      </c>
      <c r="Y65" s="4" cm="1">
        <f t="array" ref="Y65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Z65" s="3">
        <f>MIN(Y65/V65,MAX(X65/W65,R65,(X65/W65+Y65/V65)/2))</f>
        <v>15.88529411764706</v>
      </c>
      <c r="AA65" s="41">
        <f t="shared" ref="AA65:AA68" si="34">Y65/Z65</f>
        <v>138.49287169042768</v>
      </c>
      <c r="AB65" s="1">
        <v>7</v>
      </c>
      <c r="AC65" s="1">
        <v>10</v>
      </c>
      <c r="AD65" s="1">
        <v>3</v>
      </c>
      <c r="AE65" s="1">
        <v>80</v>
      </c>
      <c r="AF65" s="1">
        <v>12</v>
      </c>
      <c r="AG65" s="1">
        <v>5</v>
      </c>
      <c r="AH65" s="3">
        <f t="shared" si="13"/>
        <v>1.4368970588235297</v>
      </c>
      <c r="AI65" s="1">
        <v>6</v>
      </c>
      <c r="AJ65" s="1">
        <v>7.5</v>
      </c>
      <c r="AK65" s="159">
        <v>4</v>
      </c>
      <c r="AL65" s="150">
        <v>0.06</v>
      </c>
      <c r="AM65" s="1">
        <v>350</v>
      </c>
      <c r="AN65" s="1">
        <v>500</v>
      </c>
      <c r="AO65" s="48">
        <v>1.5</v>
      </c>
      <c r="AP65" s="44">
        <v>50</v>
      </c>
      <c r="AQ65" s="42">
        <v>0.9</v>
      </c>
      <c r="AR65" s="1">
        <v>30</v>
      </c>
      <c r="AS65" s="1">
        <v>10</v>
      </c>
      <c r="AT65" s="1">
        <v>1</v>
      </c>
      <c r="AU65" s="4">
        <f t="shared" si="21"/>
        <v>33.333333333333336</v>
      </c>
      <c r="AV65" s="3">
        <f>ROUND((P65/1000000)*AU65*10000,2)</f>
        <v>1</v>
      </c>
      <c r="AW65" s="1">
        <v>90</v>
      </c>
      <c r="AX65" s="3">
        <f t="shared" si="28"/>
        <v>30</v>
      </c>
      <c r="AY65" s="1">
        <v>3</v>
      </c>
      <c r="AZ65" s="4">
        <f t="shared" ref="AZ65:AZ68" si="35">IFERROR(AX65*AY65,0)</f>
        <v>90</v>
      </c>
      <c r="BA65" s="49">
        <v>0.9</v>
      </c>
      <c r="BB65" s="4">
        <f t="shared" si="25"/>
        <v>81</v>
      </c>
      <c r="BC65" s="50">
        <v>0.05</v>
      </c>
      <c r="BD65" s="69">
        <f>IFERROR(
  MAX(0.05, MIN(0.5, CropNorms_Canola[[#This Row],[Leaf_Area_Per_Shoot_m2]] * CropNorms_Canola[[#This Row],[Shoot_Bearing_m2]] )),
  0.2
)</f>
        <v>0.5</v>
      </c>
      <c r="BE65" s="4">
        <f>_xlfn.XLOOKUP(CropNorms_Canola[[#This Row],[LAI_Start_BBCH]], CropPhenology_Canola[Sub_Stage], CropPhenology_Canola[Start_GDD], "Not Found")</f>
        <v>141</v>
      </c>
      <c r="BF65" s="3">
        <f>ROUND(CropNorms_Canola[[#This Row],[Shoot_Bearing_m2]]*CropNorms_Canola[[#This Row],[Leaf_Area_Per_Shoot_m2]],2)</f>
        <v>4.05</v>
      </c>
      <c r="BG65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H65" s="3">
        <f>IF(CropNorms_Canola[[#This Row],[Max_LAI]]&gt;=1.2, 0.85*CropNorms_Canola[[#This Row],[Max_LAI]], 1)</f>
        <v>3.4424999999999999</v>
      </c>
      <c r="BI65" s="41">
        <f>_xlfn.XLOOKUP(CropNorms_Canola[[#This Row],[LAI_End_BBCH]], CropPhenology_Canola[Sub_Stage], CropPhenology_Canola[End_GDD], "Not Found")</f>
        <v>2000</v>
      </c>
      <c r="BJ65" s="3" cm="1">
        <f t="array" ref="BJ65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K65" s="3" cm="1">
        <f t="array" ref="BK65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L65" s="3" cm="1">
        <f t="array" ref="BL65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M65" s="3" cm="1">
        <f t="array" ref="BM65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5" s="42">
        <v>0.25</v>
      </c>
      <c r="BO65" s="43">
        <v>0</v>
      </c>
      <c r="BP65" s="42">
        <v>2</v>
      </c>
      <c r="BQ65" s="43" t="s">
        <v>1745</v>
      </c>
      <c r="BR65" s="69" t="str" cm="1">
        <f t="array" ref="BR65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65" s="3" t="str" cm="1">
        <f t="array" ref="BS65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65" s="3" t="str" cm="1">
        <f t="array" ref="BT65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65" s="70" t="str" cm="1">
        <f t="array" ref="BU65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65" s="48">
        <v>80</v>
      </c>
      <c r="BW65" s="1">
        <v>20</v>
      </c>
      <c r="BX65" s="44">
        <v>30</v>
      </c>
      <c r="BY65" s="51">
        <v>45931</v>
      </c>
      <c r="BZ65" s="5">
        <v>45976</v>
      </c>
      <c r="CA65" s="85">
        <v>0</v>
      </c>
      <c r="CB65" s="2">
        <v>0</v>
      </c>
      <c r="CC65" s="2">
        <v>0</v>
      </c>
      <c r="CD65" s="2">
        <v>1</v>
      </c>
      <c r="CE65" s="2">
        <v>1</v>
      </c>
      <c r="CF65" s="2">
        <v>1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O65" s="1">
        <v>57</v>
      </c>
      <c r="CP65" s="27" t="s">
        <v>1430</v>
      </c>
      <c r="CQ65" s="27" t="s">
        <v>1767</v>
      </c>
      <c r="CR65" s="27" t="s">
        <v>1793</v>
      </c>
    </row>
    <row r="66" spans="2:96" x14ac:dyDescent="0.25">
      <c r="B66" s="36" t="s">
        <v>47</v>
      </c>
      <c r="C66" s="1" t="s">
        <v>49</v>
      </c>
      <c r="K66" s="1" t="s">
        <v>1769</v>
      </c>
      <c r="L66" s="1" t="s">
        <v>1750</v>
      </c>
      <c r="M66" s="1" t="s">
        <v>358</v>
      </c>
      <c r="N66" s="6">
        <v>10.5</v>
      </c>
      <c r="O66" s="1" t="s">
        <v>4</v>
      </c>
      <c r="P66" s="1">
        <v>3</v>
      </c>
      <c r="Q66" s="1">
        <v>5</v>
      </c>
      <c r="R66" s="1">
        <v>5</v>
      </c>
      <c r="S66" s="1">
        <v>20</v>
      </c>
      <c r="T66" s="1">
        <v>28</v>
      </c>
      <c r="U66" s="253">
        <v>4</v>
      </c>
      <c r="V66" s="1">
        <v>110</v>
      </c>
      <c r="W66" s="44">
        <v>170</v>
      </c>
      <c r="X66" s="40">
        <f>_xlfn.XLOOKUP("Ripening", CropPhenology_Canola[Main_Stage], CropPhenology_Canola[Start_GDD], "Not Found")</f>
        <v>2001</v>
      </c>
      <c r="Y66" s="4" cm="1">
        <f t="array" ref="Y66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Z66" s="3">
        <f>MIN(Y66/V66,MAX(X66/W66,R66,(X66/W66+Y66/V66)/2))</f>
        <v>15.88529411764706</v>
      </c>
      <c r="AA66" s="41">
        <f t="shared" si="34"/>
        <v>138.49287169042768</v>
      </c>
      <c r="AB66" s="1">
        <v>7</v>
      </c>
      <c r="AC66" s="1">
        <v>10</v>
      </c>
      <c r="AD66" s="1">
        <v>3</v>
      </c>
      <c r="AE66" s="1">
        <v>80</v>
      </c>
      <c r="AF66" s="1">
        <v>12</v>
      </c>
      <c r="AG66" s="1">
        <v>5</v>
      </c>
      <c r="AH66" s="3">
        <f t="shared" si="13"/>
        <v>1.4368970588235297</v>
      </c>
      <c r="AI66" s="1">
        <v>6</v>
      </c>
      <c r="AJ66" s="1">
        <v>7.5</v>
      </c>
      <c r="AK66" s="159">
        <v>4</v>
      </c>
      <c r="AL66" s="150">
        <v>0.06</v>
      </c>
      <c r="AM66" s="1">
        <v>350</v>
      </c>
      <c r="AN66" s="1">
        <v>500</v>
      </c>
      <c r="AO66" s="48">
        <v>1.5</v>
      </c>
      <c r="AP66" s="44">
        <v>50</v>
      </c>
      <c r="AQ66" s="42">
        <v>0.85</v>
      </c>
      <c r="AR66" s="1">
        <v>30</v>
      </c>
      <c r="AS66" s="1">
        <v>10</v>
      </c>
      <c r="AT66" s="1">
        <v>1</v>
      </c>
      <c r="AU66" s="4">
        <f t="shared" si="21"/>
        <v>33.333333333333336</v>
      </c>
      <c r="AV66" s="3">
        <f>ROUND((P66/1000000)*AU66*10000,2)</f>
        <v>1</v>
      </c>
      <c r="AW66" s="1">
        <v>90</v>
      </c>
      <c r="AX66" s="3">
        <f t="shared" si="28"/>
        <v>30</v>
      </c>
      <c r="AY66" s="1">
        <v>3</v>
      </c>
      <c r="AZ66" s="4">
        <f t="shared" si="35"/>
        <v>90</v>
      </c>
      <c r="BA66" s="49">
        <v>0.9</v>
      </c>
      <c r="BB66" s="4">
        <f t="shared" si="25"/>
        <v>81</v>
      </c>
      <c r="BC66" s="50">
        <v>0.05</v>
      </c>
      <c r="BD66" s="69">
        <f>IFERROR(
  MAX(0.05, MIN(0.5, CropNorms_Canola[[#This Row],[Leaf_Area_Per_Shoot_m2]] * CropNorms_Canola[[#This Row],[Shoot_Bearing_m2]] )),
  0.2
)</f>
        <v>0.5</v>
      </c>
      <c r="BE66" s="4">
        <f>_xlfn.XLOOKUP(CropNorms_Canola[[#This Row],[LAI_Start_BBCH]], CropPhenology_Canola[Sub_Stage], CropPhenology_Canola[Start_GDD], "Not Found")</f>
        <v>141</v>
      </c>
      <c r="BF66" s="3">
        <f>ROUND(CropNorms_Canola[[#This Row],[Shoot_Bearing_m2]]*CropNorms_Canola[[#This Row],[Leaf_Area_Per_Shoot_m2]],2)</f>
        <v>4.05</v>
      </c>
      <c r="BG66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H66" s="3">
        <f>IF(CropNorms_Canola[[#This Row],[Max_LAI]]&gt;=1.2, 0.85*CropNorms_Canola[[#This Row],[Max_LAI]], 1)</f>
        <v>3.4424999999999999</v>
      </c>
      <c r="BI66" s="41">
        <f>_xlfn.XLOOKUP(CropNorms_Canola[[#This Row],[LAI_End_BBCH]], CropPhenology_Canola[Sub_Stage], CropPhenology_Canola[End_GDD], "Not Found")</f>
        <v>2000</v>
      </c>
      <c r="BJ66" s="3" cm="1">
        <f t="array" ref="BJ66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K66" s="3" cm="1">
        <f t="array" ref="BK66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L66" s="3" cm="1">
        <f t="array" ref="BL66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M66" s="3" cm="1">
        <f t="array" ref="BM66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6" s="42">
        <v>0.25</v>
      </c>
      <c r="BO66" s="43">
        <v>0</v>
      </c>
      <c r="BP66" s="42">
        <v>2</v>
      </c>
      <c r="BQ66" s="43" t="s">
        <v>1745</v>
      </c>
      <c r="BR66" s="69" t="str" cm="1">
        <f t="array" ref="BR66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66" s="3" t="str" cm="1">
        <f t="array" ref="BS66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66" s="3" t="str" cm="1">
        <f t="array" ref="BT66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66" s="70" t="str" cm="1">
        <f t="array" ref="BU66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66" s="48">
        <v>80</v>
      </c>
      <c r="BW66" s="1">
        <v>20</v>
      </c>
      <c r="BX66" s="44">
        <v>30</v>
      </c>
      <c r="BY66" s="51">
        <v>45931</v>
      </c>
      <c r="BZ66" s="5">
        <v>45976</v>
      </c>
      <c r="CA66" s="85">
        <v>0</v>
      </c>
      <c r="CB66" s="2">
        <v>0</v>
      </c>
      <c r="CC66" s="2">
        <v>0</v>
      </c>
      <c r="CD66" s="2">
        <v>1</v>
      </c>
      <c r="CE66" s="2">
        <v>1</v>
      </c>
      <c r="CF66" s="2">
        <v>1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O66" s="1">
        <v>58</v>
      </c>
      <c r="CP66" s="27" t="s">
        <v>698</v>
      </c>
      <c r="CQ66" s="27" t="s">
        <v>1763</v>
      </c>
      <c r="CR66" s="27" t="s">
        <v>1741</v>
      </c>
    </row>
    <row r="67" spans="2:96" x14ac:dyDescent="0.25">
      <c r="B67" s="36" t="s">
        <v>47</v>
      </c>
      <c r="C67" s="1" t="s">
        <v>50</v>
      </c>
      <c r="K67" s="1" t="s">
        <v>1769</v>
      </c>
      <c r="L67" s="1" t="s">
        <v>1750</v>
      </c>
      <c r="M67" s="1" t="s">
        <v>358</v>
      </c>
      <c r="N67" s="6">
        <v>10.5</v>
      </c>
      <c r="O67" s="1" t="s">
        <v>4</v>
      </c>
      <c r="P67" s="1">
        <v>3</v>
      </c>
      <c r="Q67" s="1">
        <v>5</v>
      </c>
      <c r="R67" s="1">
        <v>5</v>
      </c>
      <c r="S67" s="1">
        <v>20</v>
      </c>
      <c r="T67" s="1">
        <v>28</v>
      </c>
      <c r="U67" s="253">
        <v>4</v>
      </c>
      <c r="V67" s="1">
        <v>110</v>
      </c>
      <c r="W67" s="44">
        <v>170</v>
      </c>
      <c r="X67" s="40">
        <f>_xlfn.XLOOKUP("Ripening", CropPhenology_Canola[Main_Stage], CropPhenology_Canola[Start_GDD], "Not Found")</f>
        <v>2001</v>
      </c>
      <c r="Y67" s="4" cm="1">
        <f t="array" ref="Y67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Z67" s="3">
        <f>MIN(Y67/V67,MAX(X67/W67,R67,(X67/W67+Y67/V67)/2))</f>
        <v>15.88529411764706</v>
      </c>
      <c r="AA67" s="41">
        <f t="shared" si="34"/>
        <v>138.49287169042768</v>
      </c>
      <c r="AB67" s="1">
        <v>7</v>
      </c>
      <c r="AC67" s="1">
        <v>10</v>
      </c>
      <c r="AD67" s="1">
        <v>3</v>
      </c>
      <c r="AE67" s="1">
        <v>80</v>
      </c>
      <c r="AF67" s="1">
        <v>12</v>
      </c>
      <c r="AG67" s="1">
        <v>5</v>
      </c>
      <c r="AH67" s="3">
        <f t="shared" si="13"/>
        <v>1.4368970588235297</v>
      </c>
      <c r="AI67" s="1">
        <v>6</v>
      </c>
      <c r="AJ67" s="1">
        <v>7.5</v>
      </c>
      <c r="AK67" s="159">
        <v>4</v>
      </c>
      <c r="AL67" s="150">
        <v>0.06</v>
      </c>
      <c r="AM67" s="1">
        <v>350</v>
      </c>
      <c r="AN67" s="1">
        <v>500</v>
      </c>
      <c r="AO67" s="48">
        <v>1.5</v>
      </c>
      <c r="AP67" s="44">
        <v>50</v>
      </c>
      <c r="AQ67" s="42">
        <v>0.8</v>
      </c>
      <c r="AR67" s="1">
        <v>30</v>
      </c>
      <c r="AS67" s="1">
        <v>10</v>
      </c>
      <c r="AT67" s="1">
        <v>1</v>
      </c>
      <c r="AU67" s="4">
        <f t="shared" si="21"/>
        <v>33.333333333333336</v>
      </c>
      <c r="AV67" s="3">
        <f>ROUND((P67/1000000)*AU67*10000,2)</f>
        <v>1</v>
      </c>
      <c r="AW67" s="1">
        <v>90</v>
      </c>
      <c r="AX67" s="3">
        <f t="shared" si="28"/>
        <v>30</v>
      </c>
      <c r="AY67" s="1">
        <v>3</v>
      </c>
      <c r="AZ67" s="4">
        <f t="shared" si="35"/>
        <v>90</v>
      </c>
      <c r="BA67" s="49">
        <v>0.9</v>
      </c>
      <c r="BB67" s="4">
        <f t="shared" si="25"/>
        <v>81</v>
      </c>
      <c r="BC67" s="50">
        <v>0.05</v>
      </c>
      <c r="BD67" s="69">
        <f>IFERROR(
  MAX(0.05, MIN(0.5, CropNorms_Canola[[#This Row],[Leaf_Area_Per_Shoot_m2]] * CropNorms_Canola[[#This Row],[Shoot_Bearing_m2]] )),
  0.2
)</f>
        <v>0.5</v>
      </c>
      <c r="BE67" s="4">
        <f>_xlfn.XLOOKUP(CropNorms_Canola[[#This Row],[LAI_Start_BBCH]], CropPhenology_Canola[Sub_Stage], CropPhenology_Canola[Start_GDD], "Not Found")</f>
        <v>141</v>
      </c>
      <c r="BF67" s="3">
        <f>ROUND(CropNorms_Canola[[#This Row],[Shoot_Bearing_m2]]*CropNorms_Canola[[#This Row],[Leaf_Area_Per_Shoot_m2]],2)</f>
        <v>4.05</v>
      </c>
      <c r="BG67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H67" s="3">
        <f>IF(CropNorms_Canola[[#This Row],[Max_LAI]]&gt;=1.2, 0.85*CropNorms_Canola[[#This Row],[Max_LAI]], 1)</f>
        <v>3.4424999999999999</v>
      </c>
      <c r="BI67" s="41">
        <f>_xlfn.XLOOKUP(CropNorms_Canola[[#This Row],[LAI_End_BBCH]], CropPhenology_Canola[Sub_Stage], CropPhenology_Canola[End_GDD], "Not Found")</f>
        <v>2000</v>
      </c>
      <c r="BJ67" s="3" cm="1">
        <f t="array" ref="BJ67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K67" s="3" cm="1">
        <f t="array" ref="BK67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L67" s="3" cm="1">
        <f t="array" ref="BL67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M67" s="3" cm="1">
        <f t="array" ref="BM67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7" s="42">
        <v>0.25</v>
      </c>
      <c r="BO67" s="43">
        <v>0</v>
      </c>
      <c r="BP67" s="42">
        <v>2</v>
      </c>
      <c r="BQ67" s="43" t="s">
        <v>1745</v>
      </c>
      <c r="BR67" s="69" t="str" cm="1">
        <f t="array" ref="BR67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67" s="3" t="str" cm="1">
        <f t="array" ref="BS67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67" s="3" t="str" cm="1">
        <f t="array" ref="BT67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67" s="70" t="str" cm="1">
        <f t="array" ref="BU67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67" s="48">
        <v>80</v>
      </c>
      <c r="BW67" s="1">
        <v>20</v>
      </c>
      <c r="BX67" s="44">
        <v>30</v>
      </c>
      <c r="BY67" s="51">
        <v>45931</v>
      </c>
      <c r="BZ67" s="5">
        <v>45976</v>
      </c>
      <c r="CA67" s="85">
        <v>0</v>
      </c>
      <c r="CB67" s="2">
        <v>0</v>
      </c>
      <c r="CC67" s="2">
        <v>0</v>
      </c>
      <c r="CD67" s="2">
        <v>1</v>
      </c>
      <c r="CE67" s="2">
        <v>1</v>
      </c>
      <c r="CF67" s="2">
        <v>1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O67" s="1">
        <v>59</v>
      </c>
      <c r="CP67" s="27" t="s">
        <v>1150</v>
      </c>
      <c r="CQ67" s="27" t="s">
        <v>1770</v>
      </c>
      <c r="CR67" s="27" t="s">
        <v>1786</v>
      </c>
    </row>
    <row r="68" spans="2:96" ht="11.25" thickBot="1" x14ac:dyDescent="0.3">
      <c r="B68" s="36" t="s">
        <v>47</v>
      </c>
      <c r="C68" s="1" t="s">
        <v>51</v>
      </c>
      <c r="K68" s="1" t="s">
        <v>1769</v>
      </c>
      <c r="L68" s="1" t="s">
        <v>1750</v>
      </c>
      <c r="M68" s="1" t="s">
        <v>358</v>
      </c>
      <c r="N68" s="6">
        <v>10.5</v>
      </c>
      <c r="O68" s="1" t="s">
        <v>4</v>
      </c>
      <c r="P68" s="1">
        <v>3</v>
      </c>
      <c r="Q68" s="1">
        <v>5</v>
      </c>
      <c r="R68" s="1">
        <v>5</v>
      </c>
      <c r="S68" s="1">
        <v>20</v>
      </c>
      <c r="T68" s="1">
        <v>28</v>
      </c>
      <c r="U68" s="254">
        <v>4</v>
      </c>
      <c r="V68" s="1">
        <v>110</v>
      </c>
      <c r="W68" s="44">
        <v>170</v>
      </c>
      <c r="X68" s="40">
        <f>_xlfn.XLOOKUP("Ripening", CropPhenology_Canola[Main_Stage], CropPhenology_Canola[Start_GDD], "Not Found")</f>
        <v>2001</v>
      </c>
      <c r="Y68" s="4" cm="1">
        <f t="array" ref="Y68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Z68" s="3">
        <f>MIN(Y68/V68,MAX(X68/W68,R68,(X68/W68+Y68/V68)/2))</f>
        <v>15.88529411764706</v>
      </c>
      <c r="AA68" s="41">
        <f t="shared" si="34"/>
        <v>138.49287169042768</v>
      </c>
      <c r="AB68" s="1">
        <v>7</v>
      </c>
      <c r="AC68" s="1">
        <v>10</v>
      </c>
      <c r="AD68" s="1">
        <v>3</v>
      </c>
      <c r="AE68" s="1">
        <v>80</v>
      </c>
      <c r="AF68" s="1">
        <v>12</v>
      </c>
      <c r="AG68" s="1">
        <v>5</v>
      </c>
      <c r="AH68" s="3">
        <f t="shared" si="13"/>
        <v>1.4368970588235297</v>
      </c>
      <c r="AI68" s="1">
        <v>6</v>
      </c>
      <c r="AJ68" s="1">
        <v>7.5</v>
      </c>
      <c r="AK68" s="160">
        <v>4</v>
      </c>
      <c r="AL68" s="161">
        <v>0.06</v>
      </c>
      <c r="AM68" s="1">
        <v>350</v>
      </c>
      <c r="AN68" s="1">
        <v>500</v>
      </c>
      <c r="AO68" s="48">
        <v>1.5</v>
      </c>
      <c r="AP68" s="44">
        <v>50</v>
      </c>
      <c r="AQ68" s="42">
        <v>0.88</v>
      </c>
      <c r="AR68" s="1">
        <v>30</v>
      </c>
      <c r="AS68" s="1">
        <v>10</v>
      </c>
      <c r="AT68" s="1">
        <v>1</v>
      </c>
      <c r="AU68" s="4">
        <f t="shared" si="21"/>
        <v>33.333333333333336</v>
      </c>
      <c r="AV68" s="3">
        <f>ROUND((P68/1000000)*AU68*10000,2)</f>
        <v>1</v>
      </c>
      <c r="AW68" s="1">
        <v>90</v>
      </c>
      <c r="AX68" s="3">
        <f t="shared" si="28"/>
        <v>30</v>
      </c>
      <c r="AY68" s="1">
        <v>3</v>
      </c>
      <c r="AZ68" s="4">
        <f t="shared" si="35"/>
        <v>90</v>
      </c>
      <c r="BA68" s="49">
        <v>0.9</v>
      </c>
      <c r="BB68" s="4">
        <f t="shared" si="25"/>
        <v>81</v>
      </c>
      <c r="BC68" s="50">
        <v>0.05</v>
      </c>
      <c r="BD68" s="69">
        <f>IFERROR(
  MAX(0.05, MIN(0.5, CropNorms_Canola[[#This Row],[Leaf_Area_Per_Shoot_m2]] * CropNorms_Canola[[#This Row],[Shoot_Bearing_m2]] )),
  0.2
)</f>
        <v>0.5</v>
      </c>
      <c r="BE68" s="4">
        <f>_xlfn.XLOOKUP(CropNorms_Canola[[#This Row],[LAI_Start_BBCH]], CropPhenology_Canola[Sub_Stage], CropPhenology_Canola[Start_GDD], "Not Found")</f>
        <v>141</v>
      </c>
      <c r="BF68" s="3">
        <f>ROUND(CropNorms_Canola[[#This Row],[Shoot_Bearing_m2]]*CropNorms_Canola[[#This Row],[Leaf_Area_Per_Shoot_m2]],2)</f>
        <v>4.05</v>
      </c>
      <c r="BG68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H68" s="3">
        <f>IF(CropNorms_Canola[[#This Row],[Max_LAI]]&gt;=1.2, 0.85*CropNorms_Canola[[#This Row],[Max_LAI]], 1)</f>
        <v>3.4424999999999999</v>
      </c>
      <c r="BI68" s="41">
        <f>_xlfn.XLOOKUP(CropNorms_Canola[[#This Row],[LAI_End_BBCH]], CropPhenology_Canola[Sub_Stage], CropPhenology_Canola[End_GDD], "Not Found")</f>
        <v>2000</v>
      </c>
      <c r="BJ68" s="3" cm="1">
        <f t="array" ref="BJ68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K68" s="3" cm="1">
        <f t="array" ref="BK68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L68" s="3" cm="1">
        <f t="array" ref="BL68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M68" s="3" cm="1">
        <f t="array" ref="BM68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68" s="42">
        <v>0.25</v>
      </c>
      <c r="BO68" s="43">
        <v>0</v>
      </c>
      <c r="BP68" s="42">
        <v>2</v>
      </c>
      <c r="BQ68" s="43" t="s">
        <v>1745</v>
      </c>
      <c r="BR68" s="69" t="str" cm="1">
        <f t="array" ref="BR68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68" s="3" t="str" cm="1">
        <f t="array" ref="BS68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68" s="3" t="str" cm="1">
        <f t="array" ref="BT68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68" s="70" t="str" cm="1">
        <f t="array" ref="BU68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68" s="48">
        <v>80</v>
      </c>
      <c r="BW68" s="1">
        <v>20</v>
      </c>
      <c r="BX68" s="44">
        <v>30</v>
      </c>
      <c r="BY68" s="51">
        <v>45931</v>
      </c>
      <c r="BZ68" s="5">
        <v>45976</v>
      </c>
      <c r="CA68" s="85">
        <v>0</v>
      </c>
      <c r="CB68" s="2">
        <v>0</v>
      </c>
      <c r="CC68" s="2">
        <v>0</v>
      </c>
      <c r="CD68" s="2">
        <v>1</v>
      </c>
      <c r="CE68" s="2">
        <v>1</v>
      </c>
      <c r="CF68" s="2">
        <v>1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O68" s="1">
        <v>60</v>
      </c>
      <c r="CP68" s="27" t="s">
        <v>1784</v>
      </c>
      <c r="CQ68" s="27" t="s">
        <v>1763</v>
      </c>
      <c r="CR68" s="27" t="s">
        <v>1741</v>
      </c>
    </row>
    <row r="69" spans="2:96" ht="11.25" thickBot="1" x14ac:dyDescent="0.3">
      <c r="Y69" s="3"/>
      <c r="Z69" s="4"/>
      <c r="AG69" s="3"/>
      <c r="AR69" s="4"/>
      <c r="AS69" s="3"/>
      <c r="AU69" s="3"/>
      <c r="AW69" s="4"/>
      <c r="AX69" s="49"/>
      <c r="AY69" s="4"/>
      <c r="BV69" s="51"/>
      <c r="BW69" s="51"/>
      <c r="CO69" s="1">
        <v>61</v>
      </c>
      <c r="CP69" s="27" t="s">
        <v>1152</v>
      </c>
      <c r="CQ69" s="27" t="s">
        <v>1763</v>
      </c>
      <c r="CR69" s="27" t="s">
        <v>1741</v>
      </c>
    </row>
    <row r="70" spans="2:96" ht="11.25" thickBot="1" x14ac:dyDescent="0.3">
      <c r="B70" s="54" t="s">
        <v>1753</v>
      </c>
      <c r="C70" s="53" t="s">
        <v>1754</v>
      </c>
      <c r="D70" s="53" t="s">
        <v>1804</v>
      </c>
      <c r="E70" s="53" t="s">
        <v>1805</v>
      </c>
      <c r="F70" s="53" t="s">
        <v>1806</v>
      </c>
      <c r="G70" s="53" t="s">
        <v>1807</v>
      </c>
      <c r="H70" s="53" t="s">
        <v>1808</v>
      </c>
      <c r="I70" s="53" t="s">
        <v>1809</v>
      </c>
      <c r="J70" s="53" t="s">
        <v>1810</v>
      </c>
      <c r="K70" s="53" t="s">
        <v>1747</v>
      </c>
      <c r="L70" s="54" t="s">
        <v>1749</v>
      </c>
      <c r="M70" s="53" t="s">
        <v>357</v>
      </c>
      <c r="N70" s="55" t="s">
        <v>692</v>
      </c>
      <c r="O70" s="53" t="s">
        <v>325</v>
      </c>
      <c r="P70" s="53" t="s">
        <v>356</v>
      </c>
      <c r="Q70" s="53" t="s">
        <v>326</v>
      </c>
      <c r="R70" s="53" t="s">
        <v>327</v>
      </c>
      <c r="S70" s="53" t="s">
        <v>328</v>
      </c>
      <c r="T70" s="53" t="s">
        <v>329</v>
      </c>
      <c r="U70" s="250" t="s">
        <v>2349</v>
      </c>
      <c r="V70" s="53" t="s">
        <v>330</v>
      </c>
      <c r="W70" s="53" t="s">
        <v>331</v>
      </c>
      <c r="X70" s="56" t="s">
        <v>354</v>
      </c>
      <c r="Y70" s="57" t="s">
        <v>355</v>
      </c>
      <c r="Z70" s="58" t="s">
        <v>413</v>
      </c>
      <c r="AA70" s="59" t="s">
        <v>583</v>
      </c>
      <c r="AB70" s="53" t="s">
        <v>324</v>
      </c>
      <c r="AC70" s="53" t="s">
        <v>332</v>
      </c>
      <c r="AD70" s="53" t="s">
        <v>333</v>
      </c>
      <c r="AE70" s="53" t="s">
        <v>334</v>
      </c>
      <c r="AF70" s="53" t="s">
        <v>335</v>
      </c>
      <c r="AG70" s="53" t="s">
        <v>336</v>
      </c>
      <c r="AH70" s="60" t="s">
        <v>337</v>
      </c>
      <c r="AI70" s="53" t="s">
        <v>338</v>
      </c>
      <c r="AJ70" s="53" t="s">
        <v>339</v>
      </c>
      <c r="AK70" s="157" t="s">
        <v>2346</v>
      </c>
      <c r="AL70" s="158" t="s">
        <v>2347</v>
      </c>
      <c r="AM70" s="53" t="s">
        <v>340</v>
      </c>
      <c r="AN70" s="53" t="s">
        <v>341</v>
      </c>
      <c r="AO70" s="61" t="s">
        <v>342</v>
      </c>
      <c r="AP70" s="62" t="s">
        <v>343</v>
      </c>
      <c r="AQ70" s="55" t="s">
        <v>344</v>
      </c>
      <c r="AR70" s="53" t="s">
        <v>345</v>
      </c>
      <c r="AS70" s="53" t="s">
        <v>346</v>
      </c>
      <c r="AT70" s="53" t="s">
        <v>364</v>
      </c>
      <c r="AU70" s="60" t="s">
        <v>347</v>
      </c>
      <c r="AV70" s="58" t="s">
        <v>363</v>
      </c>
      <c r="AW70" s="53" t="s">
        <v>348</v>
      </c>
      <c r="AX70" s="58" t="s">
        <v>349</v>
      </c>
      <c r="AY70" s="53" t="s">
        <v>366</v>
      </c>
      <c r="AZ70" s="60" t="s">
        <v>350</v>
      </c>
      <c r="BA70" s="53" t="s">
        <v>365</v>
      </c>
      <c r="BB70" s="60" t="s">
        <v>1827</v>
      </c>
      <c r="BC70" s="63" t="s">
        <v>351</v>
      </c>
      <c r="BD70" s="71" t="s">
        <v>1811</v>
      </c>
      <c r="BE70" s="57" t="s">
        <v>352</v>
      </c>
      <c r="BF70" s="58" t="s">
        <v>1812</v>
      </c>
      <c r="BG70" s="57" t="s">
        <v>1752</v>
      </c>
      <c r="BH70" s="60" t="s">
        <v>1813</v>
      </c>
      <c r="BI70" s="59" t="s">
        <v>353</v>
      </c>
      <c r="BJ70" s="71" t="s">
        <v>1828</v>
      </c>
      <c r="BK70" s="58" t="s">
        <v>1829</v>
      </c>
      <c r="BL70" s="58" t="s">
        <v>1830</v>
      </c>
      <c r="BM70" s="72" t="s">
        <v>1831</v>
      </c>
      <c r="BN70" s="64" t="s">
        <v>1154</v>
      </c>
      <c r="BO70" s="65" t="s">
        <v>1742</v>
      </c>
      <c r="BP70" s="64" t="s">
        <v>1155</v>
      </c>
      <c r="BQ70" s="65" t="s">
        <v>1755</v>
      </c>
      <c r="BR70" s="71" t="s">
        <v>367</v>
      </c>
      <c r="BS70" s="58" t="s">
        <v>1751</v>
      </c>
      <c r="BT70" s="58" t="s">
        <v>368</v>
      </c>
      <c r="BU70" s="156" t="s">
        <v>1814</v>
      </c>
      <c r="BV70" s="61" t="s">
        <v>369</v>
      </c>
      <c r="BW70" s="53" t="s">
        <v>370</v>
      </c>
      <c r="BX70" s="62" t="s">
        <v>371</v>
      </c>
      <c r="BY70" s="53" t="s">
        <v>359</v>
      </c>
      <c r="BZ70" s="53" t="s">
        <v>361</v>
      </c>
      <c r="CA70" s="61" t="s">
        <v>1815</v>
      </c>
      <c r="CB70" s="53" t="s">
        <v>1816</v>
      </c>
      <c r="CC70" s="53" t="s">
        <v>1817</v>
      </c>
      <c r="CD70" s="53" t="s">
        <v>1818</v>
      </c>
      <c r="CE70" s="53" t="s">
        <v>1819</v>
      </c>
      <c r="CF70" s="53" t="s">
        <v>1820</v>
      </c>
      <c r="CG70" s="53" t="s">
        <v>1821</v>
      </c>
      <c r="CH70" s="53" t="s">
        <v>1822</v>
      </c>
      <c r="CI70" s="53" t="s">
        <v>1823</v>
      </c>
      <c r="CJ70" s="53" t="s">
        <v>1824</v>
      </c>
      <c r="CK70" s="53" t="s">
        <v>1825</v>
      </c>
      <c r="CL70" s="53" t="s">
        <v>1826</v>
      </c>
      <c r="CO70" s="1">
        <v>62</v>
      </c>
      <c r="CP70" s="27" t="s">
        <v>696</v>
      </c>
      <c r="CQ70" s="27" t="s">
        <v>1748</v>
      </c>
      <c r="CR70" s="27" t="s">
        <v>1795</v>
      </c>
    </row>
    <row r="71" spans="2:96" x14ac:dyDescent="0.25">
      <c r="B71" s="36" t="s">
        <v>52</v>
      </c>
      <c r="C71" s="1" t="s">
        <v>53</v>
      </c>
      <c r="K71" s="1" t="s">
        <v>1770</v>
      </c>
      <c r="L71" s="1" t="s">
        <v>1750</v>
      </c>
      <c r="M71" s="1" t="s">
        <v>372</v>
      </c>
      <c r="N71" s="6">
        <v>12</v>
      </c>
      <c r="O71" s="1" t="s">
        <v>4</v>
      </c>
      <c r="P71" s="1">
        <v>0.3</v>
      </c>
      <c r="Q71" s="1">
        <v>5</v>
      </c>
      <c r="R71" s="1">
        <v>5</v>
      </c>
      <c r="S71" s="1">
        <v>22</v>
      </c>
      <c r="T71" s="1">
        <v>30</v>
      </c>
      <c r="U71" s="253">
        <v>7</v>
      </c>
      <c r="V71" s="1">
        <v>60</v>
      </c>
      <c r="W71" s="44">
        <v>130</v>
      </c>
      <c r="X71" s="40">
        <f>_xlfn.XLOOKUP("Ripening", CropPhenology_Carrot[Main_Stage], CropPhenology_Carrot[Start_GDD], "Not Found")</f>
        <v>3501</v>
      </c>
      <c r="Y71" s="4" cm="1">
        <f t="array" ref="Y71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Z71" s="3">
        <f>MIN(Y71/V71,MAX(X71/W71,R71,(X71/W71+Y71/V71)/2))</f>
        <v>46.79871794871795</v>
      </c>
      <c r="AA71" s="41">
        <f t="shared" ref="AA71:AA75" si="36">Y71/Z71</f>
        <v>85.472426923814481</v>
      </c>
      <c r="AB71" s="1">
        <v>6.5</v>
      </c>
      <c r="AC71" s="1">
        <v>5</v>
      </c>
      <c r="AD71" s="1">
        <v>2.5</v>
      </c>
      <c r="AE71" s="1">
        <v>90</v>
      </c>
      <c r="AF71" s="1">
        <v>3</v>
      </c>
      <c r="AG71" s="1">
        <v>5</v>
      </c>
      <c r="AH71" s="3">
        <f t="shared" si="13"/>
        <v>5.8381400641025643</v>
      </c>
      <c r="AI71" s="1">
        <v>6</v>
      </c>
      <c r="AJ71" s="1">
        <v>7</v>
      </c>
      <c r="AK71" s="159">
        <v>1</v>
      </c>
      <c r="AL71" s="150">
        <v>0.14000000000000001</v>
      </c>
      <c r="AM71" s="1">
        <v>300</v>
      </c>
      <c r="AN71" s="1">
        <v>400</v>
      </c>
      <c r="AO71" s="48">
        <v>0.5</v>
      </c>
      <c r="AP71" s="44">
        <v>30</v>
      </c>
      <c r="AQ71" s="42">
        <v>0.7</v>
      </c>
      <c r="AR71" s="1">
        <v>30</v>
      </c>
      <c r="AS71" s="1">
        <v>5</v>
      </c>
      <c r="AT71" s="1">
        <v>1</v>
      </c>
      <c r="AU71" s="4">
        <f t="shared" si="21"/>
        <v>66.666666666666671</v>
      </c>
      <c r="AV71" s="3">
        <f>ROUND((P71/1000000)*AU71*10000,2)</f>
        <v>0.2</v>
      </c>
      <c r="AW71" s="1">
        <v>90</v>
      </c>
      <c r="AX71" s="3">
        <f t="shared" ref="AX71:AX83" si="37">IFERROR((AU71*AW71/100),0)</f>
        <v>60</v>
      </c>
      <c r="AY71" s="1">
        <v>1</v>
      </c>
      <c r="AZ71" s="4">
        <f t="shared" ref="AZ71:AZ75" si="38">IFERROR(AX71*AY71,0)</f>
        <v>60</v>
      </c>
      <c r="BA71" s="49">
        <v>0.9</v>
      </c>
      <c r="BB71" s="4">
        <f t="shared" si="25"/>
        <v>54</v>
      </c>
      <c r="BC71" s="50">
        <v>0.05</v>
      </c>
      <c r="BD71" s="69">
        <f>IFERROR(
  MAX(0.05, MIN(0.5, CropNorms_Carrot[[#This Row],[Leaf_Area_Per_Shoot_m2]] * CropNorms_Carrot[[#This Row],[Shoot_Bearing_m2]] )),
  0.2
)</f>
        <v>0.5</v>
      </c>
      <c r="BE71" s="4">
        <f>_xlfn.XLOOKUP(CropNorms_Carrot[[#This Row],[LAI_Start_BBCH]], CropPhenology_Carrot[Sub_Stage], CropPhenology_Carrot[Start_GDD], "Not Found")</f>
        <v>151</v>
      </c>
      <c r="BF71" s="3">
        <f>ROUND(CropNorms_Carrot[[#This Row],[Shoot_Bearing_m2]]*CropNorms_Carrot[[#This Row],[Leaf_Area_Per_Shoot_m2]],2)</f>
        <v>2.7</v>
      </c>
      <c r="BG71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H71" s="3">
        <f>IF(CropNorms_Carrot[[#This Row],[Max_LAI]]&gt;=1.2, 0.85*CropNorms_Carrot[[#This Row],[Max_LAI]], 1)</f>
        <v>2.2949999999999999</v>
      </c>
      <c r="BI71" s="41">
        <f>_xlfn.XLOOKUP(CropNorms_Carrot[[#This Row],[LAI_End_BBCH]], CropPhenology_Carrot[Sub_Stage], CropPhenology_Carrot[End_GDD], "Not Found")</f>
        <v>3500</v>
      </c>
      <c r="BJ71" s="3" cm="1">
        <f t="array" ref="BJ71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K71" s="3" cm="1">
        <f t="array" ref="BK7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L71" s="3" cm="1">
        <f t="array" ref="BL71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M71" s="3" cm="1">
        <f t="array" ref="BM7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1" s="42">
        <v>0.7</v>
      </c>
      <c r="BO71" s="43">
        <v>0.85</v>
      </c>
      <c r="BP71" s="42">
        <v>30</v>
      </c>
      <c r="BQ71" s="43" t="s">
        <v>1786</v>
      </c>
      <c r="BR71" s="69" t="str" cm="1">
        <f t="array" ref="BR7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1" s="3" t="str" cm="1">
        <f t="array" ref="BS7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71" s="3" t="str" cm="1">
        <f t="array" ref="BT71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1" s="70" t="str" cm="1">
        <f t="array" ref="BU71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1" s="48">
        <v>90</v>
      </c>
      <c r="BW71" s="1">
        <v>60</v>
      </c>
      <c r="BX71" s="44">
        <v>110</v>
      </c>
      <c r="BY71" s="51">
        <v>45901</v>
      </c>
      <c r="BZ71" s="5">
        <v>45961</v>
      </c>
      <c r="CA71" s="85">
        <v>0</v>
      </c>
      <c r="CB71" s="2">
        <v>1</v>
      </c>
      <c r="CC71" s="2">
        <v>1</v>
      </c>
      <c r="CD71" s="2">
        <v>1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O71" s="1">
        <v>63</v>
      </c>
      <c r="CP71" s="27" t="s">
        <v>1544</v>
      </c>
      <c r="CQ71" s="27" t="s">
        <v>1770</v>
      </c>
      <c r="CR71" s="27" t="s">
        <v>1787</v>
      </c>
    </row>
    <row r="72" spans="2:96" x14ac:dyDescent="0.25">
      <c r="B72" s="36" t="s">
        <v>52</v>
      </c>
      <c r="C72" s="1" t="s">
        <v>54</v>
      </c>
      <c r="K72" s="1" t="s">
        <v>1770</v>
      </c>
      <c r="L72" s="1" t="s">
        <v>1750</v>
      </c>
      <c r="M72" s="1" t="s">
        <v>372</v>
      </c>
      <c r="N72" s="6">
        <v>12</v>
      </c>
      <c r="O72" s="1" t="s">
        <v>4</v>
      </c>
      <c r="P72" s="1">
        <v>0.3</v>
      </c>
      <c r="Q72" s="1">
        <v>5</v>
      </c>
      <c r="R72" s="1">
        <v>5</v>
      </c>
      <c r="S72" s="1">
        <v>22</v>
      </c>
      <c r="T72" s="1">
        <v>30</v>
      </c>
      <c r="U72" s="253">
        <v>7</v>
      </c>
      <c r="V72" s="1">
        <v>60</v>
      </c>
      <c r="W72" s="44">
        <v>130</v>
      </c>
      <c r="X72" s="40">
        <f>_xlfn.XLOOKUP("Ripening", CropPhenology_Carrot[Main_Stage], CropPhenology_Carrot[Start_GDD], "Not Found")</f>
        <v>3501</v>
      </c>
      <c r="Y72" s="4" cm="1">
        <f t="array" ref="Y72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Z72" s="3">
        <f>MIN(Y72/V72,MAX(X72/W72,R72,(X72/W72+Y72/V72)/2))</f>
        <v>46.79871794871795</v>
      </c>
      <c r="AA72" s="41">
        <f t="shared" si="36"/>
        <v>85.472426923814481</v>
      </c>
      <c r="AB72" s="1">
        <v>6.5</v>
      </c>
      <c r="AC72" s="1">
        <v>5</v>
      </c>
      <c r="AD72" s="1">
        <v>2.5</v>
      </c>
      <c r="AE72" s="1">
        <v>90</v>
      </c>
      <c r="AF72" s="1">
        <v>3</v>
      </c>
      <c r="AG72" s="1">
        <v>5</v>
      </c>
      <c r="AH72" s="3">
        <f t="shared" si="13"/>
        <v>5.8381400641025643</v>
      </c>
      <c r="AI72" s="1">
        <v>6</v>
      </c>
      <c r="AJ72" s="1">
        <v>7</v>
      </c>
      <c r="AK72" s="159">
        <v>1</v>
      </c>
      <c r="AL72" s="150">
        <v>0.14000000000000001</v>
      </c>
      <c r="AM72" s="1">
        <v>300</v>
      </c>
      <c r="AN72" s="1">
        <v>400</v>
      </c>
      <c r="AO72" s="48">
        <v>0.5</v>
      </c>
      <c r="AP72" s="44">
        <v>30</v>
      </c>
      <c r="AQ72" s="42">
        <v>0.65</v>
      </c>
      <c r="AR72" s="1">
        <v>30</v>
      </c>
      <c r="AS72" s="1">
        <v>5</v>
      </c>
      <c r="AT72" s="1">
        <v>1</v>
      </c>
      <c r="AU72" s="4">
        <f t="shared" si="21"/>
        <v>66.666666666666671</v>
      </c>
      <c r="AV72" s="3">
        <f>ROUND((P72/1000000)*AU72*10000,2)</f>
        <v>0.2</v>
      </c>
      <c r="AW72" s="1">
        <v>90</v>
      </c>
      <c r="AX72" s="3">
        <f t="shared" si="37"/>
        <v>60</v>
      </c>
      <c r="AY72" s="1">
        <v>1</v>
      </c>
      <c r="AZ72" s="4">
        <f t="shared" si="38"/>
        <v>60</v>
      </c>
      <c r="BA72" s="49">
        <v>0.9</v>
      </c>
      <c r="BB72" s="4">
        <f t="shared" si="25"/>
        <v>54</v>
      </c>
      <c r="BC72" s="50">
        <v>0.05</v>
      </c>
      <c r="BD72" s="69">
        <f>IFERROR(
  MAX(0.05, MIN(0.5, CropNorms_Carrot[[#This Row],[Leaf_Area_Per_Shoot_m2]] * CropNorms_Carrot[[#This Row],[Shoot_Bearing_m2]] )),
  0.2
)</f>
        <v>0.5</v>
      </c>
      <c r="BE72" s="4">
        <f>_xlfn.XLOOKUP(CropNorms_Carrot[[#This Row],[LAI_Start_BBCH]], CropPhenology_Carrot[Sub_Stage], CropPhenology_Carrot[Start_GDD], "Not Found")</f>
        <v>151</v>
      </c>
      <c r="BF72" s="3">
        <f>ROUND(CropNorms_Carrot[[#This Row],[Shoot_Bearing_m2]]*CropNorms_Carrot[[#This Row],[Leaf_Area_Per_Shoot_m2]],2)</f>
        <v>2.7</v>
      </c>
      <c r="BG72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H72" s="3">
        <f>IF(CropNorms_Carrot[[#This Row],[Max_LAI]]&gt;=1.2, 0.85*CropNorms_Carrot[[#This Row],[Max_LAI]], 1)</f>
        <v>2.2949999999999999</v>
      </c>
      <c r="BI72" s="41">
        <f>_xlfn.XLOOKUP(CropNorms_Carrot[[#This Row],[LAI_End_BBCH]], CropPhenology_Carrot[Sub_Stage], CropPhenology_Carrot[End_GDD], "Not Found")</f>
        <v>3500</v>
      </c>
      <c r="BJ72" s="3" cm="1">
        <f t="array" ref="BJ72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K72" s="3" cm="1">
        <f t="array" ref="BK72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L72" s="3" cm="1">
        <f t="array" ref="BL72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M72" s="3" cm="1">
        <f t="array" ref="BM72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2" s="42">
        <v>0.7</v>
      </c>
      <c r="BO72" s="43">
        <v>0.85</v>
      </c>
      <c r="BP72" s="42">
        <v>30</v>
      </c>
      <c r="BQ72" s="43" t="s">
        <v>1786</v>
      </c>
      <c r="BR72" s="69" t="str" cm="1">
        <f t="array" ref="BR72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2" s="3" t="str" cm="1">
        <f t="array" ref="BS72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72" s="3" t="str" cm="1">
        <f t="array" ref="BT72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2" s="70" t="str" cm="1">
        <f t="array" ref="BU72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2" s="48">
        <v>90</v>
      </c>
      <c r="BW72" s="1">
        <v>60</v>
      </c>
      <c r="BX72" s="44">
        <v>110</v>
      </c>
      <c r="BY72" s="51">
        <v>45901</v>
      </c>
      <c r="BZ72" s="5">
        <v>45961</v>
      </c>
      <c r="CA72" s="85">
        <v>0</v>
      </c>
      <c r="CB72" s="2">
        <v>1</v>
      </c>
      <c r="CC72" s="2">
        <v>1</v>
      </c>
      <c r="CD72" s="2">
        <v>1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P72" s="27"/>
      <c r="CQ72" s="27"/>
      <c r="CR72" s="27"/>
    </row>
    <row r="73" spans="2:96" x14ac:dyDescent="0.25">
      <c r="B73" s="36" t="s">
        <v>52</v>
      </c>
      <c r="C73" s="1" t="s">
        <v>55</v>
      </c>
      <c r="K73" s="1" t="s">
        <v>1770</v>
      </c>
      <c r="L73" s="1" t="s">
        <v>1750</v>
      </c>
      <c r="M73" s="1" t="s">
        <v>372</v>
      </c>
      <c r="N73" s="6">
        <v>12</v>
      </c>
      <c r="O73" s="1" t="s">
        <v>4</v>
      </c>
      <c r="P73" s="1">
        <v>0.3</v>
      </c>
      <c r="Q73" s="1">
        <v>5</v>
      </c>
      <c r="R73" s="1">
        <v>5</v>
      </c>
      <c r="S73" s="1">
        <v>22</v>
      </c>
      <c r="T73" s="1">
        <v>30</v>
      </c>
      <c r="U73" s="253">
        <v>7</v>
      </c>
      <c r="V73" s="1">
        <v>60</v>
      </c>
      <c r="W73" s="44">
        <v>130</v>
      </c>
      <c r="X73" s="40">
        <f>_xlfn.XLOOKUP("Ripening", CropPhenology_Carrot[Main_Stage], CropPhenology_Carrot[Start_GDD], "Not Found")</f>
        <v>3501</v>
      </c>
      <c r="Y73" s="4" cm="1">
        <f t="array" ref="Y73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Z73" s="3">
        <f>MIN(Y73/V73,MAX(X73/W73,R73,(X73/W73+Y73/V73)/2))</f>
        <v>46.79871794871795</v>
      </c>
      <c r="AA73" s="41">
        <f t="shared" si="36"/>
        <v>85.472426923814481</v>
      </c>
      <c r="AB73" s="1">
        <v>6.5</v>
      </c>
      <c r="AC73" s="1">
        <v>5</v>
      </c>
      <c r="AD73" s="1">
        <v>2.5</v>
      </c>
      <c r="AE73" s="1">
        <v>90</v>
      </c>
      <c r="AF73" s="1">
        <v>3</v>
      </c>
      <c r="AG73" s="1">
        <v>5</v>
      </c>
      <c r="AH73" s="3">
        <f t="shared" si="13"/>
        <v>5.8381400641025643</v>
      </c>
      <c r="AI73" s="1">
        <v>6</v>
      </c>
      <c r="AJ73" s="1">
        <v>7</v>
      </c>
      <c r="AK73" s="159">
        <v>1</v>
      </c>
      <c r="AL73" s="150">
        <v>0.14000000000000001</v>
      </c>
      <c r="AM73" s="1">
        <v>300</v>
      </c>
      <c r="AN73" s="1">
        <v>400</v>
      </c>
      <c r="AO73" s="48">
        <v>0.5</v>
      </c>
      <c r="AP73" s="44">
        <v>30</v>
      </c>
      <c r="AQ73" s="42">
        <v>0.6</v>
      </c>
      <c r="AR73" s="1">
        <v>30</v>
      </c>
      <c r="AS73" s="1">
        <v>5</v>
      </c>
      <c r="AT73" s="1">
        <v>1</v>
      </c>
      <c r="AU73" s="4">
        <f t="shared" si="21"/>
        <v>66.666666666666671</v>
      </c>
      <c r="AV73" s="3">
        <f>ROUND((P73/1000000)*AU73*10000,2)</f>
        <v>0.2</v>
      </c>
      <c r="AW73" s="1">
        <v>90</v>
      </c>
      <c r="AX73" s="3">
        <f t="shared" si="37"/>
        <v>60</v>
      </c>
      <c r="AY73" s="1">
        <v>1</v>
      </c>
      <c r="AZ73" s="4">
        <f t="shared" si="38"/>
        <v>60</v>
      </c>
      <c r="BA73" s="49">
        <v>0.9</v>
      </c>
      <c r="BB73" s="4">
        <f t="shared" si="25"/>
        <v>54</v>
      </c>
      <c r="BC73" s="50">
        <v>0.05</v>
      </c>
      <c r="BD73" s="69">
        <f>IFERROR(
  MAX(0.05, MIN(0.5, CropNorms_Carrot[[#This Row],[Leaf_Area_Per_Shoot_m2]] * CropNorms_Carrot[[#This Row],[Shoot_Bearing_m2]] )),
  0.2
)</f>
        <v>0.5</v>
      </c>
      <c r="BE73" s="4">
        <f>_xlfn.XLOOKUP(CropNorms_Carrot[[#This Row],[LAI_Start_BBCH]], CropPhenology_Carrot[Sub_Stage], CropPhenology_Carrot[Start_GDD], "Not Found")</f>
        <v>151</v>
      </c>
      <c r="BF73" s="3">
        <f>ROUND(CropNorms_Carrot[[#This Row],[Shoot_Bearing_m2]]*CropNorms_Carrot[[#This Row],[Leaf_Area_Per_Shoot_m2]],2)</f>
        <v>2.7</v>
      </c>
      <c r="BG73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H73" s="3">
        <f>IF(CropNorms_Carrot[[#This Row],[Max_LAI]]&gt;=1.2, 0.85*CropNorms_Carrot[[#This Row],[Max_LAI]], 1)</f>
        <v>2.2949999999999999</v>
      </c>
      <c r="BI73" s="41">
        <f>_xlfn.XLOOKUP(CropNorms_Carrot[[#This Row],[LAI_End_BBCH]], CropPhenology_Carrot[Sub_Stage], CropPhenology_Carrot[End_GDD], "Not Found")</f>
        <v>3500</v>
      </c>
      <c r="BJ73" s="3" cm="1">
        <f t="array" ref="BJ73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K73" s="3" cm="1">
        <f t="array" ref="BK73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L73" s="3" cm="1">
        <f t="array" ref="BL73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M73" s="3" cm="1">
        <f t="array" ref="BM73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3" s="42">
        <v>0.7</v>
      </c>
      <c r="BO73" s="43">
        <v>0.85</v>
      </c>
      <c r="BP73" s="42">
        <v>30</v>
      </c>
      <c r="BQ73" s="43" t="s">
        <v>1786</v>
      </c>
      <c r="BR73" s="69" t="str" cm="1">
        <f t="array" ref="BR73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3" s="3" t="str" cm="1">
        <f t="array" ref="BS73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73" s="3" t="str" cm="1">
        <f t="array" ref="BT73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3" s="70" t="str" cm="1">
        <f t="array" ref="BU73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3" s="48">
        <v>90</v>
      </c>
      <c r="BW73" s="1">
        <v>60</v>
      </c>
      <c r="BX73" s="44">
        <v>110</v>
      </c>
      <c r="BY73" s="51">
        <v>45901</v>
      </c>
      <c r="BZ73" s="5">
        <v>45961</v>
      </c>
      <c r="CA73" s="85">
        <v>0</v>
      </c>
      <c r="CB73" s="2">
        <v>1</v>
      </c>
      <c r="CC73" s="2">
        <v>1</v>
      </c>
      <c r="CD73" s="2">
        <v>1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P73" s="27"/>
      <c r="CQ73" s="27"/>
      <c r="CR73" s="27"/>
    </row>
    <row r="74" spans="2:96" x14ac:dyDescent="0.25">
      <c r="B74" s="36" t="s">
        <v>52</v>
      </c>
      <c r="C74" s="1" t="s">
        <v>56</v>
      </c>
      <c r="K74" s="1" t="s">
        <v>1770</v>
      </c>
      <c r="L74" s="1" t="s">
        <v>1750</v>
      </c>
      <c r="M74" s="1" t="s">
        <v>372</v>
      </c>
      <c r="N74" s="6">
        <v>12</v>
      </c>
      <c r="O74" s="1" t="s">
        <v>4</v>
      </c>
      <c r="P74" s="1">
        <v>0.3</v>
      </c>
      <c r="Q74" s="1">
        <v>5</v>
      </c>
      <c r="R74" s="1">
        <v>5</v>
      </c>
      <c r="S74" s="1">
        <v>22</v>
      </c>
      <c r="T74" s="1">
        <v>30</v>
      </c>
      <c r="U74" s="253">
        <v>7</v>
      </c>
      <c r="V74" s="1">
        <v>60</v>
      </c>
      <c r="W74" s="44">
        <v>130</v>
      </c>
      <c r="X74" s="40">
        <f>_xlfn.XLOOKUP("Ripening", CropPhenology_Carrot[Main_Stage], CropPhenology_Carrot[Start_GDD], "Not Found")</f>
        <v>3501</v>
      </c>
      <c r="Y74" s="4" cm="1">
        <f t="array" ref="Y74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Z74" s="3">
        <f>MIN(Y74/V74,MAX(X74/W74,R74,(X74/W74+Y74/V74)/2))</f>
        <v>46.79871794871795</v>
      </c>
      <c r="AA74" s="41">
        <f t="shared" si="36"/>
        <v>85.472426923814481</v>
      </c>
      <c r="AB74" s="1">
        <v>6.5</v>
      </c>
      <c r="AC74" s="1">
        <v>5</v>
      </c>
      <c r="AD74" s="1">
        <v>2.5</v>
      </c>
      <c r="AE74" s="1">
        <v>90</v>
      </c>
      <c r="AF74" s="1">
        <v>3</v>
      </c>
      <c r="AG74" s="1">
        <v>5</v>
      </c>
      <c r="AH74" s="3">
        <f t="shared" si="13"/>
        <v>5.8381400641025643</v>
      </c>
      <c r="AI74" s="1">
        <v>6</v>
      </c>
      <c r="AJ74" s="1">
        <v>7</v>
      </c>
      <c r="AK74" s="159">
        <v>1</v>
      </c>
      <c r="AL74" s="150">
        <v>0.14000000000000001</v>
      </c>
      <c r="AM74" s="1">
        <v>300</v>
      </c>
      <c r="AN74" s="1">
        <v>400</v>
      </c>
      <c r="AO74" s="48">
        <v>0.5</v>
      </c>
      <c r="AP74" s="44">
        <v>30</v>
      </c>
      <c r="AQ74" s="42">
        <v>0.68</v>
      </c>
      <c r="AR74" s="1">
        <v>30</v>
      </c>
      <c r="AS74" s="1">
        <v>5</v>
      </c>
      <c r="AT74" s="1">
        <v>1</v>
      </c>
      <c r="AU74" s="4">
        <f t="shared" si="21"/>
        <v>66.666666666666671</v>
      </c>
      <c r="AV74" s="3">
        <f>ROUND((P74/1000000)*AU74*10000,2)</f>
        <v>0.2</v>
      </c>
      <c r="AW74" s="1">
        <v>90</v>
      </c>
      <c r="AX74" s="3">
        <f t="shared" si="37"/>
        <v>60</v>
      </c>
      <c r="AY74" s="1">
        <v>1</v>
      </c>
      <c r="AZ74" s="4">
        <f t="shared" si="38"/>
        <v>60</v>
      </c>
      <c r="BA74" s="49">
        <v>0.9</v>
      </c>
      <c r="BB74" s="4">
        <f t="shared" si="25"/>
        <v>54</v>
      </c>
      <c r="BC74" s="50">
        <v>0.05</v>
      </c>
      <c r="BD74" s="69">
        <f>IFERROR(
  MAX(0.05, MIN(0.5, CropNorms_Carrot[[#This Row],[Leaf_Area_Per_Shoot_m2]] * CropNorms_Carrot[[#This Row],[Shoot_Bearing_m2]] )),
  0.2
)</f>
        <v>0.5</v>
      </c>
      <c r="BE74" s="4">
        <f>_xlfn.XLOOKUP(CropNorms_Carrot[[#This Row],[LAI_Start_BBCH]], CropPhenology_Carrot[Sub_Stage], CropPhenology_Carrot[Start_GDD], "Not Found")</f>
        <v>151</v>
      </c>
      <c r="BF74" s="3">
        <f>ROUND(CropNorms_Carrot[[#This Row],[Shoot_Bearing_m2]]*CropNorms_Carrot[[#This Row],[Leaf_Area_Per_Shoot_m2]],2)</f>
        <v>2.7</v>
      </c>
      <c r="BG74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H74" s="3">
        <f>IF(CropNorms_Carrot[[#This Row],[Max_LAI]]&gt;=1.2, 0.85*CropNorms_Carrot[[#This Row],[Max_LAI]], 1)</f>
        <v>2.2949999999999999</v>
      </c>
      <c r="BI74" s="41">
        <f>_xlfn.XLOOKUP(CropNorms_Carrot[[#This Row],[LAI_End_BBCH]], CropPhenology_Carrot[Sub_Stage], CropPhenology_Carrot[End_GDD], "Not Found")</f>
        <v>3500</v>
      </c>
      <c r="BJ74" s="3" cm="1">
        <f t="array" ref="BJ74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K74" s="3" cm="1">
        <f t="array" ref="BK74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L74" s="3" cm="1">
        <f t="array" ref="BL74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M74" s="3" cm="1">
        <f t="array" ref="BM74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4" s="42">
        <v>0.7</v>
      </c>
      <c r="BO74" s="43">
        <v>0.85</v>
      </c>
      <c r="BP74" s="42">
        <v>30</v>
      </c>
      <c r="BQ74" s="43" t="s">
        <v>1786</v>
      </c>
      <c r="BR74" s="69" t="str" cm="1">
        <f t="array" ref="BR74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4" s="3" t="str" cm="1">
        <f t="array" ref="BS74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74" s="3" t="str" cm="1">
        <f t="array" ref="BT74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4" s="70" t="str" cm="1">
        <f t="array" ref="BU74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4" s="48">
        <v>90</v>
      </c>
      <c r="BW74" s="1">
        <v>60</v>
      </c>
      <c r="BX74" s="44">
        <v>110</v>
      </c>
      <c r="BY74" s="51">
        <v>45901</v>
      </c>
      <c r="BZ74" s="5">
        <v>45961</v>
      </c>
      <c r="CA74" s="85">
        <v>0</v>
      </c>
      <c r="CB74" s="2">
        <v>1</v>
      </c>
      <c r="CC74" s="2">
        <v>1</v>
      </c>
      <c r="CD74" s="2">
        <v>1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P74" s="27"/>
      <c r="CQ74" s="27"/>
      <c r="CR74" s="27"/>
    </row>
    <row r="75" spans="2:96" ht="11.25" thickBot="1" x14ac:dyDescent="0.3">
      <c r="B75" s="36" t="s">
        <v>52</v>
      </c>
      <c r="C75" s="1" t="s">
        <v>57</v>
      </c>
      <c r="K75" s="1" t="s">
        <v>1770</v>
      </c>
      <c r="L75" s="1" t="s">
        <v>1750</v>
      </c>
      <c r="M75" s="1" t="s">
        <v>372</v>
      </c>
      <c r="N75" s="6">
        <v>12</v>
      </c>
      <c r="O75" s="1" t="s">
        <v>4</v>
      </c>
      <c r="P75" s="1">
        <v>0.3</v>
      </c>
      <c r="Q75" s="1">
        <v>5</v>
      </c>
      <c r="R75" s="1">
        <v>5</v>
      </c>
      <c r="S75" s="1">
        <v>22</v>
      </c>
      <c r="T75" s="1">
        <v>30</v>
      </c>
      <c r="U75" s="254">
        <v>7</v>
      </c>
      <c r="V75" s="1">
        <v>60</v>
      </c>
      <c r="W75" s="44">
        <v>130</v>
      </c>
      <c r="X75" s="40">
        <f>_xlfn.XLOOKUP("Ripening", CropPhenology_Carrot[Main_Stage], CropPhenology_Carrot[Start_GDD], "Not Found")</f>
        <v>3501</v>
      </c>
      <c r="Y75" s="4" cm="1">
        <f t="array" ref="Y75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Z75" s="3">
        <f>MIN(Y75/V75,MAX(X75/W75,R75,(X75/W75+Y75/V75)/2))</f>
        <v>46.79871794871795</v>
      </c>
      <c r="AA75" s="41">
        <f t="shared" si="36"/>
        <v>85.472426923814481</v>
      </c>
      <c r="AB75" s="1">
        <v>6.5</v>
      </c>
      <c r="AC75" s="1">
        <v>5</v>
      </c>
      <c r="AD75" s="1">
        <v>2.5</v>
      </c>
      <c r="AE75" s="1">
        <v>90</v>
      </c>
      <c r="AF75" s="1">
        <v>3</v>
      </c>
      <c r="AG75" s="1">
        <v>5</v>
      </c>
      <c r="AH75" s="3">
        <f t="shared" si="13"/>
        <v>5.8381400641025643</v>
      </c>
      <c r="AI75" s="1">
        <v>6</v>
      </c>
      <c r="AJ75" s="1">
        <v>7</v>
      </c>
      <c r="AK75" s="160">
        <v>1</v>
      </c>
      <c r="AL75" s="161">
        <v>0.14000000000000001</v>
      </c>
      <c r="AM75" s="1">
        <v>300</v>
      </c>
      <c r="AN75" s="1">
        <v>400</v>
      </c>
      <c r="AO75" s="48">
        <v>0.5</v>
      </c>
      <c r="AP75" s="44">
        <v>30</v>
      </c>
      <c r="AQ75" s="42">
        <v>0.75</v>
      </c>
      <c r="AR75" s="1">
        <v>30</v>
      </c>
      <c r="AS75" s="1">
        <v>5</v>
      </c>
      <c r="AT75" s="1">
        <v>1</v>
      </c>
      <c r="AU75" s="4">
        <f t="shared" si="21"/>
        <v>66.666666666666671</v>
      </c>
      <c r="AV75" s="3">
        <f>ROUND((P75/1000000)*AU75*10000,2)</f>
        <v>0.2</v>
      </c>
      <c r="AW75" s="1">
        <v>90</v>
      </c>
      <c r="AX75" s="3">
        <f t="shared" si="37"/>
        <v>60</v>
      </c>
      <c r="AY75" s="1">
        <v>1</v>
      </c>
      <c r="AZ75" s="4">
        <f t="shared" si="38"/>
        <v>60</v>
      </c>
      <c r="BA75" s="49">
        <v>0.9</v>
      </c>
      <c r="BB75" s="4">
        <f t="shared" si="25"/>
        <v>54</v>
      </c>
      <c r="BC75" s="50">
        <v>0.05</v>
      </c>
      <c r="BD75" s="69">
        <f>IFERROR(
  MAX(0.05, MIN(0.5, CropNorms_Carrot[[#This Row],[Leaf_Area_Per_Shoot_m2]] * CropNorms_Carrot[[#This Row],[Shoot_Bearing_m2]] )),
  0.2
)</f>
        <v>0.5</v>
      </c>
      <c r="BE75" s="4">
        <f>_xlfn.XLOOKUP(CropNorms_Carrot[[#This Row],[LAI_Start_BBCH]], CropPhenology_Carrot[Sub_Stage], CropPhenology_Carrot[Start_GDD], "Not Found")</f>
        <v>151</v>
      </c>
      <c r="BF75" s="3">
        <f>ROUND(CropNorms_Carrot[[#This Row],[Shoot_Bearing_m2]]*CropNorms_Carrot[[#This Row],[Leaf_Area_Per_Shoot_m2]],2)</f>
        <v>2.7</v>
      </c>
      <c r="BG75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H75" s="3">
        <f>IF(CropNorms_Carrot[[#This Row],[Max_LAI]]&gt;=1.2, 0.85*CropNorms_Carrot[[#This Row],[Max_LAI]], 1)</f>
        <v>2.2949999999999999</v>
      </c>
      <c r="BI75" s="41">
        <f>_xlfn.XLOOKUP(CropNorms_Carrot[[#This Row],[LAI_End_BBCH]], CropPhenology_Carrot[Sub_Stage], CropPhenology_Carrot[End_GDD], "Not Found")</f>
        <v>3500</v>
      </c>
      <c r="BJ75" s="3" cm="1">
        <f t="array" ref="BJ75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K75" s="3" cm="1">
        <f t="array" ref="BK75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L75" s="3" cm="1">
        <f t="array" ref="BL75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M75" s="3" cm="1">
        <f t="array" ref="BM75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5" s="42">
        <v>0.7</v>
      </c>
      <c r="BO75" s="43">
        <v>0.85</v>
      </c>
      <c r="BP75" s="42">
        <v>30</v>
      </c>
      <c r="BQ75" s="43" t="s">
        <v>1786</v>
      </c>
      <c r="BR75" s="69" t="str" cm="1">
        <f t="array" ref="BR75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5" s="3" t="str" cm="1">
        <f t="array" ref="BS75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75" s="3" t="str" cm="1">
        <f t="array" ref="BT75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5" s="70" t="str" cm="1">
        <f t="array" ref="BU75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5" s="48">
        <v>90</v>
      </c>
      <c r="BW75" s="1">
        <v>60</v>
      </c>
      <c r="BX75" s="44">
        <v>110</v>
      </c>
      <c r="BY75" s="51">
        <v>45901</v>
      </c>
      <c r="BZ75" s="5">
        <v>45961</v>
      </c>
      <c r="CA75" s="85">
        <v>0</v>
      </c>
      <c r="CB75" s="2">
        <v>1</v>
      </c>
      <c r="CC75" s="2">
        <v>1</v>
      </c>
      <c r="CD75" s="2">
        <v>1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P75" s="27"/>
      <c r="CQ75" s="27"/>
      <c r="CR75" s="27"/>
    </row>
    <row r="76" spans="2:96" ht="11.25" thickBot="1" x14ac:dyDescent="0.3">
      <c r="Y76" s="3"/>
      <c r="Z76" s="4"/>
      <c r="AG76" s="3"/>
      <c r="AR76" s="4"/>
      <c r="AS76" s="3"/>
      <c r="AU76" s="3"/>
      <c r="AW76" s="4"/>
      <c r="AX76" s="49"/>
      <c r="AY76" s="4"/>
      <c r="BV76" s="51"/>
      <c r="BW76" s="51"/>
      <c r="CP76" s="27"/>
      <c r="CQ76" s="27"/>
      <c r="CR76" s="27"/>
    </row>
    <row r="77" spans="2:96" ht="11.25" thickBot="1" x14ac:dyDescent="0.3">
      <c r="B77" s="54" t="s">
        <v>1753</v>
      </c>
      <c r="C77" s="53" t="s">
        <v>1754</v>
      </c>
      <c r="D77" s="53" t="s">
        <v>1804</v>
      </c>
      <c r="E77" s="53" t="s">
        <v>1805</v>
      </c>
      <c r="F77" s="53" t="s">
        <v>1806</v>
      </c>
      <c r="G77" s="53" t="s">
        <v>1807</v>
      </c>
      <c r="H77" s="53" t="s">
        <v>1808</v>
      </c>
      <c r="I77" s="53" t="s">
        <v>1809</v>
      </c>
      <c r="J77" s="53" t="s">
        <v>1810</v>
      </c>
      <c r="K77" s="53" t="s">
        <v>1747</v>
      </c>
      <c r="L77" s="54" t="s">
        <v>1749</v>
      </c>
      <c r="M77" s="53" t="s">
        <v>357</v>
      </c>
      <c r="N77" s="55" t="s">
        <v>692</v>
      </c>
      <c r="O77" s="53" t="s">
        <v>325</v>
      </c>
      <c r="P77" s="53" t="s">
        <v>356</v>
      </c>
      <c r="Q77" s="53" t="s">
        <v>326</v>
      </c>
      <c r="R77" s="53" t="s">
        <v>327</v>
      </c>
      <c r="S77" s="53" t="s">
        <v>328</v>
      </c>
      <c r="T77" s="53" t="s">
        <v>329</v>
      </c>
      <c r="U77" s="250" t="s">
        <v>2349</v>
      </c>
      <c r="V77" s="53" t="s">
        <v>330</v>
      </c>
      <c r="W77" s="53" t="s">
        <v>331</v>
      </c>
      <c r="X77" s="56" t="s">
        <v>354</v>
      </c>
      <c r="Y77" s="57" t="s">
        <v>355</v>
      </c>
      <c r="Z77" s="58" t="s">
        <v>413</v>
      </c>
      <c r="AA77" s="59" t="s">
        <v>583</v>
      </c>
      <c r="AB77" s="53" t="s">
        <v>324</v>
      </c>
      <c r="AC77" s="53" t="s">
        <v>332</v>
      </c>
      <c r="AD77" s="53" t="s">
        <v>333</v>
      </c>
      <c r="AE77" s="53" t="s">
        <v>334</v>
      </c>
      <c r="AF77" s="53" t="s">
        <v>335</v>
      </c>
      <c r="AG77" s="53" t="s">
        <v>336</v>
      </c>
      <c r="AH77" s="60" t="s">
        <v>337</v>
      </c>
      <c r="AI77" s="53" t="s">
        <v>338</v>
      </c>
      <c r="AJ77" s="53" t="s">
        <v>339</v>
      </c>
      <c r="AK77" s="157" t="s">
        <v>2346</v>
      </c>
      <c r="AL77" s="158" t="s">
        <v>2347</v>
      </c>
      <c r="AM77" s="53" t="s">
        <v>340</v>
      </c>
      <c r="AN77" s="53" t="s">
        <v>341</v>
      </c>
      <c r="AO77" s="61" t="s">
        <v>342</v>
      </c>
      <c r="AP77" s="62" t="s">
        <v>343</v>
      </c>
      <c r="AQ77" s="55" t="s">
        <v>344</v>
      </c>
      <c r="AR77" s="53" t="s">
        <v>345</v>
      </c>
      <c r="AS77" s="53" t="s">
        <v>346</v>
      </c>
      <c r="AT77" s="53" t="s">
        <v>364</v>
      </c>
      <c r="AU77" s="60" t="s">
        <v>347</v>
      </c>
      <c r="AV77" s="58" t="s">
        <v>363</v>
      </c>
      <c r="AW77" s="53" t="s">
        <v>348</v>
      </c>
      <c r="AX77" s="58" t="s">
        <v>349</v>
      </c>
      <c r="AY77" s="53" t="s">
        <v>366</v>
      </c>
      <c r="AZ77" s="60" t="s">
        <v>350</v>
      </c>
      <c r="BA77" s="53" t="s">
        <v>365</v>
      </c>
      <c r="BB77" s="60" t="s">
        <v>1827</v>
      </c>
      <c r="BC77" s="63" t="s">
        <v>351</v>
      </c>
      <c r="BD77" s="71" t="s">
        <v>1811</v>
      </c>
      <c r="BE77" s="57" t="s">
        <v>352</v>
      </c>
      <c r="BF77" s="58" t="s">
        <v>1812</v>
      </c>
      <c r="BG77" s="57" t="s">
        <v>1752</v>
      </c>
      <c r="BH77" s="60" t="s">
        <v>1813</v>
      </c>
      <c r="BI77" s="59" t="s">
        <v>353</v>
      </c>
      <c r="BJ77" s="71" t="s">
        <v>1828</v>
      </c>
      <c r="BK77" s="58" t="s">
        <v>1829</v>
      </c>
      <c r="BL77" s="58" t="s">
        <v>1830</v>
      </c>
      <c r="BM77" s="72" t="s">
        <v>1831</v>
      </c>
      <c r="BN77" s="64" t="s">
        <v>1154</v>
      </c>
      <c r="BO77" s="65" t="s">
        <v>1742</v>
      </c>
      <c r="BP77" s="64" t="s">
        <v>1155</v>
      </c>
      <c r="BQ77" s="65" t="s">
        <v>1755</v>
      </c>
      <c r="BR77" s="71" t="s">
        <v>367</v>
      </c>
      <c r="BS77" s="58" t="s">
        <v>1751</v>
      </c>
      <c r="BT77" s="58" t="s">
        <v>368</v>
      </c>
      <c r="BU77" s="156" t="s">
        <v>1814</v>
      </c>
      <c r="BV77" s="61" t="s">
        <v>369</v>
      </c>
      <c r="BW77" s="53" t="s">
        <v>370</v>
      </c>
      <c r="BX77" s="62" t="s">
        <v>371</v>
      </c>
      <c r="BY77" s="53" t="s">
        <v>359</v>
      </c>
      <c r="BZ77" s="53" t="s">
        <v>361</v>
      </c>
      <c r="CA77" s="61" t="s">
        <v>1815</v>
      </c>
      <c r="CB77" s="53" t="s">
        <v>1816</v>
      </c>
      <c r="CC77" s="53" t="s">
        <v>1817</v>
      </c>
      <c r="CD77" s="53" t="s">
        <v>1818</v>
      </c>
      <c r="CE77" s="53" t="s">
        <v>1819</v>
      </c>
      <c r="CF77" s="53" t="s">
        <v>1820</v>
      </c>
      <c r="CG77" s="53" t="s">
        <v>1821</v>
      </c>
      <c r="CH77" s="53" t="s">
        <v>1822</v>
      </c>
      <c r="CI77" s="53" t="s">
        <v>1823</v>
      </c>
      <c r="CJ77" s="53" t="s">
        <v>1824</v>
      </c>
      <c r="CK77" s="53" t="s">
        <v>1825</v>
      </c>
      <c r="CL77" s="53" t="s">
        <v>1826</v>
      </c>
      <c r="CP77" s="27"/>
      <c r="CQ77" s="27"/>
      <c r="CR77" s="27"/>
    </row>
    <row r="78" spans="2:96" x14ac:dyDescent="0.25">
      <c r="B78" s="36" t="s">
        <v>58</v>
      </c>
      <c r="C78" s="1" t="s">
        <v>59</v>
      </c>
      <c r="K78" s="1" t="s">
        <v>1767</v>
      </c>
      <c r="L78" s="1" t="s">
        <v>1750</v>
      </c>
      <c r="M78" s="45" t="s">
        <v>360</v>
      </c>
      <c r="N78" s="46">
        <v>21</v>
      </c>
      <c r="O78" s="1" t="s">
        <v>4</v>
      </c>
      <c r="P78" s="1">
        <v>0.5</v>
      </c>
      <c r="Q78" s="1">
        <v>4</v>
      </c>
      <c r="R78" s="1">
        <v>4</v>
      </c>
      <c r="S78" s="1">
        <v>20</v>
      </c>
      <c r="T78" s="1">
        <v>25</v>
      </c>
      <c r="U78" s="253">
        <v>3</v>
      </c>
      <c r="V78" s="1">
        <v>60</v>
      </c>
      <c r="W78" s="44">
        <v>120</v>
      </c>
      <c r="X78" s="40">
        <f>_xlfn.XLOOKUP("Ripening", CropPhenology_Cauliflower[Main_Stage], CropPhenology_Cauliflower[Start_GDD], "Not Found")</f>
        <v>2401</v>
      </c>
      <c r="Y78" s="4" cm="1">
        <f t="array" ref="Y78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Z78" s="3">
        <f t="shared" ref="Z78:Z83" si="39">MIN(Y78/V78,MAX(X78/W78,R78,(X78/W78+Y78/V78)/2))</f>
        <v>33.837499999999999</v>
      </c>
      <c r="AA78" s="41">
        <f t="shared" ref="AA78:AA83" si="40">Y78/Z78</f>
        <v>84.52161063908386</v>
      </c>
      <c r="AB78" s="1">
        <v>6.5</v>
      </c>
      <c r="AC78" s="1">
        <v>10</v>
      </c>
      <c r="AD78" s="1">
        <v>2.5</v>
      </c>
      <c r="AE78" s="1">
        <v>90</v>
      </c>
      <c r="AF78" s="1">
        <v>5</v>
      </c>
      <c r="AG78" s="1">
        <v>5</v>
      </c>
      <c r="AH78" s="3">
        <f t="shared" si="13"/>
        <v>5.4305638111888106</v>
      </c>
      <c r="AI78" s="1">
        <v>6</v>
      </c>
      <c r="AJ78" s="1">
        <v>7.5</v>
      </c>
      <c r="AK78" s="159">
        <v>1.8</v>
      </c>
      <c r="AL78" s="150">
        <v>9.7000000000000003E-2</v>
      </c>
      <c r="AM78" s="1">
        <v>300</v>
      </c>
      <c r="AN78" s="1">
        <v>500</v>
      </c>
      <c r="AO78" s="48">
        <v>0.5</v>
      </c>
      <c r="AP78" s="44">
        <v>30</v>
      </c>
      <c r="AQ78" s="42">
        <v>0.7</v>
      </c>
      <c r="AR78" s="1">
        <v>45</v>
      </c>
      <c r="AS78" s="1">
        <v>45</v>
      </c>
      <c r="AT78" s="1">
        <v>1</v>
      </c>
      <c r="AU78" s="4">
        <f t="shared" si="21"/>
        <v>4.9382716049382713</v>
      </c>
      <c r="AV78" s="3">
        <f t="shared" ref="AV78:AV83" si="41">ROUND((P78/1000000)*AU78*10000,2)</f>
        <v>0.02</v>
      </c>
      <c r="AW78" s="1">
        <v>85</v>
      </c>
      <c r="AX78" s="3">
        <f t="shared" si="37"/>
        <v>4.1975308641975309</v>
      </c>
      <c r="AY78" s="1">
        <v>1</v>
      </c>
      <c r="AZ78" s="4">
        <f t="shared" ref="AZ78:AZ83" si="42">IFERROR(AX78*AY78,0)</f>
        <v>4.1975308641975309</v>
      </c>
      <c r="BA78" s="49">
        <v>0.9</v>
      </c>
      <c r="BB78" s="4">
        <f t="shared" si="25"/>
        <v>3.7777777777777777</v>
      </c>
      <c r="BC78" s="50">
        <v>0.3</v>
      </c>
      <c r="BD78" s="69">
        <f>IFERROR(
  MAX(0.05, MIN(0.5, CropNorms_Cauliflower[[#This Row],[Leaf_Area_Per_Shoot_m2]] * CropNorms_Cauliflower[[#This Row],[Shoot_Bearing_m2]] )),
  0.2
)</f>
        <v>0.5</v>
      </c>
      <c r="BE78" s="4">
        <f>_xlfn.XLOOKUP(CropNorms_Cauliflower[[#This Row],[LAI_Start_BBCH]], CropPhenology_Cauliflower[Sub_Stage], CropPhenology_Cauliflower[Start_GDD], "Not Found")</f>
        <v>141</v>
      </c>
      <c r="BF78" s="3">
        <f>ROUND(CropNorms_Cauliflower[[#This Row],[Shoot_Bearing_m2]]*CropNorms_Cauliflower[[#This Row],[Leaf_Area_Per_Shoot_m2]],2)</f>
        <v>1.1299999999999999</v>
      </c>
      <c r="BG78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H78" s="3">
        <f>IF(CropNorms_Cauliflower[[#This Row],[Max_LAI]]&gt;=1.2, 0.85*CropNorms_Cauliflower[[#This Row],[Max_LAI]], 1)</f>
        <v>1</v>
      </c>
      <c r="BI78" s="41">
        <f>_xlfn.XLOOKUP(CropNorms_Cauliflower[[#This Row],[LAI_End_BBCH]], CropPhenology_Cauliflower[Sub_Stage], CropPhenology_Cauliflower[End_GDD], "Not Found")</f>
        <v>2400</v>
      </c>
      <c r="BJ78" s="3" cm="1">
        <f t="array" ref="BJ78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78" s="3" cm="1">
        <f t="array" ref="BK78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78" s="3" cm="1">
        <f t="array" ref="BL78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78" s="3" cm="1">
        <f t="array" ref="BM78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8" s="42">
        <v>0.25</v>
      </c>
      <c r="BO78" s="43">
        <v>0.85</v>
      </c>
      <c r="BP78" s="42">
        <v>12.75</v>
      </c>
      <c r="BQ78" s="43" t="s">
        <v>1796</v>
      </c>
      <c r="BR78" s="69" t="str" cm="1">
        <f t="array" ref="BR78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8" s="3" t="str" cm="1">
        <f t="array" ref="BS78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78" s="3" t="str" cm="1">
        <f t="array" ref="BT78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8" s="70" t="str" cm="1">
        <f t="array" ref="BU78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8" s="48">
        <v>150</v>
      </c>
      <c r="BW78" s="1">
        <v>37.5</v>
      </c>
      <c r="BX78" s="44">
        <v>60</v>
      </c>
      <c r="BY78" s="51">
        <v>45809</v>
      </c>
      <c r="BZ78" s="5">
        <v>45961</v>
      </c>
      <c r="CA78" s="85">
        <v>0</v>
      </c>
      <c r="CB78" s="2">
        <v>0</v>
      </c>
      <c r="CC78" s="2">
        <v>1</v>
      </c>
      <c r="CD78" s="2">
        <v>1</v>
      </c>
      <c r="CE78" s="2">
        <v>1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P78" s="27"/>
      <c r="CQ78" s="27"/>
      <c r="CR78" s="27"/>
    </row>
    <row r="79" spans="2:96" x14ac:dyDescent="0.25">
      <c r="B79" s="36" t="s">
        <v>58</v>
      </c>
      <c r="C79" s="1" t="s">
        <v>60</v>
      </c>
      <c r="K79" s="1" t="s">
        <v>1767</v>
      </c>
      <c r="L79" s="1" t="s">
        <v>1750</v>
      </c>
      <c r="M79" s="45" t="s">
        <v>360</v>
      </c>
      <c r="N79" s="46">
        <v>21</v>
      </c>
      <c r="O79" s="1" t="s">
        <v>4</v>
      </c>
      <c r="P79" s="1">
        <v>0.5</v>
      </c>
      <c r="Q79" s="1">
        <v>4</v>
      </c>
      <c r="R79" s="1">
        <v>4</v>
      </c>
      <c r="S79" s="1">
        <v>20</v>
      </c>
      <c r="T79" s="1">
        <v>25</v>
      </c>
      <c r="U79" s="253">
        <v>3</v>
      </c>
      <c r="V79" s="1">
        <v>60</v>
      </c>
      <c r="W79" s="44">
        <v>120</v>
      </c>
      <c r="X79" s="40">
        <f>_xlfn.XLOOKUP("Ripening", CropPhenology_Cauliflower[Main_Stage], CropPhenology_Cauliflower[Start_GDD], "Not Found")</f>
        <v>2401</v>
      </c>
      <c r="Y79" s="4" cm="1">
        <f t="array" ref="Y79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Z79" s="3">
        <f t="shared" si="39"/>
        <v>33.837499999999999</v>
      </c>
      <c r="AA79" s="41">
        <f t="shared" si="40"/>
        <v>84.52161063908386</v>
      </c>
      <c r="AB79" s="1">
        <v>6.5</v>
      </c>
      <c r="AC79" s="1">
        <v>10</v>
      </c>
      <c r="AD79" s="1">
        <v>2.5</v>
      </c>
      <c r="AE79" s="1">
        <v>90</v>
      </c>
      <c r="AF79" s="1">
        <v>5</v>
      </c>
      <c r="AG79" s="1">
        <v>5</v>
      </c>
      <c r="AH79" s="3">
        <f t="shared" si="13"/>
        <v>5.4305638111888106</v>
      </c>
      <c r="AI79" s="1">
        <v>6</v>
      </c>
      <c r="AJ79" s="1">
        <v>7.5</v>
      </c>
      <c r="AK79" s="159">
        <v>1.8</v>
      </c>
      <c r="AL79" s="150">
        <v>9.7000000000000003E-2</v>
      </c>
      <c r="AM79" s="1">
        <v>300</v>
      </c>
      <c r="AN79" s="1">
        <v>500</v>
      </c>
      <c r="AO79" s="48">
        <v>0.5</v>
      </c>
      <c r="AP79" s="44">
        <v>30</v>
      </c>
      <c r="AQ79" s="42">
        <v>0.65</v>
      </c>
      <c r="AR79" s="1">
        <v>45</v>
      </c>
      <c r="AS79" s="1">
        <v>45</v>
      </c>
      <c r="AT79" s="1">
        <v>1</v>
      </c>
      <c r="AU79" s="4">
        <f t="shared" si="21"/>
        <v>4.9382716049382713</v>
      </c>
      <c r="AV79" s="3">
        <f t="shared" si="41"/>
        <v>0.02</v>
      </c>
      <c r="AW79" s="1">
        <v>85</v>
      </c>
      <c r="AX79" s="3">
        <f t="shared" si="37"/>
        <v>4.1975308641975309</v>
      </c>
      <c r="AY79" s="1">
        <v>1</v>
      </c>
      <c r="AZ79" s="4">
        <f t="shared" si="42"/>
        <v>4.1975308641975309</v>
      </c>
      <c r="BA79" s="49">
        <v>0.9</v>
      </c>
      <c r="BB79" s="4">
        <f t="shared" si="25"/>
        <v>3.7777777777777777</v>
      </c>
      <c r="BC79" s="50">
        <v>0.3</v>
      </c>
      <c r="BD79" s="69">
        <f>IFERROR(
  MAX(0.05, MIN(0.5, CropNorms_Cauliflower[[#This Row],[Leaf_Area_Per_Shoot_m2]] * CropNorms_Cauliflower[[#This Row],[Shoot_Bearing_m2]] )),
  0.2
)</f>
        <v>0.5</v>
      </c>
      <c r="BE79" s="4">
        <f>_xlfn.XLOOKUP(CropNorms_Cauliflower[[#This Row],[LAI_Start_BBCH]], CropPhenology_Cauliflower[Sub_Stage], CropPhenology_Cauliflower[Start_GDD], "Not Found")</f>
        <v>141</v>
      </c>
      <c r="BF79" s="3">
        <f>ROUND(CropNorms_Cauliflower[[#This Row],[Shoot_Bearing_m2]]*CropNorms_Cauliflower[[#This Row],[Leaf_Area_Per_Shoot_m2]],2)</f>
        <v>1.1299999999999999</v>
      </c>
      <c r="BG79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H79" s="3">
        <f>IF(CropNorms_Cauliflower[[#This Row],[Max_LAI]]&gt;=1.2, 0.85*CropNorms_Cauliflower[[#This Row],[Max_LAI]], 1)</f>
        <v>1</v>
      </c>
      <c r="BI79" s="41">
        <f>_xlfn.XLOOKUP(CropNorms_Cauliflower[[#This Row],[LAI_End_BBCH]], CropPhenology_Cauliflower[Sub_Stage], CropPhenology_Cauliflower[End_GDD], "Not Found")</f>
        <v>2400</v>
      </c>
      <c r="BJ79" s="3" cm="1">
        <f t="array" ref="BJ79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79" s="3" cm="1">
        <f t="array" ref="BK79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79" s="3" cm="1">
        <f t="array" ref="BL79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79" s="3" cm="1">
        <f t="array" ref="BM79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79" s="42">
        <v>0.25</v>
      </c>
      <c r="BO79" s="43">
        <v>0.85</v>
      </c>
      <c r="BP79" s="42">
        <v>12.75</v>
      </c>
      <c r="BQ79" s="43" t="s">
        <v>1796</v>
      </c>
      <c r="BR79" s="69" t="str" cm="1">
        <f t="array" ref="BR79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79" s="3" t="str" cm="1">
        <f t="array" ref="BS79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79" s="3" t="str" cm="1">
        <f t="array" ref="BT79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79" s="70" t="str" cm="1">
        <f t="array" ref="BU79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79" s="48">
        <v>150</v>
      </c>
      <c r="BW79" s="1">
        <v>37.5</v>
      </c>
      <c r="BX79" s="44">
        <v>60</v>
      </c>
      <c r="BY79" s="51">
        <v>45809</v>
      </c>
      <c r="BZ79" s="5">
        <v>45961</v>
      </c>
      <c r="CA79" s="85">
        <v>0</v>
      </c>
      <c r="CB79" s="2">
        <v>0</v>
      </c>
      <c r="CC79" s="2">
        <v>1</v>
      </c>
      <c r="CD79" s="2">
        <v>1</v>
      </c>
      <c r="CE79" s="2">
        <v>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P79" s="27"/>
      <c r="CQ79" s="27"/>
      <c r="CR79" s="27"/>
    </row>
    <row r="80" spans="2:96" x14ac:dyDescent="0.25">
      <c r="B80" s="36" t="s">
        <v>58</v>
      </c>
      <c r="C80" s="1" t="s">
        <v>61</v>
      </c>
      <c r="K80" s="1" t="s">
        <v>1767</v>
      </c>
      <c r="L80" s="1" t="s">
        <v>1750</v>
      </c>
      <c r="M80" s="45" t="s">
        <v>360</v>
      </c>
      <c r="N80" s="46">
        <v>21</v>
      </c>
      <c r="O80" s="1" t="s">
        <v>4</v>
      </c>
      <c r="P80" s="1">
        <v>0.5</v>
      </c>
      <c r="Q80" s="1">
        <v>4</v>
      </c>
      <c r="R80" s="1">
        <v>4</v>
      </c>
      <c r="S80" s="1">
        <v>20</v>
      </c>
      <c r="T80" s="1">
        <v>25</v>
      </c>
      <c r="U80" s="253">
        <v>3</v>
      </c>
      <c r="V80" s="1">
        <v>60</v>
      </c>
      <c r="W80" s="44">
        <v>120</v>
      </c>
      <c r="X80" s="40">
        <f>_xlfn.XLOOKUP("Ripening", CropPhenology_Cauliflower[Main_Stage], CropPhenology_Cauliflower[Start_GDD], "Not Found")</f>
        <v>2401</v>
      </c>
      <c r="Y80" s="4" cm="1">
        <f t="array" ref="Y80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Z80" s="3">
        <f t="shared" si="39"/>
        <v>33.837499999999999</v>
      </c>
      <c r="AA80" s="41">
        <f t="shared" si="40"/>
        <v>84.52161063908386</v>
      </c>
      <c r="AB80" s="1">
        <v>6.5</v>
      </c>
      <c r="AC80" s="1">
        <v>10</v>
      </c>
      <c r="AD80" s="1">
        <v>2.5</v>
      </c>
      <c r="AE80" s="1">
        <v>90</v>
      </c>
      <c r="AF80" s="1">
        <v>5</v>
      </c>
      <c r="AG80" s="1">
        <v>5</v>
      </c>
      <c r="AH80" s="3">
        <f t="shared" si="13"/>
        <v>5.4305638111888106</v>
      </c>
      <c r="AI80" s="1">
        <v>6</v>
      </c>
      <c r="AJ80" s="1">
        <v>7.5</v>
      </c>
      <c r="AK80" s="159">
        <v>1.8</v>
      </c>
      <c r="AL80" s="150">
        <v>9.7000000000000003E-2</v>
      </c>
      <c r="AM80" s="1">
        <v>300</v>
      </c>
      <c r="AN80" s="1">
        <v>500</v>
      </c>
      <c r="AO80" s="48">
        <v>0.5</v>
      </c>
      <c r="AP80" s="44">
        <v>30</v>
      </c>
      <c r="AQ80" s="42">
        <v>0.75</v>
      </c>
      <c r="AR80" s="1">
        <v>45</v>
      </c>
      <c r="AS80" s="1">
        <v>45</v>
      </c>
      <c r="AT80" s="1">
        <v>1</v>
      </c>
      <c r="AU80" s="4">
        <f t="shared" si="21"/>
        <v>4.9382716049382713</v>
      </c>
      <c r="AV80" s="3">
        <f t="shared" si="41"/>
        <v>0.02</v>
      </c>
      <c r="AW80" s="1">
        <v>85</v>
      </c>
      <c r="AX80" s="3">
        <f t="shared" si="37"/>
        <v>4.1975308641975309</v>
      </c>
      <c r="AY80" s="1">
        <v>1</v>
      </c>
      <c r="AZ80" s="4">
        <f t="shared" si="42"/>
        <v>4.1975308641975309</v>
      </c>
      <c r="BA80" s="49">
        <v>0.9</v>
      </c>
      <c r="BB80" s="4">
        <f t="shared" si="25"/>
        <v>3.7777777777777777</v>
      </c>
      <c r="BC80" s="50">
        <v>0.3</v>
      </c>
      <c r="BD80" s="69">
        <f>IFERROR(
  MAX(0.05, MIN(0.5, CropNorms_Cauliflower[[#This Row],[Leaf_Area_Per_Shoot_m2]] * CropNorms_Cauliflower[[#This Row],[Shoot_Bearing_m2]] )),
  0.2
)</f>
        <v>0.5</v>
      </c>
      <c r="BE80" s="4">
        <f>_xlfn.XLOOKUP(CropNorms_Cauliflower[[#This Row],[LAI_Start_BBCH]], CropPhenology_Cauliflower[Sub_Stage], CropPhenology_Cauliflower[Start_GDD], "Not Found")</f>
        <v>141</v>
      </c>
      <c r="BF80" s="3">
        <f>ROUND(CropNorms_Cauliflower[[#This Row],[Shoot_Bearing_m2]]*CropNorms_Cauliflower[[#This Row],[Leaf_Area_Per_Shoot_m2]],2)</f>
        <v>1.1299999999999999</v>
      </c>
      <c r="BG80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H80" s="3">
        <f>IF(CropNorms_Cauliflower[[#This Row],[Max_LAI]]&gt;=1.2, 0.85*CropNorms_Cauliflower[[#This Row],[Max_LAI]], 1)</f>
        <v>1</v>
      </c>
      <c r="BI80" s="41">
        <f>_xlfn.XLOOKUP(CropNorms_Cauliflower[[#This Row],[LAI_End_BBCH]], CropPhenology_Cauliflower[Sub_Stage], CropPhenology_Cauliflower[End_GDD], "Not Found")</f>
        <v>2400</v>
      </c>
      <c r="BJ80" s="3" cm="1">
        <f t="array" ref="BJ80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80" s="3" cm="1">
        <f t="array" ref="BK80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80" s="3" cm="1">
        <f t="array" ref="BL80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0" s="3" cm="1">
        <f t="array" ref="BM80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0" s="42">
        <v>0.25</v>
      </c>
      <c r="BO80" s="43">
        <v>0.85</v>
      </c>
      <c r="BP80" s="42">
        <v>12.75</v>
      </c>
      <c r="BQ80" s="43" t="s">
        <v>1796</v>
      </c>
      <c r="BR80" s="69" t="str" cm="1">
        <f t="array" ref="BR80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0" s="3" t="str" cm="1">
        <f t="array" ref="BS80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80" s="3" t="str" cm="1">
        <f t="array" ref="BT80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80" s="70" t="str" cm="1">
        <f t="array" ref="BU80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80" s="48">
        <v>150</v>
      </c>
      <c r="BW80" s="1">
        <v>37.5</v>
      </c>
      <c r="BX80" s="44">
        <v>60</v>
      </c>
      <c r="BY80" s="51">
        <v>45809</v>
      </c>
      <c r="BZ80" s="5">
        <v>45961</v>
      </c>
      <c r="CA80" s="85">
        <v>0</v>
      </c>
      <c r="CB80" s="2">
        <v>0</v>
      </c>
      <c r="CC80" s="2">
        <v>1</v>
      </c>
      <c r="CD80" s="2">
        <v>1</v>
      </c>
      <c r="CE80" s="2">
        <v>1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P80" s="27"/>
      <c r="CQ80" s="27"/>
      <c r="CR80" s="27"/>
    </row>
    <row r="81" spans="2:96" x14ac:dyDescent="0.25">
      <c r="B81" s="36" t="s">
        <v>58</v>
      </c>
      <c r="C81" s="1" t="s">
        <v>62</v>
      </c>
      <c r="K81" s="1" t="s">
        <v>1767</v>
      </c>
      <c r="L81" s="1" t="s">
        <v>1750</v>
      </c>
      <c r="M81" s="45" t="s">
        <v>360</v>
      </c>
      <c r="N81" s="46">
        <v>21</v>
      </c>
      <c r="O81" s="1" t="s">
        <v>4</v>
      </c>
      <c r="P81" s="1">
        <v>0.5</v>
      </c>
      <c r="Q81" s="1">
        <v>4</v>
      </c>
      <c r="R81" s="1">
        <v>4</v>
      </c>
      <c r="S81" s="1">
        <v>20</v>
      </c>
      <c r="T81" s="1">
        <v>25</v>
      </c>
      <c r="U81" s="253">
        <v>3</v>
      </c>
      <c r="V81" s="1">
        <v>60</v>
      </c>
      <c r="W81" s="44">
        <v>120</v>
      </c>
      <c r="X81" s="40">
        <f>_xlfn.XLOOKUP("Ripening", CropPhenology_Cauliflower[Main_Stage], CropPhenology_Cauliflower[Start_GDD], "Not Found")</f>
        <v>2401</v>
      </c>
      <c r="Y81" s="4" cm="1">
        <f t="array" ref="Y81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Z81" s="3">
        <f t="shared" si="39"/>
        <v>33.837499999999999</v>
      </c>
      <c r="AA81" s="41">
        <f t="shared" si="40"/>
        <v>84.52161063908386</v>
      </c>
      <c r="AB81" s="1">
        <v>6.5</v>
      </c>
      <c r="AC81" s="1">
        <v>10</v>
      </c>
      <c r="AD81" s="1">
        <v>2.5</v>
      </c>
      <c r="AE81" s="1">
        <v>90</v>
      </c>
      <c r="AF81" s="1">
        <v>5</v>
      </c>
      <c r="AG81" s="1">
        <v>5</v>
      </c>
      <c r="AH81" s="3">
        <f t="shared" si="13"/>
        <v>5.4305638111888106</v>
      </c>
      <c r="AI81" s="1">
        <v>6</v>
      </c>
      <c r="AJ81" s="1">
        <v>7.5</v>
      </c>
      <c r="AK81" s="159">
        <v>1.8</v>
      </c>
      <c r="AL81" s="150">
        <v>9.7000000000000003E-2</v>
      </c>
      <c r="AM81" s="1">
        <v>300</v>
      </c>
      <c r="AN81" s="1">
        <v>500</v>
      </c>
      <c r="AO81" s="48">
        <v>0.5</v>
      </c>
      <c r="AP81" s="44">
        <v>30</v>
      </c>
      <c r="AQ81" s="42">
        <v>0.77</v>
      </c>
      <c r="AR81" s="1">
        <v>45</v>
      </c>
      <c r="AS81" s="1">
        <v>45</v>
      </c>
      <c r="AT81" s="1">
        <v>1</v>
      </c>
      <c r="AU81" s="4">
        <f t="shared" si="21"/>
        <v>4.9382716049382713</v>
      </c>
      <c r="AV81" s="3">
        <f t="shared" si="41"/>
        <v>0.02</v>
      </c>
      <c r="AW81" s="1">
        <v>85</v>
      </c>
      <c r="AX81" s="3">
        <f t="shared" si="37"/>
        <v>4.1975308641975309</v>
      </c>
      <c r="AY81" s="1">
        <v>1</v>
      </c>
      <c r="AZ81" s="4">
        <f t="shared" si="42"/>
        <v>4.1975308641975309</v>
      </c>
      <c r="BA81" s="49">
        <v>0.9</v>
      </c>
      <c r="BB81" s="4">
        <f t="shared" si="25"/>
        <v>3.7777777777777777</v>
      </c>
      <c r="BC81" s="50">
        <v>0.3</v>
      </c>
      <c r="BD81" s="69">
        <f>IFERROR(
  MAX(0.05, MIN(0.5, CropNorms_Cauliflower[[#This Row],[Leaf_Area_Per_Shoot_m2]] * CropNorms_Cauliflower[[#This Row],[Shoot_Bearing_m2]] )),
  0.2
)</f>
        <v>0.5</v>
      </c>
      <c r="BE81" s="4">
        <f>_xlfn.XLOOKUP(CropNorms_Cauliflower[[#This Row],[LAI_Start_BBCH]], CropPhenology_Cauliflower[Sub_Stage], CropPhenology_Cauliflower[Start_GDD], "Not Found")</f>
        <v>141</v>
      </c>
      <c r="BF81" s="3">
        <f>ROUND(CropNorms_Cauliflower[[#This Row],[Shoot_Bearing_m2]]*CropNorms_Cauliflower[[#This Row],[Leaf_Area_Per_Shoot_m2]],2)</f>
        <v>1.1299999999999999</v>
      </c>
      <c r="BG81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H81" s="3">
        <f>IF(CropNorms_Cauliflower[[#This Row],[Max_LAI]]&gt;=1.2, 0.85*CropNorms_Cauliflower[[#This Row],[Max_LAI]], 1)</f>
        <v>1</v>
      </c>
      <c r="BI81" s="41">
        <f>_xlfn.XLOOKUP(CropNorms_Cauliflower[[#This Row],[LAI_End_BBCH]], CropPhenology_Cauliflower[Sub_Stage], CropPhenology_Cauliflower[End_GDD], "Not Found")</f>
        <v>2400</v>
      </c>
      <c r="BJ81" s="3" cm="1">
        <f t="array" ref="BJ81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81" s="3" cm="1">
        <f t="array" ref="BK8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81" s="3" cm="1">
        <f t="array" ref="BL81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1" s="3" cm="1">
        <f t="array" ref="BM8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1" s="42">
        <v>0.25</v>
      </c>
      <c r="BO81" s="43">
        <v>0.85</v>
      </c>
      <c r="BP81" s="42">
        <v>12.75</v>
      </c>
      <c r="BQ81" s="43" t="s">
        <v>1796</v>
      </c>
      <c r="BR81" s="69" t="str" cm="1">
        <f t="array" ref="BR8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1" s="3" t="str" cm="1">
        <f t="array" ref="BS8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81" s="3" t="str" cm="1">
        <f t="array" ref="BT81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81" s="70" t="str" cm="1">
        <f t="array" ref="BU81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81" s="48">
        <v>150</v>
      </c>
      <c r="BW81" s="1">
        <v>37.5</v>
      </c>
      <c r="BX81" s="44">
        <v>60</v>
      </c>
      <c r="BY81" s="51">
        <v>45809</v>
      </c>
      <c r="BZ81" s="5">
        <v>45961</v>
      </c>
      <c r="CA81" s="85">
        <v>0</v>
      </c>
      <c r="CB81" s="2">
        <v>0</v>
      </c>
      <c r="CC81" s="2">
        <v>1</v>
      </c>
      <c r="CD81" s="2">
        <v>1</v>
      </c>
      <c r="CE81" s="2">
        <v>1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P81" s="27"/>
      <c r="CQ81" s="27"/>
      <c r="CR81" s="27"/>
    </row>
    <row r="82" spans="2:96" x14ac:dyDescent="0.25">
      <c r="B82" s="36" t="s">
        <v>58</v>
      </c>
      <c r="C82" s="1" t="s">
        <v>63</v>
      </c>
      <c r="K82" s="1" t="s">
        <v>1767</v>
      </c>
      <c r="L82" s="1" t="s">
        <v>1750</v>
      </c>
      <c r="M82" s="45" t="s">
        <v>360</v>
      </c>
      <c r="N82" s="46">
        <v>21</v>
      </c>
      <c r="O82" s="1" t="s">
        <v>4</v>
      </c>
      <c r="P82" s="1">
        <v>0.5</v>
      </c>
      <c r="Q82" s="1">
        <v>4</v>
      </c>
      <c r="R82" s="1">
        <v>4</v>
      </c>
      <c r="S82" s="1">
        <v>20</v>
      </c>
      <c r="T82" s="1">
        <v>25</v>
      </c>
      <c r="U82" s="253">
        <v>3</v>
      </c>
      <c r="V82" s="1">
        <v>60</v>
      </c>
      <c r="W82" s="44">
        <v>120</v>
      </c>
      <c r="X82" s="40">
        <f>_xlfn.XLOOKUP("Ripening", CropPhenology_Cauliflower[Main_Stage], CropPhenology_Cauliflower[Start_GDD], "Not Found")</f>
        <v>2401</v>
      </c>
      <c r="Y82" s="4" cm="1">
        <f t="array" ref="Y82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Z82" s="3">
        <f t="shared" si="39"/>
        <v>33.837499999999999</v>
      </c>
      <c r="AA82" s="41">
        <f t="shared" si="40"/>
        <v>84.52161063908386</v>
      </c>
      <c r="AB82" s="1">
        <v>6.5</v>
      </c>
      <c r="AC82" s="1">
        <v>10</v>
      </c>
      <c r="AD82" s="1">
        <v>2.5</v>
      </c>
      <c r="AE82" s="1">
        <v>90</v>
      </c>
      <c r="AF82" s="1">
        <v>5</v>
      </c>
      <c r="AG82" s="1">
        <v>5</v>
      </c>
      <c r="AH82" s="3">
        <f t="shared" si="13"/>
        <v>5.4305638111888106</v>
      </c>
      <c r="AI82" s="1">
        <v>6</v>
      </c>
      <c r="AJ82" s="1">
        <v>7.5</v>
      </c>
      <c r="AK82" s="159">
        <v>1.8</v>
      </c>
      <c r="AL82" s="150">
        <v>9.7000000000000003E-2</v>
      </c>
      <c r="AM82" s="1">
        <v>300</v>
      </c>
      <c r="AN82" s="1">
        <v>500</v>
      </c>
      <c r="AO82" s="48">
        <v>0.5</v>
      </c>
      <c r="AP82" s="44">
        <v>30</v>
      </c>
      <c r="AQ82" s="42">
        <v>0.8</v>
      </c>
      <c r="AR82" s="1">
        <v>45</v>
      </c>
      <c r="AS82" s="1">
        <v>45</v>
      </c>
      <c r="AT82" s="1">
        <v>1</v>
      </c>
      <c r="AU82" s="4">
        <f t="shared" si="21"/>
        <v>4.9382716049382713</v>
      </c>
      <c r="AV82" s="3">
        <f t="shared" si="41"/>
        <v>0.02</v>
      </c>
      <c r="AW82" s="1">
        <v>85</v>
      </c>
      <c r="AX82" s="3">
        <f t="shared" si="37"/>
        <v>4.1975308641975309</v>
      </c>
      <c r="AY82" s="1">
        <v>1</v>
      </c>
      <c r="AZ82" s="4">
        <f t="shared" si="42"/>
        <v>4.1975308641975309</v>
      </c>
      <c r="BA82" s="49">
        <v>0.9</v>
      </c>
      <c r="BB82" s="4">
        <f t="shared" si="25"/>
        <v>3.7777777777777777</v>
      </c>
      <c r="BC82" s="50">
        <v>0.3</v>
      </c>
      <c r="BD82" s="69">
        <f>IFERROR(
  MAX(0.05, MIN(0.5, CropNorms_Cauliflower[[#This Row],[Leaf_Area_Per_Shoot_m2]] * CropNorms_Cauliflower[[#This Row],[Shoot_Bearing_m2]] )),
  0.2
)</f>
        <v>0.5</v>
      </c>
      <c r="BE82" s="4">
        <f>_xlfn.XLOOKUP(CropNorms_Cauliflower[[#This Row],[LAI_Start_BBCH]], CropPhenology_Cauliflower[Sub_Stage], CropPhenology_Cauliflower[Start_GDD], "Not Found")</f>
        <v>141</v>
      </c>
      <c r="BF82" s="3">
        <f>ROUND(CropNorms_Cauliflower[[#This Row],[Shoot_Bearing_m2]]*CropNorms_Cauliflower[[#This Row],[Leaf_Area_Per_Shoot_m2]],2)</f>
        <v>1.1299999999999999</v>
      </c>
      <c r="BG82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H82" s="3">
        <f>IF(CropNorms_Cauliflower[[#This Row],[Max_LAI]]&gt;=1.2, 0.85*CropNorms_Cauliflower[[#This Row],[Max_LAI]], 1)</f>
        <v>1</v>
      </c>
      <c r="BI82" s="41">
        <f>_xlfn.XLOOKUP(CropNorms_Cauliflower[[#This Row],[LAI_End_BBCH]], CropPhenology_Cauliflower[Sub_Stage], CropPhenology_Cauliflower[End_GDD], "Not Found")</f>
        <v>2400</v>
      </c>
      <c r="BJ82" s="3" cm="1">
        <f t="array" ref="BJ82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82" s="3" cm="1">
        <f t="array" ref="BK82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82" s="3" cm="1">
        <f t="array" ref="BL82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2" s="3" cm="1">
        <f t="array" ref="BM82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2" s="42">
        <v>0.25</v>
      </c>
      <c r="BO82" s="43">
        <v>0.85</v>
      </c>
      <c r="BP82" s="42">
        <v>12.75</v>
      </c>
      <c r="BQ82" s="43" t="s">
        <v>1796</v>
      </c>
      <c r="BR82" s="69" t="str" cm="1">
        <f t="array" ref="BR82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2" s="3" t="str" cm="1">
        <f t="array" ref="BS82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82" s="3" t="str" cm="1">
        <f t="array" ref="BT82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82" s="70" t="str" cm="1">
        <f t="array" ref="BU82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82" s="48">
        <v>150</v>
      </c>
      <c r="BW82" s="1">
        <v>37.5</v>
      </c>
      <c r="BX82" s="44">
        <v>60</v>
      </c>
      <c r="BY82" s="51">
        <v>45809</v>
      </c>
      <c r="BZ82" s="5">
        <v>45961</v>
      </c>
      <c r="CA82" s="85">
        <v>0</v>
      </c>
      <c r="CB82" s="2">
        <v>0</v>
      </c>
      <c r="CC82" s="2">
        <v>1</v>
      </c>
      <c r="CD82" s="2">
        <v>1</v>
      </c>
      <c r="CE82" s="2">
        <v>1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P82" s="27"/>
      <c r="CQ82" s="27"/>
      <c r="CR82" s="27"/>
    </row>
    <row r="83" spans="2:96" ht="11.25" thickBot="1" x14ac:dyDescent="0.3">
      <c r="B83" s="36" t="s">
        <v>58</v>
      </c>
      <c r="C83" s="1" t="s">
        <v>64</v>
      </c>
      <c r="K83" s="1" t="s">
        <v>1767</v>
      </c>
      <c r="L83" s="1" t="s">
        <v>1750</v>
      </c>
      <c r="M83" s="45" t="s">
        <v>360</v>
      </c>
      <c r="N83" s="46">
        <v>21</v>
      </c>
      <c r="O83" s="1" t="s">
        <v>4</v>
      </c>
      <c r="P83" s="1">
        <v>0.5</v>
      </c>
      <c r="Q83" s="1">
        <v>4</v>
      </c>
      <c r="R83" s="1">
        <v>4</v>
      </c>
      <c r="S83" s="1">
        <v>20</v>
      </c>
      <c r="T83" s="1">
        <v>25</v>
      </c>
      <c r="U83" s="254">
        <v>3</v>
      </c>
      <c r="V83" s="1">
        <v>60</v>
      </c>
      <c r="W83" s="44">
        <v>120</v>
      </c>
      <c r="X83" s="40">
        <f>_xlfn.XLOOKUP("Ripening", CropPhenology_Cauliflower[Main_Stage], CropPhenology_Cauliflower[Start_GDD], "Not Found")</f>
        <v>2401</v>
      </c>
      <c r="Y83" s="4" cm="1">
        <f t="array" ref="Y83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Z83" s="3">
        <f t="shared" si="39"/>
        <v>33.837499999999999</v>
      </c>
      <c r="AA83" s="41">
        <f t="shared" si="40"/>
        <v>84.52161063908386</v>
      </c>
      <c r="AB83" s="1">
        <v>6.5</v>
      </c>
      <c r="AC83" s="1">
        <v>10</v>
      </c>
      <c r="AD83" s="1">
        <v>2.5</v>
      </c>
      <c r="AE83" s="1">
        <v>90</v>
      </c>
      <c r="AF83" s="1">
        <v>5</v>
      </c>
      <c r="AG83" s="1">
        <v>5</v>
      </c>
      <c r="AH83" s="3">
        <f t="shared" si="13"/>
        <v>5.4305638111888106</v>
      </c>
      <c r="AI83" s="1">
        <v>6</v>
      </c>
      <c r="AJ83" s="1">
        <v>7.5</v>
      </c>
      <c r="AK83" s="160">
        <v>1.8</v>
      </c>
      <c r="AL83" s="161">
        <v>9.7000000000000003E-2</v>
      </c>
      <c r="AM83" s="1">
        <v>300</v>
      </c>
      <c r="AN83" s="1">
        <v>500</v>
      </c>
      <c r="AO83" s="48">
        <v>0.5</v>
      </c>
      <c r="AP83" s="44">
        <v>30</v>
      </c>
      <c r="AQ83" s="42">
        <v>0.82</v>
      </c>
      <c r="AR83" s="1">
        <v>45</v>
      </c>
      <c r="AS83" s="1">
        <v>45</v>
      </c>
      <c r="AT83" s="1">
        <v>1</v>
      </c>
      <c r="AU83" s="4">
        <f t="shared" si="21"/>
        <v>4.9382716049382713</v>
      </c>
      <c r="AV83" s="3">
        <f t="shared" si="41"/>
        <v>0.02</v>
      </c>
      <c r="AW83" s="1">
        <v>85</v>
      </c>
      <c r="AX83" s="3">
        <f t="shared" si="37"/>
        <v>4.1975308641975309</v>
      </c>
      <c r="AY83" s="1">
        <v>1</v>
      </c>
      <c r="AZ83" s="4">
        <f t="shared" si="42"/>
        <v>4.1975308641975309</v>
      </c>
      <c r="BA83" s="49">
        <v>0.9</v>
      </c>
      <c r="BB83" s="4">
        <f t="shared" si="25"/>
        <v>3.7777777777777777</v>
      </c>
      <c r="BC83" s="50">
        <v>0.3</v>
      </c>
      <c r="BD83" s="69">
        <f>IFERROR(
  MAX(0.05, MIN(0.5, CropNorms_Cauliflower[[#This Row],[Leaf_Area_Per_Shoot_m2]] * CropNorms_Cauliflower[[#This Row],[Shoot_Bearing_m2]] )),
  0.2
)</f>
        <v>0.5</v>
      </c>
      <c r="BE83" s="4">
        <f>_xlfn.XLOOKUP(CropNorms_Cauliflower[[#This Row],[LAI_Start_BBCH]], CropPhenology_Cauliflower[Sub_Stage], CropPhenology_Cauliflower[Start_GDD], "Not Found")</f>
        <v>141</v>
      </c>
      <c r="BF83" s="3">
        <f>ROUND(CropNorms_Cauliflower[[#This Row],[Shoot_Bearing_m2]]*CropNorms_Cauliflower[[#This Row],[Leaf_Area_Per_Shoot_m2]],2)</f>
        <v>1.1299999999999999</v>
      </c>
      <c r="BG83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H83" s="3">
        <f>IF(CropNorms_Cauliflower[[#This Row],[Max_LAI]]&gt;=1.2, 0.85*CropNorms_Cauliflower[[#This Row],[Max_LAI]], 1)</f>
        <v>1</v>
      </c>
      <c r="BI83" s="41">
        <f>_xlfn.XLOOKUP(CropNorms_Cauliflower[[#This Row],[LAI_End_BBCH]], CropPhenology_Cauliflower[Sub_Stage], CropPhenology_Cauliflower[End_GDD], "Not Found")</f>
        <v>2400</v>
      </c>
      <c r="BJ83" s="3" cm="1">
        <f t="array" ref="BJ83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K83" s="3" cm="1">
        <f t="array" ref="BK83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L83" s="3" cm="1">
        <f t="array" ref="BL83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3" s="3" cm="1">
        <f t="array" ref="BM83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3" s="42">
        <v>0.25</v>
      </c>
      <c r="BO83" s="43">
        <v>0.85</v>
      </c>
      <c r="BP83" s="42">
        <v>12.75</v>
      </c>
      <c r="BQ83" s="43" t="s">
        <v>1796</v>
      </c>
      <c r="BR83" s="69" t="str" cm="1">
        <f t="array" ref="BR83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3" s="3" t="str" cm="1">
        <f t="array" ref="BS83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T83" s="3" t="str" cm="1">
        <f t="array" ref="BT83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83" s="70" t="str" cm="1">
        <f t="array" ref="BU83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83" s="48">
        <v>150</v>
      </c>
      <c r="BW83" s="1">
        <v>37.5</v>
      </c>
      <c r="BX83" s="44">
        <v>60</v>
      </c>
      <c r="BY83" s="51">
        <v>45809</v>
      </c>
      <c r="BZ83" s="5">
        <v>45961</v>
      </c>
      <c r="CA83" s="85">
        <v>0</v>
      </c>
      <c r="CB83" s="2">
        <v>0</v>
      </c>
      <c r="CC83" s="2">
        <v>1</v>
      </c>
      <c r="CD83" s="2">
        <v>1</v>
      </c>
      <c r="CE83" s="2">
        <v>1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P83" s="27"/>
      <c r="CQ83" s="27"/>
      <c r="CR83" s="27"/>
    </row>
    <row r="84" spans="2:96" ht="11.25" thickBot="1" x14ac:dyDescent="0.3">
      <c r="M84" s="45"/>
      <c r="N84" s="46"/>
      <c r="Y84" s="3"/>
      <c r="Z84" s="4"/>
      <c r="AG84" s="3"/>
      <c r="AR84" s="4"/>
      <c r="AS84" s="3"/>
      <c r="AU84" s="3"/>
      <c r="AW84" s="4"/>
      <c r="AX84" s="49"/>
      <c r="AY84" s="4"/>
      <c r="BV84" s="51"/>
      <c r="BW84" s="51"/>
      <c r="CP84" s="27"/>
      <c r="CQ84" s="27"/>
      <c r="CR84" s="27"/>
    </row>
    <row r="85" spans="2:96" ht="11.25" thickBot="1" x14ac:dyDescent="0.2">
      <c r="B85" s="54" t="s">
        <v>1753</v>
      </c>
      <c r="C85" s="53" t="s">
        <v>1754</v>
      </c>
      <c r="D85" s="53" t="s">
        <v>1804</v>
      </c>
      <c r="E85" s="53" t="s">
        <v>1805</v>
      </c>
      <c r="F85" s="53" t="s">
        <v>1806</v>
      </c>
      <c r="G85" s="53" t="s">
        <v>1807</v>
      </c>
      <c r="H85" s="53" t="s">
        <v>1808</v>
      </c>
      <c r="I85" s="53" t="s">
        <v>1809</v>
      </c>
      <c r="J85" s="53" t="s">
        <v>1810</v>
      </c>
      <c r="K85" s="53" t="s">
        <v>1747</v>
      </c>
      <c r="L85" s="54" t="s">
        <v>1749</v>
      </c>
      <c r="M85" s="53" t="s">
        <v>357</v>
      </c>
      <c r="N85" s="55" t="s">
        <v>692</v>
      </c>
      <c r="O85" s="53" t="s">
        <v>325</v>
      </c>
      <c r="P85" s="53" t="s">
        <v>356</v>
      </c>
      <c r="Q85" s="53" t="s">
        <v>326</v>
      </c>
      <c r="R85" s="53" t="s">
        <v>327</v>
      </c>
      <c r="S85" s="53" t="s">
        <v>328</v>
      </c>
      <c r="T85" s="53" t="s">
        <v>329</v>
      </c>
      <c r="U85" s="250" t="s">
        <v>2349</v>
      </c>
      <c r="V85" s="53" t="s">
        <v>330</v>
      </c>
      <c r="W85" s="53" t="s">
        <v>331</v>
      </c>
      <c r="X85" s="56" t="s">
        <v>354</v>
      </c>
      <c r="Y85" s="57" t="s">
        <v>355</v>
      </c>
      <c r="Z85" s="58" t="s">
        <v>413</v>
      </c>
      <c r="AA85" s="59" t="s">
        <v>583</v>
      </c>
      <c r="AB85" s="53" t="s">
        <v>324</v>
      </c>
      <c r="AC85" s="53" t="s">
        <v>332</v>
      </c>
      <c r="AD85" s="53" t="s">
        <v>333</v>
      </c>
      <c r="AE85" s="53" t="s">
        <v>334</v>
      </c>
      <c r="AF85" s="53" t="s">
        <v>335</v>
      </c>
      <c r="AG85" s="53" t="s">
        <v>336</v>
      </c>
      <c r="AH85" s="60" t="s">
        <v>337</v>
      </c>
      <c r="AI85" s="53" t="s">
        <v>338</v>
      </c>
      <c r="AJ85" s="53" t="s">
        <v>339</v>
      </c>
      <c r="AK85" s="157" t="s">
        <v>2346</v>
      </c>
      <c r="AL85" s="158" t="s">
        <v>2347</v>
      </c>
      <c r="AM85" s="53" t="s">
        <v>340</v>
      </c>
      <c r="AN85" s="53" t="s">
        <v>341</v>
      </c>
      <c r="AO85" s="61" t="s">
        <v>342</v>
      </c>
      <c r="AP85" s="62" t="s">
        <v>343</v>
      </c>
      <c r="AQ85" s="55" t="s">
        <v>344</v>
      </c>
      <c r="AR85" s="53" t="s">
        <v>345</v>
      </c>
      <c r="AS85" s="53" t="s">
        <v>346</v>
      </c>
      <c r="AT85" s="53" t="s">
        <v>364</v>
      </c>
      <c r="AU85" s="60" t="s">
        <v>347</v>
      </c>
      <c r="AV85" s="58" t="s">
        <v>363</v>
      </c>
      <c r="AW85" s="53" t="s">
        <v>348</v>
      </c>
      <c r="AX85" s="58" t="s">
        <v>349</v>
      </c>
      <c r="AY85" s="53" t="s">
        <v>366</v>
      </c>
      <c r="AZ85" s="60" t="s">
        <v>350</v>
      </c>
      <c r="BA85" s="53" t="s">
        <v>365</v>
      </c>
      <c r="BB85" s="60" t="s">
        <v>1827</v>
      </c>
      <c r="BC85" s="63" t="s">
        <v>351</v>
      </c>
      <c r="BD85" s="71" t="s">
        <v>1811</v>
      </c>
      <c r="BE85" s="57" t="s">
        <v>352</v>
      </c>
      <c r="BF85" s="58" t="s">
        <v>1812</v>
      </c>
      <c r="BG85" s="57" t="s">
        <v>1752</v>
      </c>
      <c r="BH85" s="60" t="s">
        <v>1813</v>
      </c>
      <c r="BI85" s="59" t="s">
        <v>353</v>
      </c>
      <c r="BJ85" s="71" t="s">
        <v>1828</v>
      </c>
      <c r="BK85" s="58" t="s">
        <v>1829</v>
      </c>
      <c r="BL85" s="58" t="s">
        <v>1830</v>
      </c>
      <c r="BM85" s="72" t="s">
        <v>1831</v>
      </c>
      <c r="BN85" s="64" t="s">
        <v>1154</v>
      </c>
      <c r="BO85" s="65" t="s">
        <v>1742</v>
      </c>
      <c r="BP85" s="64" t="s">
        <v>1155</v>
      </c>
      <c r="BQ85" s="65" t="s">
        <v>1755</v>
      </c>
      <c r="BR85" s="71" t="s">
        <v>367</v>
      </c>
      <c r="BS85" s="58" t="s">
        <v>1751</v>
      </c>
      <c r="BT85" s="58" t="s">
        <v>368</v>
      </c>
      <c r="BU85" s="156" t="s">
        <v>1814</v>
      </c>
      <c r="BV85" s="61" t="s">
        <v>369</v>
      </c>
      <c r="BW85" s="53" t="s">
        <v>370</v>
      </c>
      <c r="BX85" s="62" t="s">
        <v>371</v>
      </c>
      <c r="BY85" s="53" t="s">
        <v>359</v>
      </c>
      <c r="BZ85" s="53" t="s">
        <v>361</v>
      </c>
      <c r="CA85" s="61" t="s">
        <v>1815</v>
      </c>
      <c r="CB85" s="53" t="s">
        <v>1816</v>
      </c>
      <c r="CC85" s="53" t="s">
        <v>1817</v>
      </c>
      <c r="CD85" s="53" t="s">
        <v>1818</v>
      </c>
      <c r="CE85" s="53" t="s">
        <v>1819</v>
      </c>
      <c r="CF85" s="53" t="s">
        <v>1820</v>
      </c>
      <c r="CG85" s="53" t="s">
        <v>1821</v>
      </c>
      <c r="CH85" s="53" t="s">
        <v>1822</v>
      </c>
      <c r="CI85" s="53" t="s">
        <v>1823</v>
      </c>
      <c r="CJ85" s="53" t="s">
        <v>1824</v>
      </c>
      <c r="CK85" s="53" t="s">
        <v>1825</v>
      </c>
      <c r="CL85" s="53" t="s">
        <v>1826</v>
      </c>
      <c r="CP85" s="9"/>
      <c r="CQ85" s="10"/>
    </row>
    <row r="86" spans="2:96" x14ac:dyDescent="0.15">
      <c r="B86" s="36" t="s">
        <v>65</v>
      </c>
      <c r="C86" s="1" t="s">
        <v>66</v>
      </c>
      <c r="K86" s="1" t="s">
        <v>1765</v>
      </c>
      <c r="L86" s="1" t="s">
        <v>1750</v>
      </c>
      <c r="M86" s="1" t="s">
        <v>358</v>
      </c>
      <c r="N86" s="6">
        <v>10.5</v>
      </c>
      <c r="O86" s="1" t="s">
        <v>4</v>
      </c>
      <c r="P86" s="1">
        <v>300</v>
      </c>
      <c r="Q86" s="1">
        <v>5</v>
      </c>
      <c r="R86" s="1">
        <v>5</v>
      </c>
      <c r="S86" s="1">
        <v>25</v>
      </c>
      <c r="T86" s="1">
        <v>30</v>
      </c>
      <c r="U86" s="253">
        <v>5</v>
      </c>
      <c r="V86" s="1">
        <v>90</v>
      </c>
      <c r="W86" s="44">
        <v>120</v>
      </c>
      <c r="X86" s="40">
        <f>_xlfn.XLOOKUP("Ripening", CropPhenology_ChickpeaKabuli[Main_Stage], CropPhenology_ChickpeaKabuli[Start_GDD], "Not Found")</f>
        <v>1401</v>
      </c>
      <c r="Y86" s="4" cm="1">
        <f t="array" ref="Y86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Z86" s="3">
        <f>MIN(Y86/V86,MAX(X86/W86,R86,(X86/W86+Y86/V86)/2))</f>
        <v>14.8375</v>
      </c>
      <c r="AA86" s="41">
        <f t="shared" ref="AA86:AA88" si="43">Y86/Z86</f>
        <v>109.18281381634372</v>
      </c>
      <c r="AB86" s="1">
        <v>8</v>
      </c>
      <c r="AC86" s="1">
        <v>10</v>
      </c>
      <c r="AD86" s="1">
        <v>5</v>
      </c>
      <c r="AE86" s="1">
        <v>80</v>
      </c>
      <c r="AF86" s="1">
        <v>5</v>
      </c>
      <c r="AG86" s="1">
        <v>5</v>
      </c>
      <c r="AH86" s="3">
        <f t="shared" si="13"/>
        <v>2.0058101851851853</v>
      </c>
      <c r="AI86" s="1">
        <v>6</v>
      </c>
      <c r="AJ86" s="1">
        <v>8</v>
      </c>
      <c r="AK86" s="159">
        <v>1.3</v>
      </c>
      <c r="AL86" s="150">
        <v>0.12</v>
      </c>
      <c r="AM86" s="1">
        <v>350</v>
      </c>
      <c r="AN86" s="1">
        <v>500</v>
      </c>
      <c r="AO86" s="48">
        <v>5</v>
      </c>
      <c r="AP86" s="44">
        <v>80</v>
      </c>
      <c r="AQ86" s="42">
        <v>0.8</v>
      </c>
      <c r="AR86" s="1">
        <v>30</v>
      </c>
      <c r="AS86" s="1">
        <v>12</v>
      </c>
      <c r="AT86" s="1">
        <v>1</v>
      </c>
      <c r="AU86" s="4">
        <f t="shared" ref="AU86:AU145" si="44">IFERROR(10000/(AS86*AR86),0)*AT86</f>
        <v>27.777777777777779</v>
      </c>
      <c r="AV86" s="3">
        <f>ROUND((P86/1000000)*AU86*10000,2)</f>
        <v>83.33</v>
      </c>
      <c r="AW86" s="1">
        <v>85</v>
      </c>
      <c r="AX86" s="3">
        <f t="shared" ref="AX86:AX88" si="45">IFERROR((AU86*AW86/100),0)</f>
        <v>23.611111111111114</v>
      </c>
      <c r="AY86" s="1">
        <v>2</v>
      </c>
      <c r="AZ86" s="4">
        <f t="shared" ref="AZ86:AZ88" si="46">IFERROR(AX86*AY86,0)</f>
        <v>47.222222222222229</v>
      </c>
      <c r="BA86" s="49">
        <v>0.9</v>
      </c>
      <c r="BB86" s="4">
        <f t="shared" ref="BB86:BB145" si="47">IFERROR(AZ86*BA86,0)</f>
        <v>42.500000000000007</v>
      </c>
      <c r="BC86" s="50">
        <v>0.02</v>
      </c>
      <c r="BD86" s="69">
        <f>IFERROR(
  MAX(0.05, MIN(0.5, CropNorms_ChickpeaKabuli[[#This Row],[Leaf_Area_Per_Shoot_m2]] * CropNorms_ChickpeaKabuli[[#This Row],[Shoot_Bearing_m2]] )),
  0.2
)</f>
        <v>0.5</v>
      </c>
      <c r="BE86" s="4">
        <f>_xlfn.XLOOKUP(CropNorms_ChickpeaKabuli[[#This Row],[LAI_Start_BBCH]], CropPhenology_ChickpeaKabuli[Sub_Stage], CropPhenology_ChickpeaKabuli[Start_GDD], "Not Found")</f>
        <v>201</v>
      </c>
      <c r="BF86" s="3">
        <f>ROUND(CropNorms_ChickpeaKabuli[[#This Row],[Shoot_Bearing_m2]]*CropNorms_ChickpeaKabuli[[#This Row],[Leaf_Area_Per_Shoot_m2]],2)</f>
        <v>0.85</v>
      </c>
      <c r="BG86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H86" s="3">
        <f>IF(CropNorms_ChickpeaKabuli[[#This Row],[Max_LAI]]&gt;=1.2, 0.85*CropNorms_ChickpeaKabuli[[#This Row],[Max_LAI]], 1)</f>
        <v>1</v>
      </c>
      <c r="BI86" s="41">
        <f>_xlfn.XLOOKUP(CropNorms_ChickpeaKabuli[[#This Row],[LAI_End_BBCH]], CropPhenology_ChickpeaKabuli[Sub_Stage], CropPhenology_ChickpeaKabuli[End_GDD], "Not Found")</f>
        <v>1400</v>
      </c>
      <c r="BJ86" s="3" cm="1">
        <f t="array" ref="BJ86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K86" s="3" cm="1">
        <f t="array" ref="BK86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0.9335367051756609</v>
      </c>
      <c r="BL86" s="3" cm="1">
        <f t="array" ref="BL86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6" s="3" cm="1">
        <f t="array" ref="BM86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6" s="42">
        <v>0.4</v>
      </c>
      <c r="BO86" s="43">
        <v>0</v>
      </c>
      <c r="BP86" s="42">
        <v>3.04</v>
      </c>
      <c r="BQ86" s="43" t="s">
        <v>1795</v>
      </c>
      <c r="BR86" s="69" t="str" cm="1">
        <f t="array" ref="BR86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6" s="3" t="str" cm="1">
        <f t="array" ref="BS86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86" s="3" t="str" cm="1">
        <f t="array" ref="BT86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86" s="70" t="str" cm="1">
        <f t="array" ref="BU86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86" s="48">
        <v>20</v>
      </c>
      <c r="BW86" s="1">
        <v>40</v>
      </c>
      <c r="BX86" s="44">
        <v>30</v>
      </c>
      <c r="BY86" s="51">
        <v>45945</v>
      </c>
      <c r="BZ86" s="5">
        <v>45976</v>
      </c>
      <c r="CA86" s="85">
        <v>0</v>
      </c>
      <c r="CB86" s="2">
        <v>0</v>
      </c>
      <c r="CC86" s="2">
        <v>1</v>
      </c>
      <c r="CD86" s="2">
        <v>1</v>
      </c>
      <c r="CE86" s="2">
        <v>0</v>
      </c>
      <c r="CF86" s="2">
        <v>1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P86" s="9"/>
      <c r="CQ86" s="10"/>
    </row>
    <row r="87" spans="2:96" x14ac:dyDescent="0.15">
      <c r="B87" s="36" t="s">
        <v>65</v>
      </c>
      <c r="C87" s="1" t="s">
        <v>67</v>
      </c>
      <c r="K87" s="1" t="s">
        <v>1765</v>
      </c>
      <c r="L87" s="1" t="s">
        <v>1750</v>
      </c>
      <c r="M87" s="1" t="s">
        <v>358</v>
      </c>
      <c r="N87" s="6">
        <v>10.5</v>
      </c>
      <c r="O87" s="1" t="s">
        <v>4</v>
      </c>
      <c r="P87" s="1">
        <v>300</v>
      </c>
      <c r="Q87" s="1">
        <v>5</v>
      </c>
      <c r="R87" s="1">
        <v>5</v>
      </c>
      <c r="S87" s="1">
        <v>25</v>
      </c>
      <c r="T87" s="1">
        <v>30</v>
      </c>
      <c r="U87" s="253">
        <v>5</v>
      </c>
      <c r="V87" s="1">
        <v>90</v>
      </c>
      <c r="W87" s="44">
        <v>120</v>
      </c>
      <c r="X87" s="40">
        <f>_xlfn.XLOOKUP("Ripening", CropPhenology_ChickpeaKabuli[Main_Stage], CropPhenology_ChickpeaKabuli[Start_GDD], "Not Found")</f>
        <v>1401</v>
      </c>
      <c r="Y87" s="4" cm="1">
        <f t="array" ref="Y87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Z87" s="3">
        <f>MIN(Y87/V87,MAX(X87/W87,R87,(X87/W87+Y87/V87)/2))</f>
        <v>14.8375</v>
      </c>
      <c r="AA87" s="41">
        <f t="shared" si="43"/>
        <v>109.18281381634372</v>
      </c>
      <c r="AB87" s="1">
        <v>8</v>
      </c>
      <c r="AC87" s="1">
        <v>10</v>
      </c>
      <c r="AD87" s="1">
        <v>5</v>
      </c>
      <c r="AE87" s="1">
        <v>80</v>
      </c>
      <c r="AF87" s="1">
        <v>5</v>
      </c>
      <c r="AG87" s="1">
        <v>5</v>
      </c>
      <c r="AH87" s="3">
        <f t="shared" ref="AH87:AH145" si="48">IFERROR((Y87-X87)/AA87,0)</f>
        <v>2.0058101851851853</v>
      </c>
      <c r="AI87" s="1">
        <v>6</v>
      </c>
      <c r="AJ87" s="1">
        <v>8</v>
      </c>
      <c r="AK87" s="159">
        <v>1.3</v>
      </c>
      <c r="AL87" s="150">
        <v>0.12</v>
      </c>
      <c r="AM87" s="1">
        <v>350</v>
      </c>
      <c r="AN87" s="1">
        <v>500</v>
      </c>
      <c r="AO87" s="48">
        <v>5</v>
      </c>
      <c r="AP87" s="44">
        <v>80</v>
      </c>
      <c r="AQ87" s="42">
        <v>0.85</v>
      </c>
      <c r="AR87" s="1">
        <v>30</v>
      </c>
      <c r="AS87" s="1">
        <v>12</v>
      </c>
      <c r="AT87" s="1">
        <v>1</v>
      </c>
      <c r="AU87" s="4">
        <f t="shared" si="44"/>
        <v>27.777777777777779</v>
      </c>
      <c r="AV87" s="3">
        <f>ROUND((P87/1000000)*AU87*10000,2)</f>
        <v>83.33</v>
      </c>
      <c r="AW87" s="1">
        <v>85</v>
      </c>
      <c r="AX87" s="3">
        <f t="shared" si="45"/>
        <v>23.611111111111114</v>
      </c>
      <c r="AY87" s="1">
        <v>2</v>
      </c>
      <c r="AZ87" s="4">
        <f t="shared" si="46"/>
        <v>47.222222222222229</v>
      </c>
      <c r="BA87" s="49">
        <v>0.9</v>
      </c>
      <c r="BB87" s="4">
        <f t="shared" si="47"/>
        <v>42.500000000000007</v>
      </c>
      <c r="BC87" s="50">
        <v>0.02</v>
      </c>
      <c r="BD87" s="69">
        <f>IFERROR(
  MAX(0.05, MIN(0.5, CropNorms_ChickpeaKabuli[[#This Row],[Leaf_Area_Per_Shoot_m2]] * CropNorms_ChickpeaKabuli[[#This Row],[Shoot_Bearing_m2]] )),
  0.2
)</f>
        <v>0.5</v>
      </c>
      <c r="BE87" s="4">
        <f>_xlfn.XLOOKUP(CropNorms_ChickpeaKabuli[[#This Row],[LAI_Start_BBCH]], CropPhenology_ChickpeaKabuli[Sub_Stage], CropPhenology_ChickpeaKabuli[Start_GDD], "Not Found")</f>
        <v>201</v>
      </c>
      <c r="BF87" s="3">
        <f>ROUND(CropNorms_ChickpeaKabuli[[#This Row],[Shoot_Bearing_m2]]*CropNorms_ChickpeaKabuli[[#This Row],[Leaf_Area_Per_Shoot_m2]],2)</f>
        <v>0.85</v>
      </c>
      <c r="BG87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H87" s="3">
        <f>IF(CropNorms_ChickpeaKabuli[[#This Row],[Max_LAI]]&gt;=1.2, 0.85*CropNorms_ChickpeaKabuli[[#This Row],[Max_LAI]], 1)</f>
        <v>1</v>
      </c>
      <c r="BI87" s="41">
        <f>_xlfn.XLOOKUP(CropNorms_ChickpeaKabuli[[#This Row],[LAI_End_BBCH]], CropPhenology_ChickpeaKabuli[Sub_Stage], CropPhenology_ChickpeaKabuli[End_GDD], "Not Found")</f>
        <v>1400</v>
      </c>
      <c r="BJ87" s="3" cm="1">
        <f t="array" ref="BJ87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K87" s="3" cm="1">
        <f t="array" ref="BK87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0.9335367051756609</v>
      </c>
      <c r="BL87" s="3" cm="1">
        <f t="array" ref="BL87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7" s="3" cm="1">
        <f t="array" ref="BM87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7" s="42">
        <v>0.4</v>
      </c>
      <c r="BO87" s="43">
        <v>0</v>
      </c>
      <c r="BP87" s="42">
        <v>3.04</v>
      </c>
      <c r="BQ87" s="43" t="s">
        <v>1795</v>
      </c>
      <c r="BR87" s="69" t="str" cm="1">
        <f t="array" ref="BR87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7" s="3" t="str" cm="1">
        <f t="array" ref="BS87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87" s="3" t="str" cm="1">
        <f t="array" ref="BT87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87" s="70" t="str" cm="1">
        <f t="array" ref="BU87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87" s="48">
        <v>20</v>
      </c>
      <c r="BW87" s="1">
        <v>40</v>
      </c>
      <c r="BX87" s="44">
        <v>30</v>
      </c>
      <c r="BY87" s="51">
        <v>45945</v>
      </c>
      <c r="BZ87" s="5">
        <v>45976</v>
      </c>
      <c r="CA87" s="85">
        <v>0</v>
      </c>
      <c r="CB87" s="2">
        <v>0</v>
      </c>
      <c r="CC87" s="2">
        <v>1</v>
      </c>
      <c r="CD87" s="2">
        <v>1</v>
      </c>
      <c r="CE87" s="2">
        <v>0</v>
      </c>
      <c r="CF87" s="2">
        <v>1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P87" s="9"/>
      <c r="CQ87" s="10"/>
    </row>
    <row r="88" spans="2:96" ht="11.25" thickBot="1" x14ac:dyDescent="0.2">
      <c r="B88" s="36" t="s">
        <v>65</v>
      </c>
      <c r="C88" s="1" t="s">
        <v>68</v>
      </c>
      <c r="K88" s="1" t="s">
        <v>1765</v>
      </c>
      <c r="L88" s="1" t="s">
        <v>1750</v>
      </c>
      <c r="M88" s="1" t="s">
        <v>358</v>
      </c>
      <c r="N88" s="6">
        <v>10.5</v>
      </c>
      <c r="O88" s="1" t="s">
        <v>2</v>
      </c>
      <c r="P88" s="1">
        <v>300</v>
      </c>
      <c r="Q88" s="1">
        <v>5</v>
      </c>
      <c r="R88" s="1">
        <v>5</v>
      </c>
      <c r="S88" s="1">
        <v>25</v>
      </c>
      <c r="T88" s="1">
        <v>30</v>
      </c>
      <c r="U88" s="254">
        <v>5</v>
      </c>
      <c r="V88" s="1">
        <v>90</v>
      </c>
      <c r="W88" s="44">
        <v>120</v>
      </c>
      <c r="X88" s="40">
        <f>_xlfn.XLOOKUP("Ripening", CropPhenology_ChickpeaKabuli[Main_Stage], CropPhenology_ChickpeaKabuli[Start_GDD], "Not Found")</f>
        <v>1401</v>
      </c>
      <c r="Y88" s="4" cm="1">
        <f t="array" ref="Y88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Z88" s="3">
        <f>MIN(Y88/V88,MAX(X88/W88,R88,(X88/W88+Y88/V88)/2))</f>
        <v>14.8375</v>
      </c>
      <c r="AA88" s="41">
        <f t="shared" si="43"/>
        <v>109.18281381634372</v>
      </c>
      <c r="AB88" s="1">
        <v>8</v>
      </c>
      <c r="AC88" s="1">
        <v>10</v>
      </c>
      <c r="AD88" s="1">
        <v>5</v>
      </c>
      <c r="AE88" s="1">
        <v>80</v>
      </c>
      <c r="AF88" s="1">
        <v>5</v>
      </c>
      <c r="AG88" s="1">
        <v>5</v>
      </c>
      <c r="AH88" s="3">
        <f t="shared" si="48"/>
        <v>2.0058101851851853</v>
      </c>
      <c r="AI88" s="1">
        <v>6</v>
      </c>
      <c r="AJ88" s="1">
        <v>8</v>
      </c>
      <c r="AK88" s="160">
        <v>1.3</v>
      </c>
      <c r="AL88" s="161">
        <v>0.12</v>
      </c>
      <c r="AM88" s="1">
        <v>350</v>
      </c>
      <c r="AN88" s="1">
        <v>500</v>
      </c>
      <c r="AO88" s="48">
        <v>5</v>
      </c>
      <c r="AP88" s="44">
        <v>80</v>
      </c>
      <c r="AQ88" s="42">
        <v>0.75</v>
      </c>
      <c r="AR88" s="1">
        <v>30</v>
      </c>
      <c r="AS88" s="1">
        <v>12</v>
      </c>
      <c r="AT88" s="1">
        <v>1</v>
      </c>
      <c r="AU88" s="4">
        <f t="shared" si="44"/>
        <v>27.777777777777779</v>
      </c>
      <c r="AV88" s="3">
        <f>ROUND((P88/1000000)*AU88*10000,2)</f>
        <v>83.33</v>
      </c>
      <c r="AW88" s="1">
        <v>85</v>
      </c>
      <c r="AX88" s="3">
        <f t="shared" si="45"/>
        <v>23.611111111111114</v>
      </c>
      <c r="AY88" s="1">
        <v>2</v>
      </c>
      <c r="AZ88" s="4">
        <f t="shared" si="46"/>
        <v>47.222222222222229</v>
      </c>
      <c r="BA88" s="49">
        <v>0.9</v>
      </c>
      <c r="BB88" s="4">
        <f t="shared" si="47"/>
        <v>42.500000000000007</v>
      </c>
      <c r="BC88" s="50">
        <v>0.02</v>
      </c>
      <c r="BD88" s="69">
        <f>IFERROR(
  MAX(0.05, MIN(0.5, CropNorms_ChickpeaKabuli[[#This Row],[Leaf_Area_Per_Shoot_m2]] * CropNorms_ChickpeaKabuli[[#This Row],[Shoot_Bearing_m2]] )),
  0.2
)</f>
        <v>0.5</v>
      </c>
      <c r="BE88" s="4">
        <f>_xlfn.XLOOKUP(CropNorms_ChickpeaKabuli[[#This Row],[LAI_Start_BBCH]], CropPhenology_ChickpeaKabuli[Sub_Stage], CropPhenology_ChickpeaKabuli[Start_GDD], "Not Found")</f>
        <v>201</v>
      </c>
      <c r="BF88" s="3">
        <f>ROUND(CropNorms_ChickpeaKabuli[[#This Row],[Shoot_Bearing_m2]]*CropNorms_ChickpeaKabuli[[#This Row],[Leaf_Area_Per_Shoot_m2]],2)</f>
        <v>0.85</v>
      </c>
      <c r="BG88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H88" s="3">
        <f>IF(CropNorms_ChickpeaKabuli[[#This Row],[Max_LAI]]&gt;=1.2, 0.85*CropNorms_ChickpeaKabuli[[#This Row],[Max_LAI]], 1)</f>
        <v>1</v>
      </c>
      <c r="BI88" s="41">
        <f>_xlfn.XLOOKUP(CropNorms_ChickpeaKabuli[[#This Row],[LAI_End_BBCH]], CropPhenology_ChickpeaKabuli[Sub_Stage], CropPhenology_ChickpeaKabuli[End_GDD], "Not Found")</f>
        <v>1400</v>
      </c>
      <c r="BJ88" s="3" cm="1">
        <f t="array" ref="BJ88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K88" s="3" cm="1">
        <f t="array" ref="BK88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0.9335367051756609</v>
      </c>
      <c r="BL88" s="3" cm="1">
        <f t="array" ref="BL88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88" s="3" cm="1">
        <f t="array" ref="BM88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88" s="42">
        <v>0.4</v>
      </c>
      <c r="BO88" s="43">
        <v>0</v>
      </c>
      <c r="BP88" s="42">
        <v>1.83</v>
      </c>
      <c r="BQ88" s="43" t="s">
        <v>1795</v>
      </c>
      <c r="BR88" s="69" t="str" cm="1">
        <f t="array" ref="BR88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88" s="3" t="str" cm="1">
        <f t="array" ref="BS88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88" s="3" t="str" cm="1">
        <f t="array" ref="BT88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88" s="70" t="str" cm="1">
        <f t="array" ref="BU88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88" s="48">
        <v>20</v>
      </c>
      <c r="BW88" s="1">
        <v>40</v>
      </c>
      <c r="BX88" s="44">
        <v>30</v>
      </c>
      <c r="BY88" s="51">
        <v>45945</v>
      </c>
      <c r="BZ88" s="5">
        <v>45976</v>
      </c>
      <c r="CA88" s="85">
        <v>0</v>
      </c>
      <c r="CB88" s="2">
        <v>0</v>
      </c>
      <c r="CC88" s="2">
        <v>1</v>
      </c>
      <c r="CD88" s="2">
        <v>1</v>
      </c>
      <c r="CE88" s="2">
        <v>0</v>
      </c>
      <c r="CF88" s="2">
        <v>1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P88" s="9"/>
      <c r="CQ88" s="10"/>
    </row>
    <row r="89" spans="2:96" ht="11.25" thickBot="1" x14ac:dyDescent="0.2">
      <c r="Y89" s="3"/>
      <c r="Z89" s="4"/>
      <c r="AG89" s="3"/>
      <c r="AR89" s="4"/>
      <c r="AS89" s="3"/>
      <c r="AU89" s="3"/>
      <c r="AW89" s="4"/>
      <c r="AX89" s="49"/>
      <c r="AY89" s="4"/>
      <c r="BV89" s="51"/>
      <c r="BW89" s="51"/>
      <c r="CO89" s="103"/>
      <c r="CP89" s="9"/>
      <c r="CQ89" s="10"/>
    </row>
    <row r="90" spans="2:96" ht="11.25" thickBot="1" x14ac:dyDescent="0.2">
      <c r="B90" s="54" t="s">
        <v>1753</v>
      </c>
      <c r="C90" s="53" t="s">
        <v>1754</v>
      </c>
      <c r="D90" s="53" t="s">
        <v>1804</v>
      </c>
      <c r="E90" s="53" t="s">
        <v>1805</v>
      </c>
      <c r="F90" s="53" t="s">
        <v>1806</v>
      </c>
      <c r="G90" s="53" t="s">
        <v>1807</v>
      </c>
      <c r="H90" s="53" t="s">
        <v>1808</v>
      </c>
      <c r="I90" s="53" t="s">
        <v>1809</v>
      </c>
      <c r="J90" s="53" t="s">
        <v>1810</v>
      </c>
      <c r="K90" s="53" t="s">
        <v>1747</v>
      </c>
      <c r="L90" s="54" t="s">
        <v>1749</v>
      </c>
      <c r="M90" s="53" t="s">
        <v>357</v>
      </c>
      <c r="N90" s="55" t="s">
        <v>692</v>
      </c>
      <c r="O90" s="53" t="s">
        <v>325</v>
      </c>
      <c r="P90" s="53" t="s">
        <v>356</v>
      </c>
      <c r="Q90" s="53" t="s">
        <v>326</v>
      </c>
      <c r="R90" s="53" t="s">
        <v>327</v>
      </c>
      <c r="S90" s="53" t="s">
        <v>328</v>
      </c>
      <c r="T90" s="53" t="s">
        <v>329</v>
      </c>
      <c r="U90" s="250" t="s">
        <v>2349</v>
      </c>
      <c r="V90" s="53" t="s">
        <v>330</v>
      </c>
      <c r="W90" s="53" t="s">
        <v>331</v>
      </c>
      <c r="X90" s="56" t="s">
        <v>354</v>
      </c>
      <c r="Y90" s="57" t="s">
        <v>355</v>
      </c>
      <c r="Z90" s="58" t="s">
        <v>413</v>
      </c>
      <c r="AA90" s="59" t="s">
        <v>583</v>
      </c>
      <c r="AB90" s="53" t="s">
        <v>324</v>
      </c>
      <c r="AC90" s="53" t="s">
        <v>332</v>
      </c>
      <c r="AD90" s="53" t="s">
        <v>333</v>
      </c>
      <c r="AE90" s="53" t="s">
        <v>334</v>
      </c>
      <c r="AF90" s="53" t="s">
        <v>335</v>
      </c>
      <c r="AG90" s="53" t="s">
        <v>336</v>
      </c>
      <c r="AH90" s="60" t="s">
        <v>337</v>
      </c>
      <c r="AI90" s="53" t="s">
        <v>338</v>
      </c>
      <c r="AJ90" s="53" t="s">
        <v>339</v>
      </c>
      <c r="AK90" s="157" t="s">
        <v>2346</v>
      </c>
      <c r="AL90" s="158" t="s">
        <v>2347</v>
      </c>
      <c r="AM90" s="53" t="s">
        <v>340</v>
      </c>
      <c r="AN90" s="53" t="s">
        <v>341</v>
      </c>
      <c r="AO90" s="61" t="s">
        <v>342</v>
      </c>
      <c r="AP90" s="62" t="s">
        <v>343</v>
      </c>
      <c r="AQ90" s="55" t="s">
        <v>344</v>
      </c>
      <c r="AR90" s="53" t="s">
        <v>345</v>
      </c>
      <c r="AS90" s="53" t="s">
        <v>346</v>
      </c>
      <c r="AT90" s="53" t="s">
        <v>364</v>
      </c>
      <c r="AU90" s="60" t="s">
        <v>347</v>
      </c>
      <c r="AV90" s="58" t="s">
        <v>363</v>
      </c>
      <c r="AW90" s="53" t="s">
        <v>348</v>
      </c>
      <c r="AX90" s="58" t="s">
        <v>349</v>
      </c>
      <c r="AY90" s="53" t="s">
        <v>366</v>
      </c>
      <c r="AZ90" s="60" t="s">
        <v>350</v>
      </c>
      <c r="BA90" s="53" t="s">
        <v>365</v>
      </c>
      <c r="BB90" s="60" t="s">
        <v>1827</v>
      </c>
      <c r="BC90" s="63" t="s">
        <v>351</v>
      </c>
      <c r="BD90" s="71" t="s">
        <v>1811</v>
      </c>
      <c r="BE90" s="57" t="s">
        <v>352</v>
      </c>
      <c r="BF90" s="58" t="s">
        <v>1812</v>
      </c>
      <c r="BG90" s="57" t="s">
        <v>1752</v>
      </c>
      <c r="BH90" s="60" t="s">
        <v>1813</v>
      </c>
      <c r="BI90" s="59" t="s">
        <v>353</v>
      </c>
      <c r="BJ90" s="71" t="s">
        <v>1828</v>
      </c>
      <c r="BK90" s="58" t="s">
        <v>1829</v>
      </c>
      <c r="BL90" s="58" t="s">
        <v>1830</v>
      </c>
      <c r="BM90" s="72" t="s">
        <v>1831</v>
      </c>
      <c r="BN90" s="64" t="s">
        <v>1154</v>
      </c>
      <c r="BO90" s="65" t="s">
        <v>1742</v>
      </c>
      <c r="BP90" s="64" t="s">
        <v>1155</v>
      </c>
      <c r="BQ90" s="65" t="s">
        <v>1755</v>
      </c>
      <c r="BR90" s="71" t="s">
        <v>367</v>
      </c>
      <c r="BS90" s="58" t="s">
        <v>1751</v>
      </c>
      <c r="BT90" s="58" t="s">
        <v>368</v>
      </c>
      <c r="BU90" s="156" t="s">
        <v>1814</v>
      </c>
      <c r="BV90" s="61" t="s">
        <v>369</v>
      </c>
      <c r="BW90" s="53" t="s">
        <v>370</v>
      </c>
      <c r="BX90" s="62" t="s">
        <v>371</v>
      </c>
      <c r="BY90" s="53" t="s">
        <v>359</v>
      </c>
      <c r="BZ90" s="53" t="s">
        <v>361</v>
      </c>
      <c r="CA90" s="61" t="s">
        <v>1815</v>
      </c>
      <c r="CB90" s="53" t="s">
        <v>1816</v>
      </c>
      <c r="CC90" s="53" t="s">
        <v>1817</v>
      </c>
      <c r="CD90" s="53" t="s">
        <v>1818</v>
      </c>
      <c r="CE90" s="53" t="s">
        <v>1819</v>
      </c>
      <c r="CF90" s="53" t="s">
        <v>1820</v>
      </c>
      <c r="CG90" s="53" t="s">
        <v>1821</v>
      </c>
      <c r="CH90" s="53" t="s">
        <v>1822</v>
      </c>
      <c r="CI90" s="53" t="s">
        <v>1823</v>
      </c>
      <c r="CJ90" s="53" t="s">
        <v>1824</v>
      </c>
      <c r="CK90" s="53" t="s">
        <v>1825</v>
      </c>
      <c r="CL90" s="53" t="s">
        <v>1826</v>
      </c>
      <c r="CO90" s="103"/>
      <c r="CP90" s="9"/>
      <c r="CQ90" s="10"/>
    </row>
    <row r="91" spans="2:96" x14ac:dyDescent="0.15">
      <c r="B91" s="36" t="s">
        <v>1772</v>
      </c>
      <c r="C91" s="1" t="s">
        <v>69</v>
      </c>
      <c r="K91" s="1" t="s">
        <v>1767</v>
      </c>
      <c r="L91" s="1" t="s">
        <v>1750</v>
      </c>
      <c r="M91" s="1" t="s">
        <v>372</v>
      </c>
      <c r="N91" s="6">
        <v>12</v>
      </c>
      <c r="O91" s="1" t="s">
        <v>4</v>
      </c>
      <c r="P91" s="1">
        <v>2.5</v>
      </c>
      <c r="Q91" s="1">
        <v>5</v>
      </c>
      <c r="R91" s="1">
        <v>5</v>
      </c>
      <c r="S91" s="1">
        <v>20</v>
      </c>
      <c r="T91" s="1">
        <v>30</v>
      </c>
      <c r="U91" s="253">
        <v>3</v>
      </c>
      <c r="V91" s="1">
        <v>80</v>
      </c>
      <c r="W91" s="44">
        <v>120</v>
      </c>
      <c r="X91" s="40">
        <f>_xlfn.XLOOKUP("Ripening", CropPhenology_CorianderSeed[Main_Stage], CropPhenology_CorianderSeed[Start_GDD], "Not Found")</f>
        <v>1351</v>
      </c>
      <c r="Y91" s="4" cm="1">
        <f t="array" ref="Y91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Z91" s="3">
        <f>MIN(Y91/V91,MAX(X91/W91,R91,(X91/W91+Y91/V91)/2))</f>
        <v>16.254166666666666</v>
      </c>
      <c r="AA91" s="41">
        <f t="shared" ref="AA91:AA93" si="49">Y91/Z91</f>
        <v>104.58856703409383</v>
      </c>
      <c r="AB91" s="1">
        <v>8</v>
      </c>
      <c r="AC91" s="1">
        <v>12</v>
      </c>
      <c r="AD91" s="1">
        <v>4</v>
      </c>
      <c r="AE91" s="1">
        <v>80</v>
      </c>
      <c r="AF91" s="1">
        <v>8</v>
      </c>
      <c r="AG91" s="1">
        <v>5</v>
      </c>
      <c r="AH91" s="3">
        <f t="shared" si="48"/>
        <v>3.3368848039215684</v>
      </c>
      <c r="AI91" s="1">
        <v>6</v>
      </c>
      <c r="AJ91" s="1">
        <v>8</v>
      </c>
      <c r="AK91" s="159">
        <v>1.5</v>
      </c>
      <c r="AL91" s="150">
        <v>0.12</v>
      </c>
      <c r="AM91" s="1">
        <v>350</v>
      </c>
      <c r="AN91" s="1">
        <v>450</v>
      </c>
      <c r="AO91" s="48">
        <v>1.5</v>
      </c>
      <c r="AP91" s="44">
        <v>30</v>
      </c>
      <c r="AQ91" s="42">
        <v>0.75</v>
      </c>
      <c r="AR91" s="1">
        <v>25</v>
      </c>
      <c r="AS91" s="1">
        <v>15</v>
      </c>
      <c r="AT91" s="1">
        <v>1</v>
      </c>
      <c r="AU91" s="4">
        <f t="shared" si="44"/>
        <v>26.666666666666668</v>
      </c>
      <c r="AV91" s="3">
        <f>ROUND((P91/1000000)*AU91*10000,2)</f>
        <v>0.67</v>
      </c>
      <c r="AW91" s="1">
        <v>85</v>
      </c>
      <c r="AX91" s="3">
        <f t="shared" ref="AX91:AX93" si="50">IFERROR((AU91*AW91/100),0)</f>
        <v>22.666666666666671</v>
      </c>
      <c r="AY91" s="1">
        <v>2</v>
      </c>
      <c r="AZ91" s="4">
        <f t="shared" ref="AZ91:AZ93" si="51">IFERROR(AX91*AY91,0)</f>
        <v>45.333333333333343</v>
      </c>
      <c r="BA91" s="49">
        <v>0.9</v>
      </c>
      <c r="BB91" s="4">
        <f t="shared" si="47"/>
        <v>40.800000000000011</v>
      </c>
      <c r="BC91" s="50">
        <v>7.3499999999999996E-2</v>
      </c>
      <c r="BD91" s="69">
        <f>IFERROR(
  MAX(0.05, MIN(0.5, CropNorms_CorianderSeed[[#This Row],[Leaf_Area_Per_Shoot_m2]] * CropNorms_CorianderSeed[[#This Row],[Shoot_Bearing_m2]] )),
  0.2
)</f>
        <v>0.5</v>
      </c>
      <c r="BE91" s="4">
        <f>_xlfn.XLOOKUP(CropNorms_CorianderSeed[[#This Row],[LAI_Start_BBCH]], CropPhenology_CorianderSeed[Sub_Stage], CropPhenology_CorianderSeed[Start_GDD], "Not Found")</f>
        <v>136</v>
      </c>
      <c r="BF91" s="3">
        <f>ROUND(CropNorms_CorianderSeed[[#This Row],[Shoot_Bearing_m2]]*CropNorms_CorianderSeed[[#This Row],[Leaf_Area_Per_Shoot_m2]],2)</f>
        <v>3</v>
      </c>
      <c r="BG91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H91" s="3">
        <f>IF(CropNorms_CorianderSeed[[#This Row],[Max_LAI]]&gt;=1.2, 0.85*CropNorms_CorianderSeed[[#This Row],[Max_LAI]], 1)</f>
        <v>2.5499999999999998</v>
      </c>
      <c r="BI91" s="41">
        <f>_xlfn.XLOOKUP(CropNorms_CorianderSeed[[#This Row],[LAI_End_BBCH]], CropPhenology_CorianderSeed[Sub_Stage], CropPhenology_CorianderSeed[End_GDD], "Not Found")</f>
        <v>1350</v>
      </c>
      <c r="BJ91" s="3" cm="1">
        <f t="array" ref="BJ91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K91" s="3" cm="1">
        <f t="array" ref="BK9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0.94554150797319991</v>
      </c>
      <c r="BL91" s="3" cm="1">
        <f t="array" ref="BL91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1.3740626759419983</v>
      </c>
      <c r="BM91" s="3" cm="1">
        <f t="array" ref="BM9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1" s="42">
        <v>0.4</v>
      </c>
      <c r="BO91" s="43">
        <v>0</v>
      </c>
      <c r="BP91" s="42">
        <v>2.41</v>
      </c>
      <c r="BQ91" s="43" t="s">
        <v>1788</v>
      </c>
      <c r="BR91" s="69" t="str" cm="1">
        <f t="array" ref="BR9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1" s="3" t="str" cm="1">
        <f t="array" ref="BS9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T91" s="3" t="str" cm="1">
        <f t="array" ref="BT91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91" s="70" t="str" cm="1">
        <f t="array" ref="BU91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91" s="48">
        <v>70</v>
      </c>
      <c r="BW91" s="1">
        <v>50</v>
      </c>
      <c r="BX91" s="44">
        <v>30</v>
      </c>
      <c r="BY91" s="51">
        <v>45901</v>
      </c>
      <c r="BZ91" s="5">
        <v>45961</v>
      </c>
      <c r="CA91" s="85">
        <v>0</v>
      </c>
      <c r="CB91" s="2">
        <v>0</v>
      </c>
      <c r="CC91" s="2">
        <v>1</v>
      </c>
      <c r="CD91" s="2">
        <v>1</v>
      </c>
      <c r="CE91" s="2">
        <v>1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O91" s="103"/>
      <c r="CP91" s="9"/>
      <c r="CQ91" s="10"/>
    </row>
    <row r="92" spans="2:96" x14ac:dyDescent="0.15">
      <c r="B92" s="36" t="s">
        <v>1772</v>
      </c>
      <c r="C92" s="1" t="s">
        <v>70</v>
      </c>
      <c r="K92" s="1" t="s">
        <v>1767</v>
      </c>
      <c r="L92" s="1" t="s">
        <v>1750</v>
      </c>
      <c r="M92" s="1" t="s">
        <v>372</v>
      </c>
      <c r="N92" s="6">
        <v>12</v>
      </c>
      <c r="O92" s="1" t="s">
        <v>4</v>
      </c>
      <c r="P92" s="1">
        <v>2.5</v>
      </c>
      <c r="Q92" s="1">
        <v>5</v>
      </c>
      <c r="R92" s="1">
        <v>5</v>
      </c>
      <c r="S92" s="1">
        <v>20</v>
      </c>
      <c r="T92" s="1">
        <v>30</v>
      </c>
      <c r="U92" s="253">
        <v>3</v>
      </c>
      <c r="V92" s="1">
        <v>80</v>
      </c>
      <c r="W92" s="44">
        <v>120</v>
      </c>
      <c r="X92" s="40">
        <f>_xlfn.XLOOKUP("Ripening", CropPhenology_CorianderSeed[Main_Stage], CropPhenology_CorianderSeed[Start_GDD], "Not Found")</f>
        <v>1351</v>
      </c>
      <c r="Y92" s="4" cm="1">
        <f t="array" ref="Y92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Z92" s="3">
        <f>MIN(Y92/V92,MAX(X92/W92,R92,(X92/W92+Y92/V92)/2))</f>
        <v>16.254166666666666</v>
      </c>
      <c r="AA92" s="41">
        <f t="shared" si="49"/>
        <v>104.58856703409383</v>
      </c>
      <c r="AB92" s="1">
        <v>8</v>
      </c>
      <c r="AC92" s="1">
        <v>12</v>
      </c>
      <c r="AD92" s="1">
        <v>4</v>
      </c>
      <c r="AE92" s="1">
        <v>80</v>
      </c>
      <c r="AF92" s="1">
        <v>8</v>
      </c>
      <c r="AG92" s="1">
        <v>5</v>
      </c>
      <c r="AH92" s="3">
        <f t="shared" si="48"/>
        <v>3.3368848039215684</v>
      </c>
      <c r="AI92" s="1">
        <v>6</v>
      </c>
      <c r="AJ92" s="1">
        <v>8</v>
      </c>
      <c r="AK92" s="159">
        <v>1.5</v>
      </c>
      <c r="AL92" s="150">
        <v>0.12</v>
      </c>
      <c r="AM92" s="1">
        <v>350</v>
      </c>
      <c r="AN92" s="1">
        <v>450</v>
      </c>
      <c r="AO92" s="48">
        <v>1.5</v>
      </c>
      <c r="AP92" s="44">
        <v>30</v>
      </c>
      <c r="AQ92" s="42">
        <v>0.7</v>
      </c>
      <c r="AR92" s="1">
        <v>25</v>
      </c>
      <c r="AS92" s="1">
        <v>15</v>
      </c>
      <c r="AT92" s="1">
        <v>1</v>
      </c>
      <c r="AU92" s="4">
        <f t="shared" si="44"/>
        <v>26.666666666666668</v>
      </c>
      <c r="AV92" s="3">
        <f>ROUND((P92/1000000)*AU92*10000,2)</f>
        <v>0.67</v>
      </c>
      <c r="AW92" s="1">
        <v>85</v>
      </c>
      <c r="AX92" s="3">
        <f t="shared" si="50"/>
        <v>22.666666666666671</v>
      </c>
      <c r="AY92" s="1">
        <v>2</v>
      </c>
      <c r="AZ92" s="4">
        <f t="shared" si="51"/>
        <v>45.333333333333343</v>
      </c>
      <c r="BA92" s="49">
        <v>0.9</v>
      </c>
      <c r="BB92" s="4">
        <f t="shared" si="47"/>
        <v>40.800000000000011</v>
      </c>
      <c r="BC92" s="50">
        <v>7.3499999999999996E-2</v>
      </c>
      <c r="BD92" s="69">
        <f>IFERROR(
  MAX(0.05, MIN(0.5, CropNorms_CorianderSeed[[#This Row],[Leaf_Area_Per_Shoot_m2]] * CropNorms_CorianderSeed[[#This Row],[Shoot_Bearing_m2]] )),
  0.2
)</f>
        <v>0.5</v>
      </c>
      <c r="BE92" s="4">
        <f>_xlfn.XLOOKUP(CropNorms_CorianderSeed[[#This Row],[LAI_Start_BBCH]], CropPhenology_CorianderSeed[Sub_Stage], CropPhenology_CorianderSeed[Start_GDD], "Not Found")</f>
        <v>136</v>
      </c>
      <c r="BF92" s="3">
        <f>ROUND(CropNorms_CorianderSeed[[#This Row],[Shoot_Bearing_m2]]*CropNorms_CorianderSeed[[#This Row],[Leaf_Area_Per_Shoot_m2]],2)</f>
        <v>3</v>
      </c>
      <c r="BG92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H92" s="3">
        <f>IF(CropNorms_CorianderSeed[[#This Row],[Max_LAI]]&gt;=1.2, 0.85*CropNorms_CorianderSeed[[#This Row],[Max_LAI]], 1)</f>
        <v>2.5499999999999998</v>
      </c>
      <c r="BI92" s="41">
        <f>_xlfn.XLOOKUP(CropNorms_CorianderSeed[[#This Row],[LAI_End_BBCH]], CropPhenology_CorianderSeed[Sub_Stage], CropPhenology_CorianderSeed[End_GDD], "Not Found")</f>
        <v>1350</v>
      </c>
      <c r="BJ92" s="3" cm="1">
        <f t="array" ref="BJ92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K92" s="3" cm="1">
        <f t="array" ref="BK92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0.94554150797319991</v>
      </c>
      <c r="BL92" s="3" cm="1">
        <f t="array" ref="BL92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1.3740626759419983</v>
      </c>
      <c r="BM92" s="3" cm="1">
        <f t="array" ref="BM92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2" s="42">
        <v>0.4</v>
      </c>
      <c r="BO92" s="43">
        <v>0</v>
      </c>
      <c r="BP92" s="42">
        <v>2.41</v>
      </c>
      <c r="BQ92" s="43" t="s">
        <v>1788</v>
      </c>
      <c r="BR92" s="69" t="str" cm="1">
        <f t="array" ref="BR92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2" s="3" t="str" cm="1">
        <f t="array" ref="BS92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T92" s="3" t="str" cm="1">
        <f t="array" ref="BT92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92" s="70" t="str" cm="1">
        <f t="array" ref="BU92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92" s="48">
        <v>70</v>
      </c>
      <c r="BW92" s="1">
        <v>50</v>
      </c>
      <c r="BX92" s="44">
        <v>30</v>
      </c>
      <c r="BY92" s="51">
        <v>45901</v>
      </c>
      <c r="BZ92" s="5">
        <v>45961</v>
      </c>
      <c r="CA92" s="85">
        <v>0</v>
      </c>
      <c r="CB92" s="2">
        <v>0</v>
      </c>
      <c r="CC92" s="2">
        <v>1</v>
      </c>
      <c r="CD92" s="2">
        <v>1</v>
      </c>
      <c r="CE92" s="2">
        <v>1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O92" s="103"/>
      <c r="CP92" s="9"/>
      <c r="CQ92" s="10"/>
    </row>
    <row r="93" spans="2:96" ht="11.25" thickBot="1" x14ac:dyDescent="0.2">
      <c r="B93" s="36" t="s">
        <v>1772</v>
      </c>
      <c r="C93" s="1" t="s">
        <v>71</v>
      </c>
      <c r="K93" s="1" t="s">
        <v>1767</v>
      </c>
      <c r="L93" s="1" t="s">
        <v>1750</v>
      </c>
      <c r="M93" s="1" t="s">
        <v>372</v>
      </c>
      <c r="N93" s="6">
        <v>12</v>
      </c>
      <c r="O93" s="1" t="s">
        <v>4</v>
      </c>
      <c r="P93" s="1">
        <v>2.5</v>
      </c>
      <c r="Q93" s="1">
        <v>5</v>
      </c>
      <c r="R93" s="1">
        <v>5</v>
      </c>
      <c r="S93" s="1">
        <v>20</v>
      </c>
      <c r="T93" s="1">
        <v>30</v>
      </c>
      <c r="U93" s="254">
        <v>3</v>
      </c>
      <c r="V93" s="1">
        <v>80</v>
      </c>
      <c r="W93" s="44">
        <v>120</v>
      </c>
      <c r="X93" s="40">
        <f>_xlfn.XLOOKUP("Ripening", CropPhenology_CorianderSeed[Main_Stage], CropPhenology_CorianderSeed[Start_GDD], "Not Found")</f>
        <v>1351</v>
      </c>
      <c r="Y93" s="4" cm="1">
        <f t="array" ref="Y93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Z93" s="3">
        <f>MIN(Y93/V93,MAX(X93/W93,R93,(X93/W93+Y93/V93)/2))</f>
        <v>16.254166666666666</v>
      </c>
      <c r="AA93" s="41">
        <f t="shared" si="49"/>
        <v>104.58856703409383</v>
      </c>
      <c r="AB93" s="1">
        <v>8</v>
      </c>
      <c r="AC93" s="1">
        <v>12</v>
      </c>
      <c r="AD93" s="1">
        <v>4</v>
      </c>
      <c r="AE93" s="1">
        <v>80</v>
      </c>
      <c r="AF93" s="1">
        <v>8</v>
      </c>
      <c r="AG93" s="1">
        <v>5</v>
      </c>
      <c r="AH93" s="3">
        <f t="shared" si="48"/>
        <v>3.3368848039215684</v>
      </c>
      <c r="AI93" s="1">
        <v>6</v>
      </c>
      <c r="AJ93" s="1">
        <v>8</v>
      </c>
      <c r="AK93" s="160">
        <v>1.5</v>
      </c>
      <c r="AL93" s="161">
        <v>0.12</v>
      </c>
      <c r="AM93" s="1">
        <v>350</v>
      </c>
      <c r="AN93" s="1">
        <v>450</v>
      </c>
      <c r="AO93" s="48">
        <v>1.5</v>
      </c>
      <c r="AP93" s="44">
        <v>30</v>
      </c>
      <c r="AQ93" s="42">
        <v>0.68</v>
      </c>
      <c r="AR93" s="1">
        <v>25</v>
      </c>
      <c r="AS93" s="1">
        <v>15</v>
      </c>
      <c r="AT93" s="1">
        <v>1</v>
      </c>
      <c r="AU93" s="4">
        <f t="shared" si="44"/>
        <v>26.666666666666668</v>
      </c>
      <c r="AV93" s="3">
        <f>ROUND((P93/1000000)*AU93*10000,2)</f>
        <v>0.67</v>
      </c>
      <c r="AW93" s="1">
        <v>85</v>
      </c>
      <c r="AX93" s="3">
        <f t="shared" si="50"/>
        <v>22.666666666666671</v>
      </c>
      <c r="AY93" s="1">
        <v>2</v>
      </c>
      <c r="AZ93" s="4">
        <f t="shared" si="51"/>
        <v>45.333333333333343</v>
      </c>
      <c r="BA93" s="49">
        <v>0.9</v>
      </c>
      <c r="BB93" s="4">
        <f t="shared" si="47"/>
        <v>40.800000000000011</v>
      </c>
      <c r="BC93" s="50">
        <v>7.3499999999999996E-2</v>
      </c>
      <c r="BD93" s="69">
        <f>IFERROR(
  MAX(0.05, MIN(0.5, CropNorms_CorianderSeed[[#This Row],[Leaf_Area_Per_Shoot_m2]] * CropNorms_CorianderSeed[[#This Row],[Shoot_Bearing_m2]] )),
  0.2
)</f>
        <v>0.5</v>
      </c>
      <c r="BE93" s="4">
        <f>_xlfn.XLOOKUP(CropNorms_CorianderSeed[[#This Row],[LAI_Start_BBCH]], CropPhenology_CorianderSeed[Sub_Stage], CropPhenology_CorianderSeed[Start_GDD], "Not Found")</f>
        <v>136</v>
      </c>
      <c r="BF93" s="3">
        <f>ROUND(CropNorms_CorianderSeed[[#This Row],[Shoot_Bearing_m2]]*CropNorms_CorianderSeed[[#This Row],[Leaf_Area_Per_Shoot_m2]],2)</f>
        <v>3</v>
      </c>
      <c r="BG93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H93" s="3">
        <f>IF(CropNorms_CorianderSeed[[#This Row],[Max_LAI]]&gt;=1.2, 0.85*CropNorms_CorianderSeed[[#This Row],[Max_LAI]], 1)</f>
        <v>2.5499999999999998</v>
      </c>
      <c r="BI93" s="41">
        <f>_xlfn.XLOOKUP(CropNorms_CorianderSeed[[#This Row],[LAI_End_BBCH]], CropPhenology_CorianderSeed[Sub_Stage], CropPhenology_CorianderSeed[End_GDD], "Not Found")</f>
        <v>1350</v>
      </c>
      <c r="BJ93" s="3" cm="1">
        <f t="array" ref="BJ93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K93" s="3" cm="1">
        <f t="array" ref="BK93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0.94554150797319991</v>
      </c>
      <c r="BL93" s="3" cm="1">
        <f t="array" ref="BL93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1.3740626759419983</v>
      </c>
      <c r="BM93" s="3" cm="1">
        <f t="array" ref="BM93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3" s="42">
        <v>0.4</v>
      </c>
      <c r="BO93" s="43">
        <v>0</v>
      </c>
      <c r="BP93" s="42">
        <v>2.41</v>
      </c>
      <c r="BQ93" s="43" t="s">
        <v>1788</v>
      </c>
      <c r="BR93" s="69" t="str" cm="1">
        <f t="array" ref="BR93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3" s="3" t="str" cm="1">
        <f t="array" ref="BS93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T93" s="3" t="str" cm="1">
        <f t="array" ref="BT93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93" s="70" t="str" cm="1">
        <f t="array" ref="BU93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93" s="48">
        <v>70</v>
      </c>
      <c r="BW93" s="1">
        <v>50</v>
      </c>
      <c r="BX93" s="44">
        <v>30</v>
      </c>
      <c r="BY93" s="51">
        <v>45901</v>
      </c>
      <c r="BZ93" s="5">
        <v>45961</v>
      </c>
      <c r="CA93" s="85">
        <v>0</v>
      </c>
      <c r="CB93" s="2">
        <v>0</v>
      </c>
      <c r="CC93" s="2">
        <v>1</v>
      </c>
      <c r="CD93" s="2">
        <v>1</v>
      </c>
      <c r="CE93" s="2">
        <v>1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O93" s="103"/>
      <c r="CP93" s="9"/>
      <c r="CQ93" s="10"/>
    </row>
    <row r="94" spans="2:96" ht="11.25" thickBot="1" x14ac:dyDescent="0.2">
      <c r="Y94" s="3"/>
      <c r="Z94" s="4"/>
      <c r="AG94" s="3"/>
      <c r="AR94" s="4"/>
      <c r="AS94" s="3"/>
      <c r="AU94" s="3"/>
      <c r="AW94" s="4"/>
      <c r="AX94" s="49"/>
      <c r="AY94" s="4"/>
      <c r="BV94" s="51"/>
      <c r="BW94" s="51"/>
      <c r="CO94" s="103"/>
      <c r="CP94" s="9"/>
      <c r="CQ94" s="10"/>
    </row>
    <row r="95" spans="2:96" ht="11.25" thickBot="1" x14ac:dyDescent="0.2">
      <c r="B95" s="54" t="s">
        <v>1753</v>
      </c>
      <c r="C95" s="53" t="s">
        <v>1754</v>
      </c>
      <c r="D95" s="53" t="s">
        <v>1804</v>
      </c>
      <c r="E95" s="53" t="s">
        <v>1805</v>
      </c>
      <c r="F95" s="53" t="s">
        <v>1806</v>
      </c>
      <c r="G95" s="53" t="s">
        <v>1807</v>
      </c>
      <c r="H95" s="53" t="s">
        <v>1808</v>
      </c>
      <c r="I95" s="53" t="s">
        <v>1809</v>
      </c>
      <c r="J95" s="53" t="s">
        <v>1810</v>
      </c>
      <c r="K95" s="53" t="s">
        <v>1747</v>
      </c>
      <c r="L95" s="54" t="s">
        <v>1749</v>
      </c>
      <c r="M95" s="53" t="s">
        <v>357</v>
      </c>
      <c r="N95" s="55" t="s">
        <v>692</v>
      </c>
      <c r="O95" s="53" t="s">
        <v>325</v>
      </c>
      <c r="P95" s="53" t="s">
        <v>356</v>
      </c>
      <c r="Q95" s="53" t="s">
        <v>326</v>
      </c>
      <c r="R95" s="53" t="s">
        <v>327</v>
      </c>
      <c r="S95" s="53" t="s">
        <v>328</v>
      </c>
      <c r="T95" s="53" t="s">
        <v>329</v>
      </c>
      <c r="U95" s="250" t="s">
        <v>2349</v>
      </c>
      <c r="V95" s="53" t="s">
        <v>330</v>
      </c>
      <c r="W95" s="53" t="s">
        <v>331</v>
      </c>
      <c r="X95" s="56" t="s">
        <v>354</v>
      </c>
      <c r="Y95" s="57" t="s">
        <v>355</v>
      </c>
      <c r="Z95" s="58" t="s">
        <v>413</v>
      </c>
      <c r="AA95" s="59" t="s">
        <v>583</v>
      </c>
      <c r="AB95" s="53" t="s">
        <v>324</v>
      </c>
      <c r="AC95" s="53" t="s">
        <v>332</v>
      </c>
      <c r="AD95" s="53" t="s">
        <v>333</v>
      </c>
      <c r="AE95" s="53" t="s">
        <v>334</v>
      </c>
      <c r="AF95" s="53" t="s">
        <v>335</v>
      </c>
      <c r="AG95" s="53" t="s">
        <v>336</v>
      </c>
      <c r="AH95" s="60" t="s">
        <v>337</v>
      </c>
      <c r="AI95" s="53" t="s">
        <v>338</v>
      </c>
      <c r="AJ95" s="53" t="s">
        <v>339</v>
      </c>
      <c r="AK95" s="157" t="s">
        <v>2346</v>
      </c>
      <c r="AL95" s="158" t="s">
        <v>2347</v>
      </c>
      <c r="AM95" s="53" t="s">
        <v>340</v>
      </c>
      <c r="AN95" s="53" t="s">
        <v>341</v>
      </c>
      <c r="AO95" s="61" t="s">
        <v>342</v>
      </c>
      <c r="AP95" s="62" t="s">
        <v>343</v>
      </c>
      <c r="AQ95" s="55" t="s">
        <v>344</v>
      </c>
      <c r="AR95" s="53" t="s">
        <v>345</v>
      </c>
      <c r="AS95" s="53" t="s">
        <v>346</v>
      </c>
      <c r="AT95" s="53" t="s">
        <v>364</v>
      </c>
      <c r="AU95" s="60" t="s">
        <v>347</v>
      </c>
      <c r="AV95" s="58" t="s">
        <v>363</v>
      </c>
      <c r="AW95" s="53" t="s">
        <v>348</v>
      </c>
      <c r="AX95" s="58" t="s">
        <v>349</v>
      </c>
      <c r="AY95" s="53" t="s">
        <v>366</v>
      </c>
      <c r="AZ95" s="60" t="s">
        <v>350</v>
      </c>
      <c r="BA95" s="53" t="s">
        <v>365</v>
      </c>
      <c r="BB95" s="60" t="s">
        <v>1827</v>
      </c>
      <c r="BC95" s="63" t="s">
        <v>351</v>
      </c>
      <c r="BD95" s="71" t="s">
        <v>1811</v>
      </c>
      <c r="BE95" s="57" t="s">
        <v>352</v>
      </c>
      <c r="BF95" s="58" t="s">
        <v>1812</v>
      </c>
      <c r="BG95" s="57" t="s">
        <v>1752</v>
      </c>
      <c r="BH95" s="60" t="s">
        <v>1813</v>
      </c>
      <c r="BI95" s="59" t="s">
        <v>353</v>
      </c>
      <c r="BJ95" s="71" t="s">
        <v>1828</v>
      </c>
      <c r="BK95" s="58" t="s">
        <v>1829</v>
      </c>
      <c r="BL95" s="58" t="s">
        <v>1830</v>
      </c>
      <c r="BM95" s="72" t="s">
        <v>1831</v>
      </c>
      <c r="BN95" s="64" t="s">
        <v>1154</v>
      </c>
      <c r="BO95" s="65" t="s">
        <v>1742</v>
      </c>
      <c r="BP95" s="64" t="s">
        <v>1155</v>
      </c>
      <c r="BQ95" s="65" t="s">
        <v>1755</v>
      </c>
      <c r="BR95" s="58" t="s">
        <v>367</v>
      </c>
      <c r="BS95" s="58" t="s">
        <v>1751</v>
      </c>
      <c r="BT95" s="58" t="s">
        <v>368</v>
      </c>
      <c r="BU95" s="60" t="s">
        <v>1814</v>
      </c>
      <c r="BV95" s="61" t="s">
        <v>369</v>
      </c>
      <c r="BW95" s="53" t="s">
        <v>370</v>
      </c>
      <c r="BX95" s="62" t="s">
        <v>371</v>
      </c>
      <c r="BY95" s="53" t="s">
        <v>359</v>
      </c>
      <c r="BZ95" s="53" t="s">
        <v>361</v>
      </c>
      <c r="CA95" s="61" t="s">
        <v>1815</v>
      </c>
      <c r="CB95" s="53" t="s">
        <v>1816</v>
      </c>
      <c r="CC95" s="53" t="s">
        <v>1817</v>
      </c>
      <c r="CD95" s="53" t="s">
        <v>1818</v>
      </c>
      <c r="CE95" s="53" t="s">
        <v>1819</v>
      </c>
      <c r="CF95" s="53" t="s">
        <v>1820</v>
      </c>
      <c r="CG95" s="53" t="s">
        <v>1821</v>
      </c>
      <c r="CH95" s="53" t="s">
        <v>1822</v>
      </c>
      <c r="CI95" s="53" t="s">
        <v>1823</v>
      </c>
      <c r="CJ95" s="53" t="s">
        <v>1824</v>
      </c>
      <c r="CK95" s="53" t="s">
        <v>1825</v>
      </c>
      <c r="CL95" s="53" t="s">
        <v>1826</v>
      </c>
      <c r="CO95" s="103"/>
      <c r="CP95" s="9"/>
      <c r="CQ95" s="10"/>
    </row>
    <row r="96" spans="2:96" x14ac:dyDescent="0.15">
      <c r="B96" s="36" t="s">
        <v>72</v>
      </c>
      <c r="C96" s="1" t="s">
        <v>73</v>
      </c>
      <c r="K96" s="1" t="s">
        <v>1773</v>
      </c>
      <c r="L96" s="1" t="s">
        <v>1750</v>
      </c>
      <c r="M96" s="1" t="s">
        <v>362</v>
      </c>
      <c r="N96" s="6">
        <v>14</v>
      </c>
      <c r="O96" s="1" t="s">
        <v>4</v>
      </c>
      <c r="P96" s="1">
        <v>3.5</v>
      </c>
      <c r="Q96" s="1">
        <v>12</v>
      </c>
      <c r="R96" s="1">
        <v>12</v>
      </c>
      <c r="S96" s="1">
        <v>30</v>
      </c>
      <c r="T96" s="1">
        <v>35</v>
      </c>
      <c r="U96" s="253">
        <v>3</v>
      </c>
      <c r="V96" s="1">
        <v>120</v>
      </c>
      <c r="W96" s="44">
        <v>190</v>
      </c>
      <c r="X96" s="40">
        <f>_xlfn.XLOOKUP("Ripening", CropPhenology_Cotton[Main_Stage], CropPhenology_Cotton[Start_GDD], "Not Found")</f>
        <v>2101</v>
      </c>
      <c r="Y96" s="4" cm="1">
        <f t="array" ref="Y9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96" s="3">
        <f t="shared" ref="Z96:Z121" si="52">MIN(Y96/V96,MAX(X96/W96,R96,(X96/W96+Y96/V96)/2))</f>
        <v>16.362280701754386</v>
      </c>
      <c r="AA96" s="41">
        <f t="shared" ref="AA96:AA121" si="53">Y96/Z96</f>
        <v>158.90205328901516</v>
      </c>
      <c r="AB96" s="1">
        <v>7.5</v>
      </c>
      <c r="AC96" s="1">
        <v>18</v>
      </c>
      <c r="AD96" s="1">
        <v>4</v>
      </c>
      <c r="AE96" s="1">
        <v>85</v>
      </c>
      <c r="AF96" s="1">
        <v>10</v>
      </c>
      <c r="AG96" s="1">
        <v>5</v>
      </c>
      <c r="AH96" s="3">
        <f t="shared" si="48"/>
        <v>3.1402992577597844</v>
      </c>
      <c r="AI96" s="1">
        <v>6</v>
      </c>
      <c r="AJ96" s="1">
        <v>8</v>
      </c>
      <c r="AK96" s="159">
        <v>7.7</v>
      </c>
      <c r="AL96" s="150">
        <v>5.1999999999999998E-2</v>
      </c>
      <c r="AM96" s="1">
        <v>700</v>
      </c>
      <c r="AN96" s="1">
        <v>900</v>
      </c>
      <c r="AO96" s="48">
        <v>3</v>
      </c>
      <c r="AP96" s="44">
        <v>150</v>
      </c>
      <c r="AQ96" s="42">
        <v>0.8</v>
      </c>
      <c r="AR96" s="1">
        <v>75</v>
      </c>
      <c r="AS96" s="1">
        <v>30</v>
      </c>
      <c r="AT96" s="1">
        <v>1</v>
      </c>
      <c r="AU96" s="4">
        <f t="shared" si="44"/>
        <v>4.4444444444444446</v>
      </c>
      <c r="AV96" s="3">
        <f t="shared" ref="AV96:AV121" si="54">ROUND((P96/1000000)*AU96*10000,2)</f>
        <v>0.16</v>
      </c>
      <c r="AW96" s="1">
        <v>85</v>
      </c>
      <c r="AX96" s="3">
        <f t="shared" ref="AX96" si="55">IFERROR((AU96*AW96/100),0)</f>
        <v>3.7777777777777777</v>
      </c>
      <c r="AY96" s="1">
        <v>3</v>
      </c>
      <c r="AZ96" s="4">
        <f t="shared" ref="AZ96" si="56">IFERROR(AX96*AY96,0)</f>
        <v>11.333333333333332</v>
      </c>
      <c r="BA96" s="49">
        <v>0.9</v>
      </c>
      <c r="BB96" s="4">
        <f t="shared" si="47"/>
        <v>10.199999999999999</v>
      </c>
      <c r="BC96" s="50">
        <v>0.5</v>
      </c>
      <c r="BD96" s="69">
        <f>IFERROR(
  MAX(0.05, MIN(0.5, CropNorms_Cotton[[#This Row],[Leaf_Area_Per_Shoot_m2]] * CropNorms_Cotton[[#This Row],[Shoot_Bearing_m2]] )),
  0.2
)</f>
        <v>0.5</v>
      </c>
      <c r="BE96" s="4">
        <f>_xlfn.XLOOKUP(CropNorms_Cotton[[#This Row],[LAI_Start_BBCH]], CropPhenology_Cotton[Sub_Stage], CropPhenology_Cotton[Start_GDD], "Not Found")</f>
        <v>56</v>
      </c>
      <c r="BF96" s="3">
        <f>ROUND(CropNorms_Cotton[[#This Row],[Shoot_Bearing_m2]]*CropNorms_Cotton[[#This Row],[Leaf_Area_Per_Shoot_m2]],2)</f>
        <v>5.0999999999999996</v>
      </c>
      <c r="BG9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96" s="3">
        <f>IF(CropNorms_Cotton[[#This Row],[Max_LAI]]&gt;=1.2, 0.85*CropNorms_Cotton[[#This Row],[Max_LAI]], 1)</f>
        <v>4.335</v>
      </c>
      <c r="BI96" s="41">
        <f>_xlfn.XLOOKUP(CropNorms_Cotton[[#This Row],[LAI_End_BBCH]], CropPhenology_Cotton[Sub_Stage], CropPhenology_Cotton[End_GDD], "Not Found")</f>
        <v>2100</v>
      </c>
      <c r="BJ96" s="3" cm="1">
        <f t="array" ref="BJ9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96" s="3" cm="1">
        <f t="array" ref="BK9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96" s="3" cm="1">
        <f t="array" ref="BL9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96" s="3" cm="1">
        <f t="array" ref="BM9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6" s="42">
        <v>0.45</v>
      </c>
      <c r="BO96" s="43">
        <v>0</v>
      </c>
      <c r="BP96" s="42">
        <v>6.47</v>
      </c>
      <c r="BQ96" s="43" t="s">
        <v>1789</v>
      </c>
      <c r="BR96" s="3" t="str" cm="1">
        <f t="array" ref="BR9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6" s="3" t="str" cm="1">
        <f t="array" ref="BS9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96" s="3" t="str" cm="1">
        <f t="array" ref="BT9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96" s="3" t="str" cm="1">
        <f t="array" ref="BU9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96" s="48">
        <v>50</v>
      </c>
      <c r="BW96" s="1">
        <v>15</v>
      </c>
      <c r="BX96" s="44">
        <v>15</v>
      </c>
      <c r="BY96" s="51">
        <v>45792</v>
      </c>
      <c r="BZ96" s="5">
        <v>45838</v>
      </c>
      <c r="CA96" s="85">
        <v>0</v>
      </c>
      <c r="CB96" s="2">
        <v>0</v>
      </c>
      <c r="CC96" s="2">
        <v>1</v>
      </c>
      <c r="CD96" s="2">
        <v>1</v>
      </c>
      <c r="CE96" s="2">
        <v>1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O96" s="103"/>
      <c r="CP96" s="9"/>
      <c r="CQ96" s="10"/>
    </row>
    <row r="97" spans="2:95" x14ac:dyDescent="0.15">
      <c r="B97" s="36" t="s">
        <v>72</v>
      </c>
      <c r="C97" s="1" t="s">
        <v>74</v>
      </c>
      <c r="K97" s="1" t="s">
        <v>1773</v>
      </c>
      <c r="L97" s="1" t="s">
        <v>1750</v>
      </c>
      <c r="M97" s="1" t="s">
        <v>362</v>
      </c>
      <c r="N97" s="6">
        <v>14</v>
      </c>
      <c r="O97" s="1" t="s">
        <v>4</v>
      </c>
      <c r="P97" s="1">
        <v>3.5</v>
      </c>
      <c r="Q97" s="1">
        <v>12</v>
      </c>
      <c r="R97" s="1">
        <v>12</v>
      </c>
      <c r="S97" s="1">
        <v>30</v>
      </c>
      <c r="T97" s="1">
        <v>35</v>
      </c>
      <c r="U97" s="253">
        <v>3</v>
      </c>
      <c r="V97" s="1">
        <v>120</v>
      </c>
      <c r="W97" s="44">
        <v>190</v>
      </c>
      <c r="X97" s="40">
        <f>_xlfn.XLOOKUP("Ripening", CropPhenology_Cotton[Main_Stage], CropPhenology_Cotton[Start_GDD], "Not Found")</f>
        <v>2101</v>
      </c>
      <c r="Y97" s="4" cm="1">
        <f t="array" ref="Y9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97" s="3">
        <f t="shared" si="52"/>
        <v>16.362280701754386</v>
      </c>
      <c r="AA97" s="41">
        <f t="shared" si="53"/>
        <v>158.90205328901516</v>
      </c>
      <c r="AB97" s="1">
        <v>7.5</v>
      </c>
      <c r="AC97" s="1">
        <v>18</v>
      </c>
      <c r="AD97" s="1">
        <v>4</v>
      </c>
      <c r="AE97" s="1">
        <v>85</v>
      </c>
      <c r="AF97" s="1">
        <v>10</v>
      </c>
      <c r="AG97" s="1">
        <v>5</v>
      </c>
      <c r="AH97" s="3">
        <f t="shared" si="48"/>
        <v>3.1402992577597844</v>
      </c>
      <c r="AI97" s="1">
        <v>6</v>
      </c>
      <c r="AJ97" s="1">
        <v>8</v>
      </c>
      <c r="AK97" s="159">
        <v>7.7</v>
      </c>
      <c r="AL97" s="150">
        <v>5.1999999999999998E-2</v>
      </c>
      <c r="AM97" s="1">
        <v>700</v>
      </c>
      <c r="AN97" s="1">
        <v>900</v>
      </c>
      <c r="AO97" s="48">
        <v>3</v>
      </c>
      <c r="AP97" s="44">
        <v>150</v>
      </c>
      <c r="AQ97" s="42">
        <v>0.8</v>
      </c>
      <c r="AR97" s="1">
        <v>75</v>
      </c>
      <c r="AS97" s="1">
        <v>30</v>
      </c>
      <c r="AT97" s="1">
        <v>1</v>
      </c>
      <c r="AU97" s="4">
        <f t="shared" si="44"/>
        <v>4.4444444444444446</v>
      </c>
      <c r="AV97" s="3">
        <f t="shared" si="54"/>
        <v>0.16</v>
      </c>
      <c r="AW97" s="1">
        <v>85</v>
      </c>
      <c r="AX97" s="3">
        <f t="shared" ref="AX97:AX141" si="57">IFERROR((AU97*AW97/100),0)</f>
        <v>3.7777777777777777</v>
      </c>
      <c r="AY97" s="1">
        <v>3</v>
      </c>
      <c r="AZ97" s="4">
        <f t="shared" ref="AZ97:AZ121" si="58">IFERROR(AX97*AY97,0)</f>
        <v>11.333333333333332</v>
      </c>
      <c r="BA97" s="49">
        <v>0.9</v>
      </c>
      <c r="BB97" s="4">
        <f t="shared" si="47"/>
        <v>10.199999999999999</v>
      </c>
      <c r="BC97" s="50">
        <v>0.5</v>
      </c>
      <c r="BD97" s="69">
        <f>IFERROR(
  MAX(0.05, MIN(0.5, CropNorms_Cotton[[#This Row],[Leaf_Area_Per_Shoot_m2]] * CropNorms_Cotton[[#This Row],[Shoot_Bearing_m2]] )),
  0.2
)</f>
        <v>0.5</v>
      </c>
      <c r="BE97" s="4">
        <f>_xlfn.XLOOKUP(CropNorms_Cotton[[#This Row],[LAI_Start_BBCH]], CropPhenology_Cotton[Sub_Stage], CropPhenology_Cotton[Start_GDD], "Not Found")</f>
        <v>56</v>
      </c>
      <c r="BF97" s="3">
        <f>ROUND(CropNorms_Cotton[[#This Row],[Shoot_Bearing_m2]]*CropNorms_Cotton[[#This Row],[Leaf_Area_Per_Shoot_m2]],2)</f>
        <v>5.0999999999999996</v>
      </c>
      <c r="BG9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97" s="3">
        <f>IF(CropNorms_Cotton[[#This Row],[Max_LAI]]&gt;=1.2, 0.85*CropNorms_Cotton[[#This Row],[Max_LAI]], 1)</f>
        <v>4.335</v>
      </c>
      <c r="BI97" s="41">
        <f>_xlfn.XLOOKUP(CropNorms_Cotton[[#This Row],[LAI_End_BBCH]], CropPhenology_Cotton[Sub_Stage], CropPhenology_Cotton[End_GDD], "Not Found")</f>
        <v>2100</v>
      </c>
      <c r="BJ97" s="3" cm="1">
        <f t="array" ref="BJ9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97" s="3" cm="1">
        <f t="array" ref="BK9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97" s="3" cm="1">
        <f t="array" ref="BL9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97" s="3" cm="1">
        <f t="array" ref="BM9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7" s="42">
        <v>0.45</v>
      </c>
      <c r="BO97" s="43">
        <v>0</v>
      </c>
      <c r="BP97" s="42">
        <v>6.47</v>
      </c>
      <c r="BQ97" s="43" t="s">
        <v>1789</v>
      </c>
      <c r="BR97" s="3" t="str" cm="1">
        <f t="array" ref="BR9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7" s="3" t="str" cm="1">
        <f t="array" ref="BS9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97" s="3" t="str" cm="1">
        <f t="array" ref="BT9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97" s="3" t="str" cm="1">
        <f t="array" ref="BU9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97" s="48">
        <v>50</v>
      </c>
      <c r="BW97" s="1">
        <v>15</v>
      </c>
      <c r="BX97" s="44">
        <v>15</v>
      </c>
      <c r="BY97" s="51">
        <v>45792</v>
      </c>
      <c r="BZ97" s="5">
        <v>45838</v>
      </c>
      <c r="CA97" s="85">
        <v>0</v>
      </c>
      <c r="CB97" s="2">
        <v>0</v>
      </c>
      <c r="CC97" s="2">
        <v>1</v>
      </c>
      <c r="CD97" s="2">
        <v>1</v>
      </c>
      <c r="CE97" s="2">
        <v>1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O97" s="103"/>
      <c r="CP97" s="9"/>
      <c r="CQ97" s="10"/>
    </row>
    <row r="98" spans="2:95" x14ac:dyDescent="0.15">
      <c r="B98" s="36" t="s">
        <v>72</v>
      </c>
      <c r="C98" s="1" t="s">
        <v>75</v>
      </c>
      <c r="K98" s="1" t="s">
        <v>1773</v>
      </c>
      <c r="L98" s="1" t="s">
        <v>1750</v>
      </c>
      <c r="M98" s="1" t="s">
        <v>362</v>
      </c>
      <c r="N98" s="6">
        <v>14</v>
      </c>
      <c r="O98" s="1" t="s">
        <v>4</v>
      </c>
      <c r="P98" s="1">
        <v>3.5</v>
      </c>
      <c r="Q98" s="1">
        <v>12</v>
      </c>
      <c r="R98" s="1">
        <v>12</v>
      </c>
      <c r="S98" s="1">
        <v>30</v>
      </c>
      <c r="T98" s="1">
        <v>35</v>
      </c>
      <c r="U98" s="253">
        <v>3</v>
      </c>
      <c r="V98" s="1">
        <v>120</v>
      </c>
      <c r="W98" s="44">
        <v>190</v>
      </c>
      <c r="X98" s="40">
        <f>_xlfn.XLOOKUP("Ripening", CropPhenology_Cotton[Main_Stage], CropPhenology_Cotton[Start_GDD], "Not Found")</f>
        <v>2101</v>
      </c>
      <c r="Y98" s="4" cm="1">
        <f t="array" ref="Y9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98" s="3">
        <f t="shared" si="52"/>
        <v>16.362280701754386</v>
      </c>
      <c r="AA98" s="41">
        <f t="shared" si="53"/>
        <v>158.90205328901516</v>
      </c>
      <c r="AB98" s="1">
        <v>7.5</v>
      </c>
      <c r="AC98" s="1">
        <v>18</v>
      </c>
      <c r="AD98" s="1">
        <v>4</v>
      </c>
      <c r="AE98" s="1">
        <v>85</v>
      </c>
      <c r="AF98" s="1">
        <v>10</v>
      </c>
      <c r="AG98" s="1">
        <v>5</v>
      </c>
      <c r="AH98" s="3">
        <f t="shared" si="48"/>
        <v>3.1402992577597844</v>
      </c>
      <c r="AI98" s="1">
        <v>6</v>
      </c>
      <c r="AJ98" s="1">
        <v>8</v>
      </c>
      <c r="AK98" s="159">
        <v>7.7</v>
      </c>
      <c r="AL98" s="150">
        <v>5.1999999999999998E-2</v>
      </c>
      <c r="AM98" s="1">
        <v>700</v>
      </c>
      <c r="AN98" s="1">
        <v>900</v>
      </c>
      <c r="AO98" s="48">
        <v>3</v>
      </c>
      <c r="AP98" s="44">
        <v>150</v>
      </c>
      <c r="AQ98" s="42">
        <v>0.8</v>
      </c>
      <c r="AR98" s="1">
        <v>75</v>
      </c>
      <c r="AS98" s="1">
        <v>30</v>
      </c>
      <c r="AT98" s="1">
        <v>1</v>
      </c>
      <c r="AU98" s="4">
        <f t="shared" si="44"/>
        <v>4.4444444444444446</v>
      </c>
      <c r="AV98" s="3">
        <f t="shared" si="54"/>
        <v>0.16</v>
      </c>
      <c r="AW98" s="1">
        <v>85</v>
      </c>
      <c r="AX98" s="3">
        <f t="shared" si="57"/>
        <v>3.7777777777777777</v>
      </c>
      <c r="AY98" s="1">
        <v>3</v>
      </c>
      <c r="AZ98" s="4">
        <f t="shared" si="58"/>
        <v>11.333333333333332</v>
      </c>
      <c r="BA98" s="49">
        <v>0.9</v>
      </c>
      <c r="BB98" s="4">
        <f t="shared" si="47"/>
        <v>10.199999999999999</v>
      </c>
      <c r="BC98" s="50">
        <v>0.5</v>
      </c>
      <c r="BD98" s="69">
        <f>IFERROR(
  MAX(0.05, MIN(0.5, CropNorms_Cotton[[#This Row],[Leaf_Area_Per_Shoot_m2]] * CropNorms_Cotton[[#This Row],[Shoot_Bearing_m2]] )),
  0.2
)</f>
        <v>0.5</v>
      </c>
      <c r="BE98" s="4">
        <f>_xlfn.XLOOKUP(CropNorms_Cotton[[#This Row],[LAI_Start_BBCH]], CropPhenology_Cotton[Sub_Stage], CropPhenology_Cotton[Start_GDD], "Not Found")</f>
        <v>56</v>
      </c>
      <c r="BF98" s="3">
        <f>ROUND(CropNorms_Cotton[[#This Row],[Shoot_Bearing_m2]]*CropNorms_Cotton[[#This Row],[Leaf_Area_Per_Shoot_m2]],2)</f>
        <v>5.0999999999999996</v>
      </c>
      <c r="BG9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98" s="3">
        <f>IF(CropNorms_Cotton[[#This Row],[Max_LAI]]&gt;=1.2, 0.85*CropNorms_Cotton[[#This Row],[Max_LAI]], 1)</f>
        <v>4.335</v>
      </c>
      <c r="BI98" s="41">
        <f>_xlfn.XLOOKUP(CropNorms_Cotton[[#This Row],[LAI_End_BBCH]], CropPhenology_Cotton[Sub_Stage], CropPhenology_Cotton[End_GDD], "Not Found")</f>
        <v>2100</v>
      </c>
      <c r="BJ98" s="3" cm="1">
        <f t="array" ref="BJ9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98" s="3" cm="1">
        <f t="array" ref="BK9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98" s="3" cm="1">
        <f t="array" ref="BL9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98" s="3" cm="1">
        <f t="array" ref="BM9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8" s="42">
        <v>0.45</v>
      </c>
      <c r="BO98" s="43">
        <v>0</v>
      </c>
      <c r="BP98" s="42">
        <v>6.47</v>
      </c>
      <c r="BQ98" s="43" t="s">
        <v>1789</v>
      </c>
      <c r="BR98" s="3" t="str" cm="1">
        <f t="array" ref="BR9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8" s="3" t="str" cm="1">
        <f t="array" ref="BS9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98" s="3" t="str" cm="1">
        <f t="array" ref="BT9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98" s="3" t="str" cm="1">
        <f t="array" ref="BU9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98" s="48">
        <v>50</v>
      </c>
      <c r="BW98" s="1">
        <v>15</v>
      </c>
      <c r="BX98" s="44">
        <v>15</v>
      </c>
      <c r="BY98" s="51">
        <v>45792</v>
      </c>
      <c r="BZ98" s="5">
        <v>45838</v>
      </c>
      <c r="CA98" s="85">
        <v>0</v>
      </c>
      <c r="CB98" s="2">
        <v>0</v>
      </c>
      <c r="CC98" s="2">
        <v>1</v>
      </c>
      <c r="CD98" s="2">
        <v>1</v>
      </c>
      <c r="CE98" s="2">
        <v>1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O98" s="103"/>
      <c r="CP98" s="9"/>
      <c r="CQ98" s="10"/>
    </row>
    <row r="99" spans="2:95" x14ac:dyDescent="0.15">
      <c r="B99" s="36" t="s">
        <v>72</v>
      </c>
      <c r="C99" s="1" t="s">
        <v>76</v>
      </c>
      <c r="K99" s="1" t="s">
        <v>1773</v>
      </c>
      <c r="L99" s="1" t="s">
        <v>1750</v>
      </c>
      <c r="M99" s="1" t="s">
        <v>362</v>
      </c>
      <c r="N99" s="6">
        <v>14</v>
      </c>
      <c r="O99" s="1" t="s">
        <v>4</v>
      </c>
      <c r="P99" s="1">
        <v>3.5</v>
      </c>
      <c r="Q99" s="1">
        <v>12</v>
      </c>
      <c r="R99" s="1">
        <v>12</v>
      </c>
      <c r="S99" s="1">
        <v>30</v>
      </c>
      <c r="T99" s="1">
        <v>35</v>
      </c>
      <c r="U99" s="253">
        <v>3</v>
      </c>
      <c r="V99" s="1">
        <v>120</v>
      </c>
      <c r="W99" s="44">
        <v>190</v>
      </c>
      <c r="X99" s="40">
        <f>_xlfn.XLOOKUP("Ripening", CropPhenology_Cotton[Main_Stage], CropPhenology_Cotton[Start_GDD], "Not Found")</f>
        <v>2101</v>
      </c>
      <c r="Y99" s="4" cm="1">
        <f t="array" ref="Y9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99" s="3">
        <f t="shared" si="52"/>
        <v>16.362280701754386</v>
      </c>
      <c r="AA99" s="41">
        <f t="shared" si="53"/>
        <v>158.90205328901516</v>
      </c>
      <c r="AB99" s="1">
        <v>7.5</v>
      </c>
      <c r="AC99" s="1">
        <v>18</v>
      </c>
      <c r="AD99" s="1">
        <v>4</v>
      </c>
      <c r="AE99" s="1">
        <v>85</v>
      </c>
      <c r="AF99" s="1">
        <v>10</v>
      </c>
      <c r="AG99" s="1">
        <v>5</v>
      </c>
      <c r="AH99" s="3">
        <f t="shared" si="48"/>
        <v>3.1402992577597844</v>
      </c>
      <c r="AI99" s="1">
        <v>6</v>
      </c>
      <c r="AJ99" s="1">
        <v>8</v>
      </c>
      <c r="AK99" s="159">
        <v>7.7</v>
      </c>
      <c r="AL99" s="150">
        <v>5.1999999999999998E-2</v>
      </c>
      <c r="AM99" s="1">
        <v>700</v>
      </c>
      <c r="AN99" s="1">
        <v>900</v>
      </c>
      <c r="AO99" s="48">
        <v>3</v>
      </c>
      <c r="AP99" s="44">
        <v>150</v>
      </c>
      <c r="AQ99" s="42">
        <v>0.8</v>
      </c>
      <c r="AR99" s="1">
        <v>75</v>
      </c>
      <c r="AS99" s="1">
        <v>30</v>
      </c>
      <c r="AT99" s="1">
        <v>1</v>
      </c>
      <c r="AU99" s="4">
        <f t="shared" si="44"/>
        <v>4.4444444444444446</v>
      </c>
      <c r="AV99" s="3">
        <f t="shared" si="54"/>
        <v>0.16</v>
      </c>
      <c r="AW99" s="1">
        <v>85</v>
      </c>
      <c r="AX99" s="3">
        <f t="shared" si="57"/>
        <v>3.7777777777777777</v>
      </c>
      <c r="AY99" s="1">
        <v>3</v>
      </c>
      <c r="AZ99" s="4">
        <f t="shared" si="58"/>
        <v>11.333333333333332</v>
      </c>
      <c r="BA99" s="49">
        <v>0.9</v>
      </c>
      <c r="BB99" s="4">
        <f t="shared" si="47"/>
        <v>10.199999999999999</v>
      </c>
      <c r="BC99" s="50">
        <v>0.5</v>
      </c>
      <c r="BD99" s="69">
        <f>IFERROR(
  MAX(0.05, MIN(0.5, CropNorms_Cotton[[#This Row],[Leaf_Area_Per_Shoot_m2]] * CropNorms_Cotton[[#This Row],[Shoot_Bearing_m2]] )),
  0.2
)</f>
        <v>0.5</v>
      </c>
      <c r="BE99" s="4">
        <f>_xlfn.XLOOKUP(CropNorms_Cotton[[#This Row],[LAI_Start_BBCH]], CropPhenology_Cotton[Sub_Stage], CropPhenology_Cotton[Start_GDD], "Not Found")</f>
        <v>56</v>
      </c>
      <c r="BF99" s="3">
        <f>ROUND(CropNorms_Cotton[[#This Row],[Shoot_Bearing_m2]]*CropNorms_Cotton[[#This Row],[Leaf_Area_Per_Shoot_m2]],2)</f>
        <v>5.0999999999999996</v>
      </c>
      <c r="BG9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99" s="3">
        <f>IF(CropNorms_Cotton[[#This Row],[Max_LAI]]&gt;=1.2, 0.85*CropNorms_Cotton[[#This Row],[Max_LAI]], 1)</f>
        <v>4.335</v>
      </c>
      <c r="BI99" s="41">
        <f>_xlfn.XLOOKUP(CropNorms_Cotton[[#This Row],[LAI_End_BBCH]], CropPhenology_Cotton[Sub_Stage], CropPhenology_Cotton[End_GDD], "Not Found")</f>
        <v>2100</v>
      </c>
      <c r="BJ99" s="3" cm="1">
        <f t="array" ref="BJ9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99" s="3" cm="1">
        <f t="array" ref="BK9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99" s="3" cm="1">
        <f t="array" ref="BL9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99" s="3" cm="1">
        <f t="array" ref="BM9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99" s="42">
        <v>0.45</v>
      </c>
      <c r="BO99" s="43">
        <v>0</v>
      </c>
      <c r="BP99" s="42">
        <v>6.47</v>
      </c>
      <c r="BQ99" s="43" t="s">
        <v>1789</v>
      </c>
      <c r="BR99" s="3" t="str" cm="1">
        <f t="array" ref="BR9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99" s="3" t="str" cm="1">
        <f t="array" ref="BS9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99" s="3" t="str" cm="1">
        <f t="array" ref="BT9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99" s="3" t="str" cm="1">
        <f t="array" ref="BU9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99" s="48">
        <v>50</v>
      </c>
      <c r="BW99" s="1">
        <v>15</v>
      </c>
      <c r="BX99" s="44">
        <v>15</v>
      </c>
      <c r="BY99" s="51">
        <v>45792</v>
      </c>
      <c r="BZ99" s="5">
        <v>45838</v>
      </c>
      <c r="CA99" s="85">
        <v>0</v>
      </c>
      <c r="CB99" s="2">
        <v>0</v>
      </c>
      <c r="CC99" s="2">
        <v>1</v>
      </c>
      <c r="CD99" s="2">
        <v>1</v>
      </c>
      <c r="CE99" s="2">
        <v>1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O99" s="103"/>
      <c r="CP99" s="9"/>
      <c r="CQ99" s="10"/>
    </row>
    <row r="100" spans="2:95" x14ac:dyDescent="0.15">
      <c r="B100" s="36" t="s">
        <v>72</v>
      </c>
      <c r="C100" s="1" t="s">
        <v>77</v>
      </c>
      <c r="K100" s="1" t="s">
        <v>1773</v>
      </c>
      <c r="L100" s="1" t="s">
        <v>1750</v>
      </c>
      <c r="M100" s="1" t="s">
        <v>362</v>
      </c>
      <c r="N100" s="6">
        <v>14</v>
      </c>
      <c r="O100" s="1" t="s">
        <v>4</v>
      </c>
      <c r="P100" s="1">
        <v>3.5</v>
      </c>
      <c r="Q100" s="1">
        <v>12</v>
      </c>
      <c r="R100" s="1">
        <v>12</v>
      </c>
      <c r="S100" s="1">
        <v>30</v>
      </c>
      <c r="T100" s="1">
        <v>35</v>
      </c>
      <c r="U100" s="253">
        <v>3</v>
      </c>
      <c r="V100" s="1">
        <v>120</v>
      </c>
      <c r="W100" s="44">
        <v>190</v>
      </c>
      <c r="X100" s="40">
        <f>_xlfn.XLOOKUP("Ripening", CropPhenology_Cotton[Main_Stage], CropPhenology_Cotton[Start_GDD], "Not Found")</f>
        <v>2101</v>
      </c>
      <c r="Y100" s="4" cm="1">
        <f t="array" ref="Y10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0" s="3">
        <f t="shared" si="52"/>
        <v>16.362280701754386</v>
      </c>
      <c r="AA100" s="41">
        <f t="shared" si="53"/>
        <v>158.90205328901516</v>
      </c>
      <c r="AB100" s="1">
        <v>7.5</v>
      </c>
      <c r="AC100" s="1">
        <v>18</v>
      </c>
      <c r="AD100" s="1">
        <v>4</v>
      </c>
      <c r="AE100" s="1">
        <v>85</v>
      </c>
      <c r="AF100" s="1">
        <v>10</v>
      </c>
      <c r="AG100" s="1">
        <v>5</v>
      </c>
      <c r="AH100" s="3">
        <f t="shared" si="48"/>
        <v>3.1402992577597844</v>
      </c>
      <c r="AI100" s="1">
        <v>6</v>
      </c>
      <c r="AJ100" s="1">
        <v>8</v>
      </c>
      <c r="AK100" s="159">
        <v>7.7</v>
      </c>
      <c r="AL100" s="150">
        <v>5.1999999999999998E-2</v>
      </c>
      <c r="AM100" s="1">
        <v>700</v>
      </c>
      <c r="AN100" s="1">
        <v>900</v>
      </c>
      <c r="AO100" s="48">
        <v>3</v>
      </c>
      <c r="AP100" s="44">
        <v>150</v>
      </c>
      <c r="AQ100" s="42">
        <v>0.8</v>
      </c>
      <c r="AR100" s="1">
        <v>75</v>
      </c>
      <c r="AS100" s="1">
        <v>30</v>
      </c>
      <c r="AT100" s="1">
        <v>1</v>
      </c>
      <c r="AU100" s="4">
        <f t="shared" si="44"/>
        <v>4.4444444444444446</v>
      </c>
      <c r="AV100" s="3">
        <f t="shared" si="54"/>
        <v>0.16</v>
      </c>
      <c r="AW100" s="1">
        <v>85</v>
      </c>
      <c r="AX100" s="3">
        <f t="shared" si="57"/>
        <v>3.7777777777777777</v>
      </c>
      <c r="AY100" s="1">
        <v>3</v>
      </c>
      <c r="AZ100" s="4">
        <f t="shared" si="58"/>
        <v>11.333333333333332</v>
      </c>
      <c r="BA100" s="49">
        <v>0.9</v>
      </c>
      <c r="BB100" s="4">
        <f t="shared" si="47"/>
        <v>10.199999999999999</v>
      </c>
      <c r="BC100" s="50">
        <v>0.5</v>
      </c>
      <c r="BD100" s="69">
        <f>IFERROR(
  MAX(0.05, MIN(0.5, CropNorms_Cotton[[#This Row],[Leaf_Area_Per_Shoot_m2]] * CropNorms_Cotton[[#This Row],[Shoot_Bearing_m2]] )),
  0.2
)</f>
        <v>0.5</v>
      </c>
      <c r="BE100" s="4">
        <f>_xlfn.XLOOKUP(CropNorms_Cotton[[#This Row],[LAI_Start_BBCH]], CropPhenology_Cotton[Sub_Stage], CropPhenology_Cotton[Start_GDD], "Not Found")</f>
        <v>56</v>
      </c>
      <c r="BF100" s="3">
        <f>ROUND(CropNorms_Cotton[[#This Row],[Shoot_Bearing_m2]]*CropNorms_Cotton[[#This Row],[Leaf_Area_Per_Shoot_m2]],2)</f>
        <v>5.0999999999999996</v>
      </c>
      <c r="BG10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0" s="3">
        <f>IF(CropNorms_Cotton[[#This Row],[Max_LAI]]&gt;=1.2, 0.85*CropNorms_Cotton[[#This Row],[Max_LAI]], 1)</f>
        <v>4.335</v>
      </c>
      <c r="BI100" s="41">
        <f>_xlfn.XLOOKUP(CropNorms_Cotton[[#This Row],[LAI_End_BBCH]], CropPhenology_Cotton[Sub_Stage], CropPhenology_Cotton[End_GDD], "Not Found")</f>
        <v>2100</v>
      </c>
      <c r="BJ100" s="3" cm="1">
        <f t="array" ref="BJ10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0" s="3" cm="1">
        <f t="array" ref="BK10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0" s="3" cm="1">
        <f t="array" ref="BL10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0" s="3" cm="1">
        <f t="array" ref="BM10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0" s="42">
        <v>0.45</v>
      </c>
      <c r="BO100" s="43">
        <v>0</v>
      </c>
      <c r="BP100" s="42">
        <v>6.47</v>
      </c>
      <c r="BQ100" s="43" t="s">
        <v>1789</v>
      </c>
      <c r="BR100" s="3" t="str" cm="1">
        <f t="array" ref="BR10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0" s="3" t="str" cm="1">
        <f t="array" ref="BS10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0" s="3" t="str" cm="1">
        <f t="array" ref="BT10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0" s="3" t="str" cm="1">
        <f t="array" ref="BU10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0" s="48">
        <v>50</v>
      </c>
      <c r="BW100" s="1">
        <v>15</v>
      </c>
      <c r="BX100" s="44">
        <v>15</v>
      </c>
      <c r="BY100" s="51">
        <v>45792</v>
      </c>
      <c r="BZ100" s="5">
        <v>45838</v>
      </c>
      <c r="CA100" s="85">
        <v>0</v>
      </c>
      <c r="CB100" s="2">
        <v>0</v>
      </c>
      <c r="CC100" s="2">
        <v>1</v>
      </c>
      <c r="CD100" s="2">
        <v>1</v>
      </c>
      <c r="CE100" s="2">
        <v>1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O100" s="103"/>
      <c r="CP100" s="9"/>
      <c r="CQ100" s="10"/>
    </row>
    <row r="101" spans="2:95" x14ac:dyDescent="0.15">
      <c r="B101" s="36" t="s">
        <v>72</v>
      </c>
      <c r="C101" s="1" t="s">
        <v>78</v>
      </c>
      <c r="K101" s="1" t="s">
        <v>1773</v>
      </c>
      <c r="L101" s="1" t="s">
        <v>1750</v>
      </c>
      <c r="M101" s="1" t="s">
        <v>362</v>
      </c>
      <c r="N101" s="6">
        <v>14</v>
      </c>
      <c r="O101" s="1" t="s">
        <v>4</v>
      </c>
      <c r="P101" s="1">
        <v>3.5</v>
      </c>
      <c r="Q101" s="1">
        <v>12</v>
      </c>
      <c r="R101" s="1">
        <v>12</v>
      </c>
      <c r="S101" s="1">
        <v>30</v>
      </c>
      <c r="T101" s="1">
        <v>35</v>
      </c>
      <c r="U101" s="253">
        <v>3</v>
      </c>
      <c r="V101" s="1">
        <v>120</v>
      </c>
      <c r="W101" s="44">
        <v>190</v>
      </c>
      <c r="X101" s="40">
        <f>_xlfn.XLOOKUP("Ripening", CropPhenology_Cotton[Main_Stage], CropPhenology_Cotton[Start_GDD], "Not Found")</f>
        <v>2101</v>
      </c>
      <c r="Y101" s="4" cm="1">
        <f t="array" ref="Y10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1" s="3">
        <f t="shared" si="52"/>
        <v>16.362280701754386</v>
      </c>
      <c r="AA101" s="41">
        <f t="shared" si="53"/>
        <v>158.90205328901516</v>
      </c>
      <c r="AB101" s="1">
        <v>7.5</v>
      </c>
      <c r="AC101" s="1">
        <v>18</v>
      </c>
      <c r="AD101" s="1">
        <v>4</v>
      </c>
      <c r="AE101" s="1">
        <v>85</v>
      </c>
      <c r="AF101" s="1">
        <v>10</v>
      </c>
      <c r="AG101" s="1">
        <v>5</v>
      </c>
      <c r="AH101" s="3">
        <f t="shared" si="48"/>
        <v>3.1402992577597844</v>
      </c>
      <c r="AI101" s="1">
        <v>6</v>
      </c>
      <c r="AJ101" s="1">
        <v>8</v>
      </c>
      <c r="AK101" s="159">
        <v>7.7</v>
      </c>
      <c r="AL101" s="150">
        <v>5.1999999999999998E-2</v>
      </c>
      <c r="AM101" s="1">
        <v>700</v>
      </c>
      <c r="AN101" s="1">
        <v>900</v>
      </c>
      <c r="AO101" s="48">
        <v>3</v>
      </c>
      <c r="AP101" s="44">
        <v>150</v>
      </c>
      <c r="AQ101" s="42">
        <v>0.8</v>
      </c>
      <c r="AR101" s="1">
        <v>75</v>
      </c>
      <c r="AS101" s="1">
        <v>30</v>
      </c>
      <c r="AT101" s="1">
        <v>1</v>
      </c>
      <c r="AU101" s="4">
        <f t="shared" si="44"/>
        <v>4.4444444444444446</v>
      </c>
      <c r="AV101" s="3">
        <f t="shared" si="54"/>
        <v>0.16</v>
      </c>
      <c r="AW101" s="1">
        <v>85</v>
      </c>
      <c r="AX101" s="3">
        <f t="shared" si="57"/>
        <v>3.7777777777777777</v>
      </c>
      <c r="AY101" s="1">
        <v>3</v>
      </c>
      <c r="AZ101" s="4">
        <f t="shared" si="58"/>
        <v>11.333333333333332</v>
      </c>
      <c r="BA101" s="49">
        <v>0.9</v>
      </c>
      <c r="BB101" s="4">
        <f t="shared" si="47"/>
        <v>10.199999999999999</v>
      </c>
      <c r="BC101" s="50">
        <v>0.5</v>
      </c>
      <c r="BD101" s="69">
        <f>IFERROR(
  MAX(0.05, MIN(0.5, CropNorms_Cotton[[#This Row],[Leaf_Area_Per_Shoot_m2]] * CropNorms_Cotton[[#This Row],[Shoot_Bearing_m2]] )),
  0.2
)</f>
        <v>0.5</v>
      </c>
      <c r="BE101" s="4">
        <f>_xlfn.XLOOKUP(CropNorms_Cotton[[#This Row],[LAI_Start_BBCH]], CropPhenology_Cotton[Sub_Stage], CropPhenology_Cotton[Start_GDD], "Not Found")</f>
        <v>56</v>
      </c>
      <c r="BF101" s="3">
        <f>ROUND(CropNorms_Cotton[[#This Row],[Shoot_Bearing_m2]]*CropNorms_Cotton[[#This Row],[Leaf_Area_Per_Shoot_m2]],2)</f>
        <v>5.0999999999999996</v>
      </c>
      <c r="BG10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1" s="3">
        <f>IF(CropNorms_Cotton[[#This Row],[Max_LAI]]&gt;=1.2, 0.85*CropNorms_Cotton[[#This Row],[Max_LAI]], 1)</f>
        <v>4.335</v>
      </c>
      <c r="BI101" s="41">
        <f>_xlfn.XLOOKUP(CropNorms_Cotton[[#This Row],[LAI_End_BBCH]], CropPhenology_Cotton[Sub_Stage], CropPhenology_Cotton[End_GDD], "Not Found")</f>
        <v>2100</v>
      </c>
      <c r="BJ101" s="3" cm="1">
        <f t="array" ref="BJ10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1" s="3" cm="1">
        <f t="array" ref="BK10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1" s="3" cm="1">
        <f t="array" ref="BL10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1" s="3" cm="1">
        <f t="array" ref="BM10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1" s="42">
        <v>0.45</v>
      </c>
      <c r="BO101" s="43">
        <v>0</v>
      </c>
      <c r="BP101" s="42">
        <v>6.47</v>
      </c>
      <c r="BQ101" s="43" t="s">
        <v>1789</v>
      </c>
      <c r="BR101" s="3" t="str" cm="1">
        <f t="array" ref="BR10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1" s="3" t="str" cm="1">
        <f t="array" ref="BS10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1" s="3" t="str" cm="1">
        <f t="array" ref="BT10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1" s="3" t="str" cm="1">
        <f t="array" ref="BU10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1" s="48">
        <v>50</v>
      </c>
      <c r="BW101" s="1">
        <v>15</v>
      </c>
      <c r="BX101" s="44">
        <v>15</v>
      </c>
      <c r="BY101" s="51">
        <v>45792</v>
      </c>
      <c r="BZ101" s="5">
        <v>45838</v>
      </c>
      <c r="CA101" s="85">
        <v>0</v>
      </c>
      <c r="CB101" s="2">
        <v>0</v>
      </c>
      <c r="CC101" s="2">
        <v>1</v>
      </c>
      <c r="CD101" s="2">
        <v>1</v>
      </c>
      <c r="CE101" s="2">
        <v>1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O101" s="103"/>
      <c r="CP101" s="9"/>
      <c r="CQ101" s="10"/>
    </row>
    <row r="102" spans="2:95" x14ac:dyDescent="0.15">
      <c r="B102" s="36" t="s">
        <v>72</v>
      </c>
      <c r="C102" s="1" t="s">
        <v>79</v>
      </c>
      <c r="K102" s="1" t="s">
        <v>1773</v>
      </c>
      <c r="L102" s="1" t="s">
        <v>1750</v>
      </c>
      <c r="M102" s="1" t="s">
        <v>362</v>
      </c>
      <c r="N102" s="6">
        <v>14</v>
      </c>
      <c r="O102" s="1" t="s">
        <v>4</v>
      </c>
      <c r="P102" s="1">
        <v>3.5</v>
      </c>
      <c r="Q102" s="1">
        <v>12</v>
      </c>
      <c r="R102" s="1">
        <v>12</v>
      </c>
      <c r="S102" s="1">
        <v>30</v>
      </c>
      <c r="T102" s="1">
        <v>35</v>
      </c>
      <c r="U102" s="253">
        <v>3</v>
      </c>
      <c r="V102" s="1">
        <v>120</v>
      </c>
      <c r="W102" s="44">
        <v>190</v>
      </c>
      <c r="X102" s="40">
        <f>_xlfn.XLOOKUP("Ripening", CropPhenology_Cotton[Main_Stage], CropPhenology_Cotton[Start_GDD], "Not Found")</f>
        <v>2101</v>
      </c>
      <c r="Y102" s="4" cm="1">
        <f t="array" ref="Y10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2" s="3">
        <f t="shared" si="52"/>
        <v>16.362280701754386</v>
      </c>
      <c r="AA102" s="41">
        <f t="shared" si="53"/>
        <v>158.90205328901516</v>
      </c>
      <c r="AB102" s="1">
        <v>7.5</v>
      </c>
      <c r="AC102" s="1">
        <v>18</v>
      </c>
      <c r="AD102" s="1">
        <v>4</v>
      </c>
      <c r="AE102" s="1">
        <v>85</v>
      </c>
      <c r="AF102" s="1">
        <v>10</v>
      </c>
      <c r="AG102" s="1">
        <v>5</v>
      </c>
      <c r="AH102" s="3">
        <f t="shared" si="48"/>
        <v>3.1402992577597844</v>
      </c>
      <c r="AI102" s="1">
        <v>6</v>
      </c>
      <c r="AJ102" s="1">
        <v>8</v>
      </c>
      <c r="AK102" s="159">
        <v>7.7</v>
      </c>
      <c r="AL102" s="150">
        <v>5.1999999999999998E-2</v>
      </c>
      <c r="AM102" s="1">
        <v>700</v>
      </c>
      <c r="AN102" s="1">
        <v>900</v>
      </c>
      <c r="AO102" s="48">
        <v>3</v>
      </c>
      <c r="AP102" s="44">
        <v>150</v>
      </c>
      <c r="AQ102" s="42">
        <v>0.8</v>
      </c>
      <c r="AR102" s="1">
        <v>75</v>
      </c>
      <c r="AS102" s="1">
        <v>30</v>
      </c>
      <c r="AT102" s="1">
        <v>1</v>
      </c>
      <c r="AU102" s="4">
        <f t="shared" si="44"/>
        <v>4.4444444444444446</v>
      </c>
      <c r="AV102" s="3">
        <f t="shared" si="54"/>
        <v>0.16</v>
      </c>
      <c r="AW102" s="1">
        <v>85</v>
      </c>
      <c r="AX102" s="3">
        <f t="shared" si="57"/>
        <v>3.7777777777777777</v>
      </c>
      <c r="AY102" s="1">
        <v>3</v>
      </c>
      <c r="AZ102" s="4">
        <f t="shared" si="58"/>
        <v>11.333333333333332</v>
      </c>
      <c r="BA102" s="49">
        <v>0.9</v>
      </c>
      <c r="BB102" s="4">
        <f t="shared" si="47"/>
        <v>10.199999999999999</v>
      </c>
      <c r="BC102" s="50">
        <v>0.5</v>
      </c>
      <c r="BD102" s="69">
        <f>IFERROR(
  MAX(0.05, MIN(0.5, CropNorms_Cotton[[#This Row],[Leaf_Area_Per_Shoot_m2]] * CropNorms_Cotton[[#This Row],[Shoot_Bearing_m2]] )),
  0.2
)</f>
        <v>0.5</v>
      </c>
      <c r="BE102" s="4">
        <f>_xlfn.XLOOKUP(CropNorms_Cotton[[#This Row],[LAI_Start_BBCH]], CropPhenology_Cotton[Sub_Stage], CropPhenology_Cotton[Start_GDD], "Not Found")</f>
        <v>56</v>
      </c>
      <c r="BF102" s="3">
        <f>ROUND(CropNorms_Cotton[[#This Row],[Shoot_Bearing_m2]]*CropNorms_Cotton[[#This Row],[Leaf_Area_Per_Shoot_m2]],2)</f>
        <v>5.0999999999999996</v>
      </c>
      <c r="BG10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2" s="3">
        <f>IF(CropNorms_Cotton[[#This Row],[Max_LAI]]&gt;=1.2, 0.85*CropNorms_Cotton[[#This Row],[Max_LAI]], 1)</f>
        <v>4.335</v>
      </c>
      <c r="BI102" s="41">
        <f>_xlfn.XLOOKUP(CropNorms_Cotton[[#This Row],[LAI_End_BBCH]], CropPhenology_Cotton[Sub_Stage], CropPhenology_Cotton[End_GDD], "Not Found")</f>
        <v>2100</v>
      </c>
      <c r="BJ102" s="3" cm="1">
        <f t="array" ref="BJ10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2" s="3" cm="1">
        <f t="array" ref="BK10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2" s="3" cm="1">
        <f t="array" ref="BL10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2" s="3" cm="1">
        <f t="array" ref="BM10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2" s="42">
        <v>0.45</v>
      </c>
      <c r="BO102" s="43">
        <v>0</v>
      </c>
      <c r="BP102" s="42">
        <v>6.47</v>
      </c>
      <c r="BQ102" s="43" t="s">
        <v>1789</v>
      </c>
      <c r="BR102" s="3" t="str" cm="1">
        <f t="array" ref="BR10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2" s="3" t="str" cm="1">
        <f t="array" ref="BS10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2" s="3" t="str" cm="1">
        <f t="array" ref="BT10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2" s="3" t="str" cm="1">
        <f t="array" ref="BU10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2" s="48">
        <v>50</v>
      </c>
      <c r="BW102" s="1">
        <v>15</v>
      </c>
      <c r="BX102" s="44">
        <v>15</v>
      </c>
      <c r="BY102" s="51">
        <v>45792</v>
      </c>
      <c r="BZ102" s="5">
        <v>45838</v>
      </c>
      <c r="CA102" s="85">
        <v>0</v>
      </c>
      <c r="CB102" s="2">
        <v>0</v>
      </c>
      <c r="CC102" s="2">
        <v>1</v>
      </c>
      <c r="CD102" s="2">
        <v>1</v>
      </c>
      <c r="CE102" s="2">
        <v>1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O102" s="103"/>
      <c r="CP102" s="9"/>
      <c r="CQ102" s="10"/>
    </row>
    <row r="103" spans="2:95" x14ac:dyDescent="0.15">
      <c r="B103" s="36" t="s">
        <v>72</v>
      </c>
      <c r="C103" s="1" t="s">
        <v>80</v>
      </c>
      <c r="K103" s="1" t="s">
        <v>1773</v>
      </c>
      <c r="L103" s="1" t="s">
        <v>1750</v>
      </c>
      <c r="M103" s="1" t="s">
        <v>362</v>
      </c>
      <c r="N103" s="6">
        <v>14</v>
      </c>
      <c r="O103" s="1" t="s">
        <v>4</v>
      </c>
      <c r="P103" s="1">
        <v>3.5</v>
      </c>
      <c r="Q103" s="1">
        <v>12</v>
      </c>
      <c r="R103" s="1">
        <v>12</v>
      </c>
      <c r="S103" s="1">
        <v>30</v>
      </c>
      <c r="T103" s="1">
        <v>35</v>
      </c>
      <c r="U103" s="253">
        <v>3</v>
      </c>
      <c r="V103" s="1">
        <v>120</v>
      </c>
      <c r="W103" s="44">
        <v>190</v>
      </c>
      <c r="X103" s="40">
        <f>_xlfn.XLOOKUP("Ripening", CropPhenology_Cotton[Main_Stage], CropPhenology_Cotton[Start_GDD], "Not Found")</f>
        <v>2101</v>
      </c>
      <c r="Y103" s="4" cm="1">
        <f t="array" ref="Y10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3" s="3">
        <f t="shared" si="52"/>
        <v>16.362280701754386</v>
      </c>
      <c r="AA103" s="41">
        <f t="shared" si="53"/>
        <v>158.90205328901516</v>
      </c>
      <c r="AB103" s="1">
        <v>7.5</v>
      </c>
      <c r="AC103" s="1">
        <v>18</v>
      </c>
      <c r="AD103" s="1">
        <v>4</v>
      </c>
      <c r="AE103" s="1">
        <v>85</v>
      </c>
      <c r="AF103" s="1">
        <v>10</v>
      </c>
      <c r="AG103" s="1">
        <v>5</v>
      </c>
      <c r="AH103" s="3">
        <f t="shared" si="48"/>
        <v>3.1402992577597844</v>
      </c>
      <c r="AI103" s="1">
        <v>6</v>
      </c>
      <c r="AJ103" s="1">
        <v>8</v>
      </c>
      <c r="AK103" s="159">
        <v>7.7</v>
      </c>
      <c r="AL103" s="150">
        <v>5.1999999999999998E-2</v>
      </c>
      <c r="AM103" s="1">
        <v>700</v>
      </c>
      <c r="AN103" s="1">
        <v>900</v>
      </c>
      <c r="AO103" s="48">
        <v>3</v>
      </c>
      <c r="AP103" s="44">
        <v>150</v>
      </c>
      <c r="AQ103" s="42">
        <v>0.8</v>
      </c>
      <c r="AR103" s="1">
        <v>75</v>
      </c>
      <c r="AS103" s="1">
        <v>30</v>
      </c>
      <c r="AT103" s="1">
        <v>1</v>
      </c>
      <c r="AU103" s="4">
        <f t="shared" si="44"/>
        <v>4.4444444444444446</v>
      </c>
      <c r="AV103" s="3">
        <f t="shared" si="54"/>
        <v>0.16</v>
      </c>
      <c r="AW103" s="1">
        <v>85</v>
      </c>
      <c r="AX103" s="3">
        <f t="shared" si="57"/>
        <v>3.7777777777777777</v>
      </c>
      <c r="AY103" s="1">
        <v>3</v>
      </c>
      <c r="AZ103" s="4">
        <f t="shared" si="58"/>
        <v>11.333333333333332</v>
      </c>
      <c r="BA103" s="49">
        <v>0.9</v>
      </c>
      <c r="BB103" s="4">
        <f t="shared" si="47"/>
        <v>10.199999999999999</v>
      </c>
      <c r="BC103" s="50">
        <v>0.5</v>
      </c>
      <c r="BD103" s="69">
        <f>IFERROR(
  MAX(0.05, MIN(0.5, CropNorms_Cotton[[#This Row],[Leaf_Area_Per_Shoot_m2]] * CropNorms_Cotton[[#This Row],[Shoot_Bearing_m2]] )),
  0.2
)</f>
        <v>0.5</v>
      </c>
      <c r="BE103" s="4">
        <f>_xlfn.XLOOKUP(CropNorms_Cotton[[#This Row],[LAI_Start_BBCH]], CropPhenology_Cotton[Sub_Stage], CropPhenology_Cotton[Start_GDD], "Not Found")</f>
        <v>56</v>
      </c>
      <c r="BF103" s="3">
        <f>ROUND(CropNorms_Cotton[[#This Row],[Shoot_Bearing_m2]]*CropNorms_Cotton[[#This Row],[Leaf_Area_Per_Shoot_m2]],2)</f>
        <v>5.0999999999999996</v>
      </c>
      <c r="BG10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3" s="3">
        <f>IF(CropNorms_Cotton[[#This Row],[Max_LAI]]&gt;=1.2, 0.85*CropNorms_Cotton[[#This Row],[Max_LAI]], 1)</f>
        <v>4.335</v>
      </c>
      <c r="BI103" s="41">
        <f>_xlfn.XLOOKUP(CropNorms_Cotton[[#This Row],[LAI_End_BBCH]], CropPhenology_Cotton[Sub_Stage], CropPhenology_Cotton[End_GDD], "Not Found")</f>
        <v>2100</v>
      </c>
      <c r="BJ103" s="3" cm="1">
        <f t="array" ref="BJ10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3" s="3" cm="1">
        <f t="array" ref="BK10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3" s="3" cm="1">
        <f t="array" ref="BL10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3" s="3" cm="1">
        <f t="array" ref="BM10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3" s="42">
        <v>0.45</v>
      </c>
      <c r="BO103" s="43">
        <v>0</v>
      </c>
      <c r="BP103" s="42">
        <v>6.47</v>
      </c>
      <c r="BQ103" s="43" t="s">
        <v>1789</v>
      </c>
      <c r="BR103" s="3" t="str" cm="1">
        <f t="array" ref="BR10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3" s="3" t="str" cm="1">
        <f t="array" ref="BS10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3" s="3" t="str" cm="1">
        <f t="array" ref="BT10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3" s="3" t="str" cm="1">
        <f t="array" ref="BU10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3" s="48">
        <v>50</v>
      </c>
      <c r="BW103" s="1">
        <v>15</v>
      </c>
      <c r="BX103" s="44">
        <v>15</v>
      </c>
      <c r="BY103" s="51">
        <v>45792</v>
      </c>
      <c r="BZ103" s="5">
        <v>45838</v>
      </c>
      <c r="CA103" s="85">
        <v>0</v>
      </c>
      <c r="CB103" s="2">
        <v>0</v>
      </c>
      <c r="CC103" s="2">
        <v>1</v>
      </c>
      <c r="CD103" s="2">
        <v>1</v>
      </c>
      <c r="CE103" s="2">
        <v>1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O103" s="103"/>
      <c r="CP103" s="9"/>
      <c r="CQ103" s="10"/>
    </row>
    <row r="104" spans="2:95" x14ac:dyDescent="0.15">
      <c r="B104" s="36" t="s">
        <v>72</v>
      </c>
      <c r="C104" s="1" t="s">
        <v>81</v>
      </c>
      <c r="K104" s="1" t="s">
        <v>1773</v>
      </c>
      <c r="L104" s="1" t="s">
        <v>1750</v>
      </c>
      <c r="M104" s="1" t="s">
        <v>362</v>
      </c>
      <c r="N104" s="6">
        <v>14</v>
      </c>
      <c r="O104" s="1" t="s">
        <v>4</v>
      </c>
      <c r="P104" s="1">
        <v>3.5</v>
      </c>
      <c r="Q104" s="1">
        <v>12</v>
      </c>
      <c r="R104" s="1">
        <v>12</v>
      </c>
      <c r="S104" s="1">
        <v>30</v>
      </c>
      <c r="T104" s="1">
        <v>35</v>
      </c>
      <c r="U104" s="253">
        <v>3</v>
      </c>
      <c r="V104" s="1">
        <v>120</v>
      </c>
      <c r="W104" s="44">
        <v>190</v>
      </c>
      <c r="X104" s="40">
        <f>_xlfn.XLOOKUP("Ripening", CropPhenology_Cotton[Main_Stage], CropPhenology_Cotton[Start_GDD], "Not Found")</f>
        <v>2101</v>
      </c>
      <c r="Y104" s="4" cm="1">
        <f t="array" ref="Y10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4" s="3">
        <f t="shared" si="52"/>
        <v>16.362280701754386</v>
      </c>
      <c r="AA104" s="41">
        <f t="shared" si="53"/>
        <v>158.90205328901516</v>
      </c>
      <c r="AB104" s="1">
        <v>7.5</v>
      </c>
      <c r="AC104" s="1">
        <v>18</v>
      </c>
      <c r="AD104" s="1">
        <v>4</v>
      </c>
      <c r="AE104" s="1">
        <v>85</v>
      </c>
      <c r="AF104" s="1">
        <v>10</v>
      </c>
      <c r="AG104" s="1">
        <v>5</v>
      </c>
      <c r="AH104" s="3">
        <f t="shared" si="48"/>
        <v>3.1402992577597844</v>
      </c>
      <c r="AI104" s="1">
        <v>6</v>
      </c>
      <c r="AJ104" s="1">
        <v>8</v>
      </c>
      <c r="AK104" s="159">
        <v>7.7</v>
      </c>
      <c r="AL104" s="150">
        <v>5.1999999999999998E-2</v>
      </c>
      <c r="AM104" s="1">
        <v>700</v>
      </c>
      <c r="AN104" s="1">
        <v>900</v>
      </c>
      <c r="AO104" s="48">
        <v>3</v>
      </c>
      <c r="AP104" s="44">
        <v>150</v>
      </c>
      <c r="AQ104" s="42">
        <v>0.8</v>
      </c>
      <c r="AR104" s="1">
        <v>75</v>
      </c>
      <c r="AS104" s="1">
        <v>30</v>
      </c>
      <c r="AT104" s="1">
        <v>1</v>
      </c>
      <c r="AU104" s="4">
        <f t="shared" si="44"/>
        <v>4.4444444444444446</v>
      </c>
      <c r="AV104" s="3">
        <f t="shared" si="54"/>
        <v>0.16</v>
      </c>
      <c r="AW104" s="1">
        <v>85</v>
      </c>
      <c r="AX104" s="3">
        <f t="shared" si="57"/>
        <v>3.7777777777777777</v>
      </c>
      <c r="AY104" s="1">
        <v>3</v>
      </c>
      <c r="AZ104" s="4">
        <f t="shared" si="58"/>
        <v>11.333333333333332</v>
      </c>
      <c r="BA104" s="49">
        <v>0.9</v>
      </c>
      <c r="BB104" s="4">
        <f t="shared" si="47"/>
        <v>10.199999999999999</v>
      </c>
      <c r="BC104" s="50">
        <v>0.5</v>
      </c>
      <c r="BD104" s="69">
        <f>IFERROR(
  MAX(0.05, MIN(0.5, CropNorms_Cotton[[#This Row],[Leaf_Area_Per_Shoot_m2]] * CropNorms_Cotton[[#This Row],[Shoot_Bearing_m2]] )),
  0.2
)</f>
        <v>0.5</v>
      </c>
      <c r="BE104" s="4">
        <f>_xlfn.XLOOKUP(CropNorms_Cotton[[#This Row],[LAI_Start_BBCH]], CropPhenology_Cotton[Sub_Stage], CropPhenology_Cotton[Start_GDD], "Not Found")</f>
        <v>56</v>
      </c>
      <c r="BF104" s="3">
        <f>ROUND(CropNorms_Cotton[[#This Row],[Shoot_Bearing_m2]]*CropNorms_Cotton[[#This Row],[Leaf_Area_Per_Shoot_m2]],2)</f>
        <v>5.0999999999999996</v>
      </c>
      <c r="BG10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4" s="3">
        <f>IF(CropNorms_Cotton[[#This Row],[Max_LAI]]&gt;=1.2, 0.85*CropNorms_Cotton[[#This Row],[Max_LAI]], 1)</f>
        <v>4.335</v>
      </c>
      <c r="BI104" s="41">
        <f>_xlfn.XLOOKUP(CropNorms_Cotton[[#This Row],[LAI_End_BBCH]], CropPhenology_Cotton[Sub_Stage], CropPhenology_Cotton[End_GDD], "Not Found")</f>
        <v>2100</v>
      </c>
      <c r="BJ104" s="3" cm="1">
        <f t="array" ref="BJ10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4" s="3" cm="1">
        <f t="array" ref="BK10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4" s="3" cm="1">
        <f t="array" ref="BL10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4" s="3" cm="1">
        <f t="array" ref="BM10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4" s="42">
        <v>0.45</v>
      </c>
      <c r="BO104" s="43">
        <v>0</v>
      </c>
      <c r="BP104" s="42">
        <v>6.47</v>
      </c>
      <c r="BQ104" s="43" t="s">
        <v>1789</v>
      </c>
      <c r="BR104" s="3" t="str" cm="1">
        <f t="array" ref="BR10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4" s="3" t="str" cm="1">
        <f t="array" ref="BS10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4" s="3" t="str" cm="1">
        <f t="array" ref="BT10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4" s="3" t="str" cm="1">
        <f t="array" ref="BU10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4" s="48">
        <v>50</v>
      </c>
      <c r="BW104" s="1">
        <v>15</v>
      </c>
      <c r="BX104" s="44">
        <v>15</v>
      </c>
      <c r="BY104" s="51">
        <v>45792</v>
      </c>
      <c r="BZ104" s="5">
        <v>45838</v>
      </c>
      <c r="CA104" s="85">
        <v>0</v>
      </c>
      <c r="CB104" s="2">
        <v>0</v>
      </c>
      <c r="CC104" s="2">
        <v>1</v>
      </c>
      <c r="CD104" s="2">
        <v>1</v>
      </c>
      <c r="CE104" s="2">
        <v>1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O104" s="103"/>
      <c r="CP104" s="9"/>
      <c r="CQ104" s="10"/>
    </row>
    <row r="105" spans="2:95" x14ac:dyDescent="0.15">
      <c r="B105" s="36" t="s">
        <v>72</v>
      </c>
      <c r="C105" s="1" t="s">
        <v>82</v>
      </c>
      <c r="K105" s="1" t="s">
        <v>1773</v>
      </c>
      <c r="L105" s="1" t="s">
        <v>1750</v>
      </c>
      <c r="M105" s="1" t="s">
        <v>362</v>
      </c>
      <c r="N105" s="6">
        <v>14</v>
      </c>
      <c r="O105" s="1" t="s">
        <v>4</v>
      </c>
      <c r="P105" s="1">
        <v>3.5</v>
      </c>
      <c r="Q105" s="1">
        <v>12</v>
      </c>
      <c r="R105" s="1">
        <v>12</v>
      </c>
      <c r="S105" s="1">
        <v>30</v>
      </c>
      <c r="T105" s="1">
        <v>35</v>
      </c>
      <c r="U105" s="253">
        <v>3</v>
      </c>
      <c r="V105" s="1">
        <v>120</v>
      </c>
      <c r="W105" s="44">
        <v>190</v>
      </c>
      <c r="X105" s="40">
        <f>_xlfn.XLOOKUP("Ripening", CropPhenology_Cotton[Main_Stage], CropPhenology_Cotton[Start_GDD], "Not Found")</f>
        <v>2101</v>
      </c>
      <c r="Y105" s="4" cm="1">
        <f t="array" ref="Y10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5" s="3">
        <f t="shared" si="52"/>
        <v>16.362280701754386</v>
      </c>
      <c r="AA105" s="41">
        <f t="shared" si="53"/>
        <v>158.90205328901516</v>
      </c>
      <c r="AB105" s="1">
        <v>7.5</v>
      </c>
      <c r="AC105" s="1">
        <v>18</v>
      </c>
      <c r="AD105" s="1">
        <v>4</v>
      </c>
      <c r="AE105" s="1">
        <v>85</v>
      </c>
      <c r="AF105" s="1">
        <v>10</v>
      </c>
      <c r="AG105" s="1">
        <v>5</v>
      </c>
      <c r="AH105" s="3">
        <f t="shared" si="48"/>
        <v>3.1402992577597844</v>
      </c>
      <c r="AI105" s="1">
        <v>6</v>
      </c>
      <c r="AJ105" s="1">
        <v>8</v>
      </c>
      <c r="AK105" s="159">
        <v>7.7</v>
      </c>
      <c r="AL105" s="150">
        <v>5.1999999999999998E-2</v>
      </c>
      <c r="AM105" s="1">
        <v>700</v>
      </c>
      <c r="AN105" s="1">
        <v>900</v>
      </c>
      <c r="AO105" s="48">
        <v>3</v>
      </c>
      <c r="AP105" s="44">
        <v>150</v>
      </c>
      <c r="AQ105" s="42">
        <v>0.8</v>
      </c>
      <c r="AR105" s="1">
        <v>75</v>
      </c>
      <c r="AS105" s="1">
        <v>30</v>
      </c>
      <c r="AT105" s="1">
        <v>1</v>
      </c>
      <c r="AU105" s="4">
        <f t="shared" si="44"/>
        <v>4.4444444444444446</v>
      </c>
      <c r="AV105" s="3">
        <f t="shared" si="54"/>
        <v>0.16</v>
      </c>
      <c r="AW105" s="1">
        <v>85</v>
      </c>
      <c r="AX105" s="3">
        <f t="shared" si="57"/>
        <v>3.7777777777777777</v>
      </c>
      <c r="AY105" s="1">
        <v>3</v>
      </c>
      <c r="AZ105" s="4">
        <f t="shared" si="58"/>
        <v>11.333333333333332</v>
      </c>
      <c r="BA105" s="49">
        <v>0.9</v>
      </c>
      <c r="BB105" s="4">
        <f t="shared" si="47"/>
        <v>10.199999999999999</v>
      </c>
      <c r="BC105" s="50">
        <v>0.5</v>
      </c>
      <c r="BD105" s="69">
        <f>IFERROR(
  MAX(0.05, MIN(0.5, CropNorms_Cotton[[#This Row],[Leaf_Area_Per_Shoot_m2]] * CropNorms_Cotton[[#This Row],[Shoot_Bearing_m2]] )),
  0.2
)</f>
        <v>0.5</v>
      </c>
      <c r="BE105" s="4">
        <f>_xlfn.XLOOKUP(CropNorms_Cotton[[#This Row],[LAI_Start_BBCH]], CropPhenology_Cotton[Sub_Stage], CropPhenology_Cotton[Start_GDD], "Not Found")</f>
        <v>56</v>
      </c>
      <c r="BF105" s="3">
        <f>ROUND(CropNorms_Cotton[[#This Row],[Shoot_Bearing_m2]]*CropNorms_Cotton[[#This Row],[Leaf_Area_Per_Shoot_m2]],2)</f>
        <v>5.0999999999999996</v>
      </c>
      <c r="BG10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5" s="3">
        <f>IF(CropNorms_Cotton[[#This Row],[Max_LAI]]&gt;=1.2, 0.85*CropNorms_Cotton[[#This Row],[Max_LAI]], 1)</f>
        <v>4.335</v>
      </c>
      <c r="BI105" s="41">
        <f>_xlfn.XLOOKUP(CropNorms_Cotton[[#This Row],[LAI_End_BBCH]], CropPhenology_Cotton[Sub_Stage], CropPhenology_Cotton[End_GDD], "Not Found")</f>
        <v>2100</v>
      </c>
      <c r="BJ105" s="3" cm="1">
        <f t="array" ref="BJ10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5" s="3" cm="1">
        <f t="array" ref="BK10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5" s="3" cm="1">
        <f t="array" ref="BL10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5" s="3" cm="1">
        <f t="array" ref="BM10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5" s="42">
        <v>0.45</v>
      </c>
      <c r="BO105" s="43">
        <v>0</v>
      </c>
      <c r="BP105" s="42">
        <v>6.47</v>
      </c>
      <c r="BQ105" s="43" t="s">
        <v>1789</v>
      </c>
      <c r="BR105" s="3" t="str" cm="1">
        <f t="array" ref="BR10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5" s="3" t="str" cm="1">
        <f t="array" ref="BS10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5" s="3" t="str" cm="1">
        <f t="array" ref="BT10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5" s="3" t="str" cm="1">
        <f t="array" ref="BU10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5" s="48">
        <v>50</v>
      </c>
      <c r="BW105" s="1">
        <v>15</v>
      </c>
      <c r="BX105" s="44">
        <v>15</v>
      </c>
      <c r="BY105" s="51">
        <v>45792</v>
      </c>
      <c r="BZ105" s="5">
        <v>45838</v>
      </c>
      <c r="CA105" s="85">
        <v>0</v>
      </c>
      <c r="CB105" s="2">
        <v>0</v>
      </c>
      <c r="CC105" s="2">
        <v>1</v>
      </c>
      <c r="CD105" s="2">
        <v>1</v>
      </c>
      <c r="CE105" s="2">
        <v>1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O105" s="103"/>
      <c r="CP105" s="9"/>
      <c r="CQ105" s="10"/>
    </row>
    <row r="106" spans="2:95" x14ac:dyDescent="0.15">
      <c r="B106" s="36" t="s">
        <v>72</v>
      </c>
      <c r="C106" s="1" t="s">
        <v>83</v>
      </c>
      <c r="K106" s="1" t="s">
        <v>1773</v>
      </c>
      <c r="L106" s="1" t="s">
        <v>1750</v>
      </c>
      <c r="M106" s="1" t="s">
        <v>362</v>
      </c>
      <c r="N106" s="6">
        <v>14</v>
      </c>
      <c r="O106" s="1" t="s">
        <v>4</v>
      </c>
      <c r="P106" s="1">
        <v>3.5</v>
      </c>
      <c r="Q106" s="1">
        <v>12</v>
      </c>
      <c r="R106" s="1">
        <v>12</v>
      </c>
      <c r="S106" s="1">
        <v>30</v>
      </c>
      <c r="T106" s="1">
        <v>35</v>
      </c>
      <c r="U106" s="253">
        <v>3</v>
      </c>
      <c r="V106" s="1">
        <v>120</v>
      </c>
      <c r="W106" s="44">
        <v>190</v>
      </c>
      <c r="X106" s="40">
        <f>_xlfn.XLOOKUP("Ripening", CropPhenology_Cotton[Main_Stage], CropPhenology_Cotton[Start_GDD], "Not Found")</f>
        <v>2101</v>
      </c>
      <c r="Y106" s="4" cm="1">
        <f t="array" ref="Y10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6" s="3">
        <f t="shared" si="52"/>
        <v>16.362280701754386</v>
      </c>
      <c r="AA106" s="41">
        <f t="shared" si="53"/>
        <v>158.90205328901516</v>
      </c>
      <c r="AB106" s="1">
        <v>7.5</v>
      </c>
      <c r="AC106" s="1">
        <v>18</v>
      </c>
      <c r="AD106" s="1">
        <v>4</v>
      </c>
      <c r="AE106" s="1">
        <v>85</v>
      </c>
      <c r="AF106" s="1">
        <v>10</v>
      </c>
      <c r="AG106" s="1">
        <v>5</v>
      </c>
      <c r="AH106" s="3">
        <f t="shared" si="48"/>
        <v>3.1402992577597844</v>
      </c>
      <c r="AI106" s="1">
        <v>6</v>
      </c>
      <c r="AJ106" s="1">
        <v>8</v>
      </c>
      <c r="AK106" s="159">
        <v>7.7</v>
      </c>
      <c r="AL106" s="150">
        <v>5.1999999999999998E-2</v>
      </c>
      <c r="AM106" s="1">
        <v>700</v>
      </c>
      <c r="AN106" s="1">
        <v>900</v>
      </c>
      <c r="AO106" s="48">
        <v>3</v>
      </c>
      <c r="AP106" s="44">
        <v>150</v>
      </c>
      <c r="AQ106" s="42">
        <v>0.8</v>
      </c>
      <c r="AR106" s="1">
        <v>75</v>
      </c>
      <c r="AS106" s="1">
        <v>30</v>
      </c>
      <c r="AT106" s="1">
        <v>1</v>
      </c>
      <c r="AU106" s="4">
        <f t="shared" si="44"/>
        <v>4.4444444444444446</v>
      </c>
      <c r="AV106" s="3">
        <f t="shared" si="54"/>
        <v>0.16</v>
      </c>
      <c r="AW106" s="1">
        <v>85</v>
      </c>
      <c r="AX106" s="3">
        <f t="shared" si="57"/>
        <v>3.7777777777777777</v>
      </c>
      <c r="AY106" s="1">
        <v>3</v>
      </c>
      <c r="AZ106" s="4">
        <f t="shared" si="58"/>
        <v>11.333333333333332</v>
      </c>
      <c r="BA106" s="49">
        <v>0.9</v>
      </c>
      <c r="BB106" s="4">
        <f t="shared" si="47"/>
        <v>10.199999999999999</v>
      </c>
      <c r="BC106" s="50">
        <v>0.5</v>
      </c>
      <c r="BD106" s="69">
        <f>IFERROR(
  MAX(0.05, MIN(0.5, CropNorms_Cotton[[#This Row],[Leaf_Area_Per_Shoot_m2]] * CropNorms_Cotton[[#This Row],[Shoot_Bearing_m2]] )),
  0.2
)</f>
        <v>0.5</v>
      </c>
      <c r="BE106" s="4">
        <f>_xlfn.XLOOKUP(CropNorms_Cotton[[#This Row],[LAI_Start_BBCH]], CropPhenology_Cotton[Sub_Stage], CropPhenology_Cotton[Start_GDD], "Not Found")</f>
        <v>56</v>
      </c>
      <c r="BF106" s="3">
        <f>ROUND(CropNorms_Cotton[[#This Row],[Shoot_Bearing_m2]]*CropNorms_Cotton[[#This Row],[Leaf_Area_Per_Shoot_m2]],2)</f>
        <v>5.0999999999999996</v>
      </c>
      <c r="BG10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6" s="3">
        <f>IF(CropNorms_Cotton[[#This Row],[Max_LAI]]&gt;=1.2, 0.85*CropNorms_Cotton[[#This Row],[Max_LAI]], 1)</f>
        <v>4.335</v>
      </c>
      <c r="BI106" s="41">
        <f>_xlfn.XLOOKUP(CropNorms_Cotton[[#This Row],[LAI_End_BBCH]], CropPhenology_Cotton[Sub_Stage], CropPhenology_Cotton[End_GDD], "Not Found")</f>
        <v>2100</v>
      </c>
      <c r="BJ106" s="3" cm="1">
        <f t="array" ref="BJ10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6" s="3" cm="1">
        <f t="array" ref="BK10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6" s="3" cm="1">
        <f t="array" ref="BL10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6" s="3" cm="1">
        <f t="array" ref="BM10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6" s="42">
        <v>0.45</v>
      </c>
      <c r="BO106" s="43">
        <v>0</v>
      </c>
      <c r="BP106" s="42">
        <v>6.47</v>
      </c>
      <c r="BQ106" s="43" t="s">
        <v>1789</v>
      </c>
      <c r="BR106" s="3" t="str" cm="1">
        <f t="array" ref="BR10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6" s="3" t="str" cm="1">
        <f t="array" ref="BS10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6" s="3" t="str" cm="1">
        <f t="array" ref="BT10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6" s="3" t="str" cm="1">
        <f t="array" ref="BU10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6" s="48">
        <v>50</v>
      </c>
      <c r="BW106" s="1">
        <v>15</v>
      </c>
      <c r="BX106" s="44">
        <v>15</v>
      </c>
      <c r="BY106" s="51">
        <v>45792</v>
      </c>
      <c r="BZ106" s="5">
        <v>45838</v>
      </c>
      <c r="CA106" s="85">
        <v>0</v>
      </c>
      <c r="CB106" s="2">
        <v>0</v>
      </c>
      <c r="CC106" s="2">
        <v>1</v>
      </c>
      <c r="CD106" s="2">
        <v>1</v>
      </c>
      <c r="CE106" s="2">
        <v>1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O106" s="103"/>
      <c r="CP106" s="9"/>
      <c r="CQ106" s="10"/>
    </row>
    <row r="107" spans="2:95" x14ac:dyDescent="0.15">
      <c r="B107" s="36" t="s">
        <v>72</v>
      </c>
      <c r="C107" s="1" t="s">
        <v>84</v>
      </c>
      <c r="K107" s="1" t="s">
        <v>1773</v>
      </c>
      <c r="L107" s="1" t="s">
        <v>1750</v>
      </c>
      <c r="M107" s="1" t="s">
        <v>362</v>
      </c>
      <c r="N107" s="6">
        <v>14</v>
      </c>
      <c r="O107" s="1" t="s">
        <v>4</v>
      </c>
      <c r="P107" s="1">
        <v>3.5</v>
      </c>
      <c r="Q107" s="1">
        <v>12</v>
      </c>
      <c r="R107" s="1">
        <v>12</v>
      </c>
      <c r="S107" s="1">
        <v>30</v>
      </c>
      <c r="T107" s="1">
        <v>35</v>
      </c>
      <c r="U107" s="253">
        <v>3</v>
      </c>
      <c r="V107" s="1">
        <v>120</v>
      </c>
      <c r="W107" s="44">
        <v>190</v>
      </c>
      <c r="X107" s="40">
        <f>_xlfn.XLOOKUP("Ripening", CropPhenology_Cotton[Main_Stage], CropPhenology_Cotton[Start_GDD], "Not Found")</f>
        <v>2101</v>
      </c>
      <c r="Y107" s="4" cm="1">
        <f t="array" ref="Y10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7" s="3">
        <f t="shared" si="52"/>
        <v>16.362280701754386</v>
      </c>
      <c r="AA107" s="41">
        <f t="shared" si="53"/>
        <v>158.90205328901516</v>
      </c>
      <c r="AB107" s="1">
        <v>7.5</v>
      </c>
      <c r="AC107" s="1">
        <v>18</v>
      </c>
      <c r="AD107" s="1">
        <v>4</v>
      </c>
      <c r="AE107" s="1">
        <v>85</v>
      </c>
      <c r="AF107" s="1">
        <v>10</v>
      </c>
      <c r="AG107" s="1">
        <v>5</v>
      </c>
      <c r="AH107" s="3">
        <f t="shared" si="48"/>
        <v>3.1402992577597844</v>
      </c>
      <c r="AI107" s="1">
        <v>6</v>
      </c>
      <c r="AJ107" s="1">
        <v>8</v>
      </c>
      <c r="AK107" s="159">
        <v>7.7</v>
      </c>
      <c r="AL107" s="150">
        <v>5.1999999999999998E-2</v>
      </c>
      <c r="AM107" s="1">
        <v>700</v>
      </c>
      <c r="AN107" s="1">
        <v>900</v>
      </c>
      <c r="AO107" s="48">
        <v>3</v>
      </c>
      <c r="AP107" s="44">
        <v>150</v>
      </c>
      <c r="AQ107" s="42">
        <v>0.8</v>
      </c>
      <c r="AR107" s="1">
        <v>75</v>
      </c>
      <c r="AS107" s="1">
        <v>30</v>
      </c>
      <c r="AT107" s="1">
        <v>1</v>
      </c>
      <c r="AU107" s="4">
        <f t="shared" si="44"/>
        <v>4.4444444444444446</v>
      </c>
      <c r="AV107" s="3">
        <f t="shared" si="54"/>
        <v>0.16</v>
      </c>
      <c r="AW107" s="1">
        <v>85</v>
      </c>
      <c r="AX107" s="3">
        <f t="shared" si="57"/>
        <v>3.7777777777777777</v>
      </c>
      <c r="AY107" s="1">
        <v>3</v>
      </c>
      <c r="AZ107" s="4">
        <f t="shared" si="58"/>
        <v>11.333333333333332</v>
      </c>
      <c r="BA107" s="49">
        <v>0.9</v>
      </c>
      <c r="BB107" s="4">
        <f t="shared" si="47"/>
        <v>10.199999999999999</v>
      </c>
      <c r="BC107" s="50">
        <v>0.5</v>
      </c>
      <c r="BD107" s="69">
        <f>IFERROR(
  MAX(0.05, MIN(0.5, CropNorms_Cotton[[#This Row],[Leaf_Area_Per_Shoot_m2]] * CropNorms_Cotton[[#This Row],[Shoot_Bearing_m2]] )),
  0.2
)</f>
        <v>0.5</v>
      </c>
      <c r="BE107" s="4">
        <f>_xlfn.XLOOKUP(CropNorms_Cotton[[#This Row],[LAI_Start_BBCH]], CropPhenology_Cotton[Sub_Stage], CropPhenology_Cotton[Start_GDD], "Not Found")</f>
        <v>56</v>
      </c>
      <c r="BF107" s="3">
        <f>ROUND(CropNorms_Cotton[[#This Row],[Shoot_Bearing_m2]]*CropNorms_Cotton[[#This Row],[Leaf_Area_Per_Shoot_m2]],2)</f>
        <v>5.0999999999999996</v>
      </c>
      <c r="BG10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7" s="3">
        <f>IF(CropNorms_Cotton[[#This Row],[Max_LAI]]&gt;=1.2, 0.85*CropNorms_Cotton[[#This Row],[Max_LAI]], 1)</f>
        <v>4.335</v>
      </c>
      <c r="BI107" s="41">
        <f>_xlfn.XLOOKUP(CropNorms_Cotton[[#This Row],[LAI_End_BBCH]], CropPhenology_Cotton[Sub_Stage], CropPhenology_Cotton[End_GDD], "Not Found")</f>
        <v>2100</v>
      </c>
      <c r="BJ107" s="3" cm="1">
        <f t="array" ref="BJ10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7" s="3" cm="1">
        <f t="array" ref="BK10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7" s="3" cm="1">
        <f t="array" ref="BL10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7" s="3" cm="1">
        <f t="array" ref="BM10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7" s="42">
        <v>0.45</v>
      </c>
      <c r="BO107" s="43">
        <v>0</v>
      </c>
      <c r="BP107" s="42">
        <v>6.47</v>
      </c>
      <c r="BQ107" s="43" t="s">
        <v>1789</v>
      </c>
      <c r="BR107" s="3" t="str" cm="1">
        <f t="array" ref="BR10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7" s="3" t="str" cm="1">
        <f t="array" ref="BS10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7" s="3" t="str" cm="1">
        <f t="array" ref="BT10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7" s="3" t="str" cm="1">
        <f t="array" ref="BU10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7" s="48">
        <v>50</v>
      </c>
      <c r="BW107" s="1">
        <v>15</v>
      </c>
      <c r="BX107" s="44">
        <v>15</v>
      </c>
      <c r="BY107" s="51">
        <v>45792</v>
      </c>
      <c r="BZ107" s="5">
        <v>45838</v>
      </c>
      <c r="CA107" s="85">
        <v>0</v>
      </c>
      <c r="CB107" s="2">
        <v>0</v>
      </c>
      <c r="CC107" s="2">
        <v>1</v>
      </c>
      <c r="CD107" s="2">
        <v>1</v>
      </c>
      <c r="CE107" s="2">
        <v>1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O107" s="103"/>
      <c r="CP107" s="9"/>
      <c r="CQ107" s="10"/>
    </row>
    <row r="108" spans="2:95" x14ac:dyDescent="0.15">
      <c r="B108" s="36" t="s">
        <v>72</v>
      </c>
      <c r="C108" s="1" t="s">
        <v>85</v>
      </c>
      <c r="K108" s="1" t="s">
        <v>1773</v>
      </c>
      <c r="L108" s="1" t="s">
        <v>1750</v>
      </c>
      <c r="M108" s="1" t="s">
        <v>362</v>
      </c>
      <c r="N108" s="6">
        <v>14</v>
      </c>
      <c r="O108" s="1" t="s">
        <v>4</v>
      </c>
      <c r="P108" s="1">
        <v>3.5</v>
      </c>
      <c r="Q108" s="1">
        <v>12</v>
      </c>
      <c r="R108" s="1">
        <v>12</v>
      </c>
      <c r="S108" s="1">
        <v>30</v>
      </c>
      <c r="T108" s="1">
        <v>35</v>
      </c>
      <c r="U108" s="253">
        <v>3</v>
      </c>
      <c r="V108" s="1">
        <v>120</v>
      </c>
      <c r="W108" s="44">
        <v>190</v>
      </c>
      <c r="X108" s="40">
        <f>_xlfn.XLOOKUP("Ripening", CropPhenology_Cotton[Main_Stage], CropPhenology_Cotton[Start_GDD], "Not Found")</f>
        <v>2101</v>
      </c>
      <c r="Y108" s="4" cm="1">
        <f t="array" ref="Y10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8" s="3">
        <f t="shared" si="52"/>
        <v>16.362280701754386</v>
      </c>
      <c r="AA108" s="41">
        <f t="shared" si="53"/>
        <v>158.90205328901516</v>
      </c>
      <c r="AB108" s="1">
        <v>7.5</v>
      </c>
      <c r="AC108" s="1">
        <v>18</v>
      </c>
      <c r="AD108" s="1">
        <v>4</v>
      </c>
      <c r="AE108" s="1">
        <v>85</v>
      </c>
      <c r="AF108" s="1">
        <v>10</v>
      </c>
      <c r="AG108" s="1">
        <v>5</v>
      </c>
      <c r="AH108" s="3">
        <f t="shared" si="48"/>
        <v>3.1402992577597844</v>
      </c>
      <c r="AI108" s="1">
        <v>6</v>
      </c>
      <c r="AJ108" s="1">
        <v>8</v>
      </c>
      <c r="AK108" s="159">
        <v>7.7</v>
      </c>
      <c r="AL108" s="150">
        <v>5.1999999999999998E-2</v>
      </c>
      <c r="AM108" s="1">
        <v>700</v>
      </c>
      <c r="AN108" s="1">
        <v>900</v>
      </c>
      <c r="AO108" s="48">
        <v>3</v>
      </c>
      <c r="AP108" s="44">
        <v>150</v>
      </c>
      <c r="AQ108" s="42">
        <v>0.8</v>
      </c>
      <c r="AR108" s="1">
        <v>75</v>
      </c>
      <c r="AS108" s="1">
        <v>30</v>
      </c>
      <c r="AT108" s="1">
        <v>1</v>
      </c>
      <c r="AU108" s="4">
        <f t="shared" si="44"/>
        <v>4.4444444444444446</v>
      </c>
      <c r="AV108" s="3">
        <f t="shared" si="54"/>
        <v>0.16</v>
      </c>
      <c r="AW108" s="1">
        <v>85</v>
      </c>
      <c r="AX108" s="3">
        <f t="shared" si="57"/>
        <v>3.7777777777777777</v>
      </c>
      <c r="AY108" s="1">
        <v>3</v>
      </c>
      <c r="AZ108" s="4">
        <f t="shared" si="58"/>
        <v>11.333333333333332</v>
      </c>
      <c r="BA108" s="49">
        <v>0.9</v>
      </c>
      <c r="BB108" s="4">
        <f t="shared" si="47"/>
        <v>10.199999999999999</v>
      </c>
      <c r="BC108" s="50">
        <v>0.5</v>
      </c>
      <c r="BD108" s="69">
        <f>IFERROR(
  MAX(0.05, MIN(0.5, CropNorms_Cotton[[#This Row],[Leaf_Area_Per_Shoot_m2]] * CropNorms_Cotton[[#This Row],[Shoot_Bearing_m2]] )),
  0.2
)</f>
        <v>0.5</v>
      </c>
      <c r="BE108" s="4">
        <f>_xlfn.XLOOKUP(CropNorms_Cotton[[#This Row],[LAI_Start_BBCH]], CropPhenology_Cotton[Sub_Stage], CropPhenology_Cotton[Start_GDD], "Not Found")</f>
        <v>56</v>
      </c>
      <c r="BF108" s="3">
        <f>ROUND(CropNorms_Cotton[[#This Row],[Shoot_Bearing_m2]]*CropNorms_Cotton[[#This Row],[Leaf_Area_Per_Shoot_m2]],2)</f>
        <v>5.0999999999999996</v>
      </c>
      <c r="BG10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8" s="3">
        <f>IF(CropNorms_Cotton[[#This Row],[Max_LAI]]&gt;=1.2, 0.85*CropNorms_Cotton[[#This Row],[Max_LAI]], 1)</f>
        <v>4.335</v>
      </c>
      <c r="BI108" s="41">
        <f>_xlfn.XLOOKUP(CropNorms_Cotton[[#This Row],[LAI_End_BBCH]], CropPhenology_Cotton[Sub_Stage], CropPhenology_Cotton[End_GDD], "Not Found")</f>
        <v>2100</v>
      </c>
      <c r="BJ108" s="3" cm="1">
        <f t="array" ref="BJ10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8" s="3" cm="1">
        <f t="array" ref="BK10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8" s="3" cm="1">
        <f t="array" ref="BL10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8" s="3" cm="1">
        <f t="array" ref="BM10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8" s="42">
        <v>0.45</v>
      </c>
      <c r="BO108" s="43">
        <v>0</v>
      </c>
      <c r="BP108" s="42">
        <v>6.47</v>
      </c>
      <c r="BQ108" s="43" t="s">
        <v>1789</v>
      </c>
      <c r="BR108" s="3" t="str" cm="1">
        <f t="array" ref="BR10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8" s="3" t="str" cm="1">
        <f t="array" ref="BS10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8" s="3" t="str" cm="1">
        <f t="array" ref="BT10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8" s="3" t="str" cm="1">
        <f t="array" ref="BU10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8" s="48">
        <v>50</v>
      </c>
      <c r="BW108" s="1">
        <v>15</v>
      </c>
      <c r="BX108" s="44">
        <v>15</v>
      </c>
      <c r="BY108" s="51">
        <v>45792</v>
      </c>
      <c r="BZ108" s="5">
        <v>45838</v>
      </c>
      <c r="CA108" s="85">
        <v>0</v>
      </c>
      <c r="CB108" s="2">
        <v>0</v>
      </c>
      <c r="CC108" s="2">
        <v>1</v>
      </c>
      <c r="CD108" s="2">
        <v>1</v>
      </c>
      <c r="CE108" s="2">
        <v>1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O108" s="103"/>
      <c r="CP108" s="9"/>
      <c r="CQ108" s="10"/>
    </row>
    <row r="109" spans="2:95" x14ac:dyDescent="0.15">
      <c r="B109" s="36" t="s">
        <v>72</v>
      </c>
      <c r="C109" s="1" t="s">
        <v>86</v>
      </c>
      <c r="K109" s="1" t="s">
        <v>1773</v>
      </c>
      <c r="L109" s="1" t="s">
        <v>1750</v>
      </c>
      <c r="M109" s="1" t="s">
        <v>362</v>
      </c>
      <c r="N109" s="6">
        <v>14</v>
      </c>
      <c r="O109" s="1" t="s">
        <v>4</v>
      </c>
      <c r="P109" s="1">
        <v>3.5</v>
      </c>
      <c r="Q109" s="1">
        <v>12</v>
      </c>
      <c r="R109" s="1">
        <v>12</v>
      </c>
      <c r="S109" s="1">
        <v>30</v>
      </c>
      <c r="T109" s="1">
        <v>35</v>
      </c>
      <c r="U109" s="253">
        <v>3</v>
      </c>
      <c r="V109" s="1">
        <v>120</v>
      </c>
      <c r="W109" s="44">
        <v>190</v>
      </c>
      <c r="X109" s="40">
        <f>_xlfn.XLOOKUP("Ripening", CropPhenology_Cotton[Main_Stage], CropPhenology_Cotton[Start_GDD], "Not Found")</f>
        <v>2101</v>
      </c>
      <c r="Y109" s="4" cm="1">
        <f t="array" ref="Y10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09" s="3">
        <f t="shared" si="52"/>
        <v>16.362280701754386</v>
      </c>
      <c r="AA109" s="41">
        <f t="shared" si="53"/>
        <v>158.90205328901516</v>
      </c>
      <c r="AB109" s="1">
        <v>7.5</v>
      </c>
      <c r="AC109" s="1">
        <v>18</v>
      </c>
      <c r="AD109" s="1">
        <v>4</v>
      </c>
      <c r="AE109" s="1">
        <v>85</v>
      </c>
      <c r="AF109" s="1">
        <v>10</v>
      </c>
      <c r="AG109" s="1">
        <v>5</v>
      </c>
      <c r="AH109" s="3">
        <f t="shared" si="48"/>
        <v>3.1402992577597844</v>
      </c>
      <c r="AI109" s="1">
        <v>6</v>
      </c>
      <c r="AJ109" s="1">
        <v>8</v>
      </c>
      <c r="AK109" s="159">
        <v>7.7</v>
      </c>
      <c r="AL109" s="150">
        <v>5.1999999999999998E-2</v>
      </c>
      <c r="AM109" s="1">
        <v>700</v>
      </c>
      <c r="AN109" s="1">
        <v>900</v>
      </c>
      <c r="AO109" s="48">
        <v>3</v>
      </c>
      <c r="AP109" s="44">
        <v>150</v>
      </c>
      <c r="AQ109" s="42">
        <v>0.8</v>
      </c>
      <c r="AR109" s="1">
        <v>75</v>
      </c>
      <c r="AS109" s="1">
        <v>30</v>
      </c>
      <c r="AT109" s="1">
        <v>1</v>
      </c>
      <c r="AU109" s="4">
        <f t="shared" si="44"/>
        <v>4.4444444444444446</v>
      </c>
      <c r="AV109" s="3">
        <f t="shared" si="54"/>
        <v>0.16</v>
      </c>
      <c r="AW109" s="1">
        <v>85</v>
      </c>
      <c r="AX109" s="3">
        <f t="shared" si="57"/>
        <v>3.7777777777777777</v>
      </c>
      <c r="AY109" s="1">
        <v>3</v>
      </c>
      <c r="AZ109" s="4">
        <f t="shared" si="58"/>
        <v>11.333333333333332</v>
      </c>
      <c r="BA109" s="49">
        <v>0.9</v>
      </c>
      <c r="BB109" s="4">
        <f t="shared" si="47"/>
        <v>10.199999999999999</v>
      </c>
      <c r="BC109" s="50">
        <v>0.5</v>
      </c>
      <c r="BD109" s="69">
        <f>IFERROR(
  MAX(0.05, MIN(0.5, CropNorms_Cotton[[#This Row],[Leaf_Area_Per_Shoot_m2]] * CropNorms_Cotton[[#This Row],[Shoot_Bearing_m2]] )),
  0.2
)</f>
        <v>0.5</v>
      </c>
      <c r="BE109" s="4">
        <f>_xlfn.XLOOKUP(CropNorms_Cotton[[#This Row],[LAI_Start_BBCH]], CropPhenology_Cotton[Sub_Stage], CropPhenology_Cotton[Start_GDD], "Not Found")</f>
        <v>56</v>
      </c>
      <c r="BF109" s="3">
        <f>ROUND(CropNorms_Cotton[[#This Row],[Shoot_Bearing_m2]]*CropNorms_Cotton[[#This Row],[Leaf_Area_Per_Shoot_m2]],2)</f>
        <v>5.0999999999999996</v>
      </c>
      <c r="BG10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09" s="3">
        <f>IF(CropNorms_Cotton[[#This Row],[Max_LAI]]&gt;=1.2, 0.85*CropNorms_Cotton[[#This Row],[Max_LAI]], 1)</f>
        <v>4.335</v>
      </c>
      <c r="BI109" s="41">
        <f>_xlfn.XLOOKUP(CropNorms_Cotton[[#This Row],[LAI_End_BBCH]], CropPhenology_Cotton[Sub_Stage], CropPhenology_Cotton[End_GDD], "Not Found")</f>
        <v>2100</v>
      </c>
      <c r="BJ109" s="3" cm="1">
        <f t="array" ref="BJ10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09" s="3" cm="1">
        <f t="array" ref="BK10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09" s="3" cm="1">
        <f t="array" ref="BL10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09" s="3" cm="1">
        <f t="array" ref="BM10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09" s="42">
        <v>0.45</v>
      </c>
      <c r="BO109" s="43">
        <v>0</v>
      </c>
      <c r="BP109" s="42">
        <v>6.47</v>
      </c>
      <c r="BQ109" s="43" t="s">
        <v>1789</v>
      </c>
      <c r="BR109" s="3" t="str" cm="1">
        <f t="array" ref="BR10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09" s="3" t="str" cm="1">
        <f t="array" ref="BS10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09" s="3" t="str" cm="1">
        <f t="array" ref="BT10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09" s="3" t="str" cm="1">
        <f t="array" ref="BU10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09" s="48">
        <v>50</v>
      </c>
      <c r="BW109" s="1">
        <v>15</v>
      </c>
      <c r="BX109" s="44">
        <v>15</v>
      </c>
      <c r="BY109" s="51">
        <v>45792</v>
      </c>
      <c r="BZ109" s="5">
        <v>45838</v>
      </c>
      <c r="CA109" s="85">
        <v>0</v>
      </c>
      <c r="CB109" s="2">
        <v>0</v>
      </c>
      <c r="CC109" s="2">
        <v>1</v>
      </c>
      <c r="CD109" s="2">
        <v>1</v>
      </c>
      <c r="CE109" s="2">
        <v>1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O109" s="103"/>
      <c r="CP109" s="9"/>
      <c r="CQ109" s="10"/>
    </row>
    <row r="110" spans="2:95" x14ac:dyDescent="0.15">
      <c r="B110" s="36" t="s">
        <v>72</v>
      </c>
      <c r="C110" s="1" t="s">
        <v>87</v>
      </c>
      <c r="K110" s="1" t="s">
        <v>1773</v>
      </c>
      <c r="L110" s="1" t="s">
        <v>1750</v>
      </c>
      <c r="M110" s="1" t="s">
        <v>362</v>
      </c>
      <c r="N110" s="6">
        <v>14</v>
      </c>
      <c r="O110" s="1" t="s">
        <v>4</v>
      </c>
      <c r="P110" s="1">
        <v>3.5</v>
      </c>
      <c r="Q110" s="1">
        <v>12</v>
      </c>
      <c r="R110" s="1">
        <v>12</v>
      </c>
      <c r="S110" s="1">
        <v>30</v>
      </c>
      <c r="T110" s="1">
        <v>35</v>
      </c>
      <c r="U110" s="253">
        <v>3</v>
      </c>
      <c r="V110" s="1">
        <v>120</v>
      </c>
      <c r="W110" s="44">
        <v>190</v>
      </c>
      <c r="X110" s="40">
        <f>_xlfn.XLOOKUP("Ripening", CropPhenology_Cotton[Main_Stage], CropPhenology_Cotton[Start_GDD], "Not Found")</f>
        <v>2101</v>
      </c>
      <c r="Y110" s="4" cm="1">
        <f t="array" ref="Y11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0" s="3">
        <f t="shared" si="52"/>
        <v>16.362280701754386</v>
      </c>
      <c r="AA110" s="41">
        <f t="shared" si="53"/>
        <v>158.90205328901516</v>
      </c>
      <c r="AB110" s="1">
        <v>7.5</v>
      </c>
      <c r="AC110" s="1">
        <v>18</v>
      </c>
      <c r="AD110" s="1">
        <v>4</v>
      </c>
      <c r="AE110" s="1">
        <v>85</v>
      </c>
      <c r="AF110" s="1">
        <v>10</v>
      </c>
      <c r="AG110" s="1">
        <v>5</v>
      </c>
      <c r="AH110" s="3">
        <f t="shared" si="48"/>
        <v>3.1402992577597844</v>
      </c>
      <c r="AI110" s="1">
        <v>6</v>
      </c>
      <c r="AJ110" s="1">
        <v>8</v>
      </c>
      <c r="AK110" s="159">
        <v>7.7</v>
      </c>
      <c r="AL110" s="150">
        <v>5.1999999999999998E-2</v>
      </c>
      <c r="AM110" s="1">
        <v>700</v>
      </c>
      <c r="AN110" s="1">
        <v>900</v>
      </c>
      <c r="AO110" s="48">
        <v>3</v>
      </c>
      <c r="AP110" s="44">
        <v>150</v>
      </c>
      <c r="AQ110" s="42">
        <v>0.8</v>
      </c>
      <c r="AR110" s="1">
        <v>75</v>
      </c>
      <c r="AS110" s="1">
        <v>30</v>
      </c>
      <c r="AT110" s="1">
        <v>1</v>
      </c>
      <c r="AU110" s="4">
        <f t="shared" si="44"/>
        <v>4.4444444444444446</v>
      </c>
      <c r="AV110" s="3">
        <f t="shared" si="54"/>
        <v>0.16</v>
      </c>
      <c r="AW110" s="1">
        <v>85</v>
      </c>
      <c r="AX110" s="3">
        <f t="shared" si="57"/>
        <v>3.7777777777777777</v>
      </c>
      <c r="AY110" s="1">
        <v>3</v>
      </c>
      <c r="AZ110" s="4">
        <f t="shared" si="58"/>
        <v>11.333333333333332</v>
      </c>
      <c r="BA110" s="49">
        <v>0.9</v>
      </c>
      <c r="BB110" s="4">
        <f t="shared" si="47"/>
        <v>10.199999999999999</v>
      </c>
      <c r="BC110" s="50">
        <v>0.5</v>
      </c>
      <c r="BD110" s="69">
        <f>IFERROR(
  MAX(0.05, MIN(0.5, CropNorms_Cotton[[#This Row],[Leaf_Area_Per_Shoot_m2]] * CropNorms_Cotton[[#This Row],[Shoot_Bearing_m2]] )),
  0.2
)</f>
        <v>0.5</v>
      </c>
      <c r="BE110" s="4">
        <f>_xlfn.XLOOKUP(CropNorms_Cotton[[#This Row],[LAI_Start_BBCH]], CropPhenology_Cotton[Sub_Stage], CropPhenology_Cotton[Start_GDD], "Not Found")</f>
        <v>56</v>
      </c>
      <c r="BF110" s="3">
        <f>ROUND(CropNorms_Cotton[[#This Row],[Shoot_Bearing_m2]]*CropNorms_Cotton[[#This Row],[Leaf_Area_Per_Shoot_m2]],2)</f>
        <v>5.0999999999999996</v>
      </c>
      <c r="BG11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0" s="3">
        <f>IF(CropNorms_Cotton[[#This Row],[Max_LAI]]&gt;=1.2, 0.85*CropNorms_Cotton[[#This Row],[Max_LAI]], 1)</f>
        <v>4.335</v>
      </c>
      <c r="BI110" s="41">
        <f>_xlfn.XLOOKUP(CropNorms_Cotton[[#This Row],[LAI_End_BBCH]], CropPhenology_Cotton[Sub_Stage], CropPhenology_Cotton[End_GDD], "Not Found")</f>
        <v>2100</v>
      </c>
      <c r="BJ110" s="3" cm="1">
        <f t="array" ref="BJ11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0" s="3" cm="1">
        <f t="array" ref="BK11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0" s="3" cm="1">
        <f t="array" ref="BL11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0" s="3" cm="1">
        <f t="array" ref="BM11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0" s="42">
        <v>0.45</v>
      </c>
      <c r="BO110" s="43">
        <v>0</v>
      </c>
      <c r="BP110" s="42">
        <v>6.47</v>
      </c>
      <c r="BQ110" s="43" t="s">
        <v>1789</v>
      </c>
      <c r="BR110" s="3" t="str" cm="1">
        <f t="array" ref="BR11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0" s="3" t="str" cm="1">
        <f t="array" ref="BS11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0" s="3" t="str" cm="1">
        <f t="array" ref="BT11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0" s="3" t="str" cm="1">
        <f t="array" ref="BU11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0" s="48">
        <v>50</v>
      </c>
      <c r="BW110" s="1">
        <v>15</v>
      </c>
      <c r="BX110" s="44">
        <v>15</v>
      </c>
      <c r="BY110" s="51">
        <v>45792</v>
      </c>
      <c r="BZ110" s="5">
        <v>45838</v>
      </c>
      <c r="CA110" s="85">
        <v>0</v>
      </c>
      <c r="CB110" s="2">
        <v>0</v>
      </c>
      <c r="CC110" s="2">
        <v>1</v>
      </c>
      <c r="CD110" s="2">
        <v>1</v>
      </c>
      <c r="CE110" s="2">
        <v>1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O110" s="103"/>
      <c r="CP110" s="9"/>
      <c r="CQ110" s="10"/>
    </row>
    <row r="111" spans="2:95" x14ac:dyDescent="0.15">
      <c r="B111" s="36" t="s">
        <v>72</v>
      </c>
      <c r="C111" s="1" t="s">
        <v>88</v>
      </c>
      <c r="K111" s="1" t="s">
        <v>1773</v>
      </c>
      <c r="L111" s="1" t="s">
        <v>1750</v>
      </c>
      <c r="M111" s="1" t="s">
        <v>362</v>
      </c>
      <c r="N111" s="6">
        <v>14</v>
      </c>
      <c r="O111" s="1" t="s">
        <v>4</v>
      </c>
      <c r="P111" s="1">
        <v>3.5</v>
      </c>
      <c r="Q111" s="1">
        <v>12</v>
      </c>
      <c r="R111" s="1">
        <v>12</v>
      </c>
      <c r="S111" s="1">
        <v>30</v>
      </c>
      <c r="T111" s="1">
        <v>35</v>
      </c>
      <c r="U111" s="253">
        <v>3</v>
      </c>
      <c r="V111" s="1">
        <v>120</v>
      </c>
      <c r="W111" s="44">
        <v>190</v>
      </c>
      <c r="X111" s="40">
        <f>_xlfn.XLOOKUP("Ripening", CropPhenology_Cotton[Main_Stage], CropPhenology_Cotton[Start_GDD], "Not Found")</f>
        <v>2101</v>
      </c>
      <c r="Y111" s="4" cm="1">
        <f t="array" ref="Y11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1" s="3">
        <f t="shared" si="52"/>
        <v>16.362280701754386</v>
      </c>
      <c r="AA111" s="41">
        <f t="shared" si="53"/>
        <v>158.90205328901516</v>
      </c>
      <c r="AB111" s="1">
        <v>7.5</v>
      </c>
      <c r="AC111" s="1">
        <v>18</v>
      </c>
      <c r="AD111" s="1">
        <v>4</v>
      </c>
      <c r="AE111" s="1">
        <v>85</v>
      </c>
      <c r="AF111" s="1">
        <v>10</v>
      </c>
      <c r="AG111" s="1">
        <v>5</v>
      </c>
      <c r="AH111" s="3">
        <f t="shared" si="48"/>
        <v>3.1402992577597844</v>
      </c>
      <c r="AI111" s="1">
        <v>6</v>
      </c>
      <c r="AJ111" s="1">
        <v>8</v>
      </c>
      <c r="AK111" s="159">
        <v>7.7</v>
      </c>
      <c r="AL111" s="150">
        <v>5.1999999999999998E-2</v>
      </c>
      <c r="AM111" s="1">
        <v>700</v>
      </c>
      <c r="AN111" s="1">
        <v>900</v>
      </c>
      <c r="AO111" s="48">
        <v>3</v>
      </c>
      <c r="AP111" s="44">
        <v>150</v>
      </c>
      <c r="AQ111" s="42">
        <v>0.8</v>
      </c>
      <c r="AR111" s="1">
        <v>75</v>
      </c>
      <c r="AS111" s="1">
        <v>30</v>
      </c>
      <c r="AT111" s="1">
        <v>1</v>
      </c>
      <c r="AU111" s="4">
        <f t="shared" si="44"/>
        <v>4.4444444444444446</v>
      </c>
      <c r="AV111" s="3">
        <f t="shared" si="54"/>
        <v>0.16</v>
      </c>
      <c r="AW111" s="1">
        <v>85</v>
      </c>
      <c r="AX111" s="3">
        <f t="shared" si="57"/>
        <v>3.7777777777777777</v>
      </c>
      <c r="AY111" s="1">
        <v>3</v>
      </c>
      <c r="AZ111" s="4">
        <f t="shared" si="58"/>
        <v>11.333333333333332</v>
      </c>
      <c r="BA111" s="49">
        <v>0.9</v>
      </c>
      <c r="BB111" s="4">
        <f t="shared" si="47"/>
        <v>10.199999999999999</v>
      </c>
      <c r="BC111" s="50">
        <v>0.5</v>
      </c>
      <c r="BD111" s="69">
        <f>IFERROR(
  MAX(0.05, MIN(0.5, CropNorms_Cotton[[#This Row],[Leaf_Area_Per_Shoot_m2]] * CropNorms_Cotton[[#This Row],[Shoot_Bearing_m2]] )),
  0.2
)</f>
        <v>0.5</v>
      </c>
      <c r="BE111" s="4">
        <f>_xlfn.XLOOKUP(CropNorms_Cotton[[#This Row],[LAI_Start_BBCH]], CropPhenology_Cotton[Sub_Stage], CropPhenology_Cotton[Start_GDD], "Not Found")</f>
        <v>56</v>
      </c>
      <c r="BF111" s="3">
        <f>ROUND(CropNorms_Cotton[[#This Row],[Shoot_Bearing_m2]]*CropNorms_Cotton[[#This Row],[Leaf_Area_Per_Shoot_m2]],2)</f>
        <v>5.0999999999999996</v>
      </c>
      <c r="BG11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1" s="3">
        <f>IF(CropNorms_Cotton[[#This Row],[Max_LAI]]&gt;=1.2, 0.85*CropNorms_Cotton[[#This Row],[Max_LAI]], 1)</f>
        <v>4.335</v>
      </c>
      <c r="BI111" s="41">
        <f>_xlfn.XLOOKUP(CropNorms_Cotton[[#This Row],[LAI_End_BBCH]], CropPhenology_Cotton[Sub_Stage], CropPhenology_Cotton[End_GDD], "Not Found")</f>
        <v>2100</v>
      </c>
      <c r="BJ111" s="3" cm="1">
        <f t="array" ref="BJ11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1" s="3" cm="1">
        <f t="array" ref="BK11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1" s="3" cm="1">
        <f t="array" ref="BL11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1" s="3" cm="1">
        <f t="array" ref="BM11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1" s="42">
        <v>0.45</v>
      </c>
      <c r="BO111" s="43">
        <v>0</v>
      </c>
      <c r="BP111" s="42">
        <v>6.47</v>
      </c>
      <c r="BQ111" s="43" t="s">
        <v>1789</v>
      </c>
      <c r="BR111" s="3" t="str" cm="1">
        <f t="array" ref="BR11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1" s="3" t="str" cm="1">
        <f t="array" ref="BS11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1" s="3" t="str" cm="1">
        <f t="array" ref="BT11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1" s="3" t="str" cm="1">
        <f t="array" ref="BU11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1" s="48">
        <v>50</v>
      </c>
      <c r="BW111" s="1">
        <v>15</v>
      </c>
      <c r="BX111" s="44">
        <v>15</v>
      </c>
      <c r="BY111" s="51">
        <v>45792</v>
      </c>
      <c r="BZ111" s="5">
        <v>45838</v>
      </c>
      <c r="CA111" s="85">
        <v>0</v>
      </c>
      <c r="CB111" s="2">
        <v>0</v>
      </c>
      <c r="CC111" s="2">
        <v>1</v>
      </c>
      <c r="CD111" s="2">
        <v>1</v>
      </c>
      <c r="CE111" s="2">
        <v>1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O111" s="103"/>
      <c r="CP111" s="9"/>
      <c r="CQ111" s="10"/>
    </row>
    <row r="112" spans="2:95" x14ac:dyDescent="0.15">
      <c r="B112" s="36" t="s">
        <v>72</v>
      </c>
      <c r="C112" s="1" t="s">
        <v>89</v>
      </c>
      <c r="K112" s="1" t="s">
        <v>1773</v>
      </c>
      <c r="L112" s="1" t="s">
        <v>1750</v>
      </c>
      <c r="M112" s="1" t="s">
        <v>362</v>
      </c>
      <c r="N112" s="6">
        <v>14</v>
      </c>
      <c r="O112" s="1" t="s">
        <v>4</v>
      </c>
      <c r="P112" s="1">
        <v>3.5</v>
      </c>
      <c r="Q112" s="1">
        <v>12</v>
      </c>
      <c r="R112" s="1">
        <v>12</v>
      </c>
      <c r="S112" s="1">
        <v>30</v>
      </c>
      <c r="T112" s="1">
        <v>35</v>
      </c>
      <c r="U112" s="253">
        <v>3</v>
      </c>
      <c r="V112" s="1">
        <v>120</v>
      </c>
      <c r="W112" s="44">
        <v>190</v>
      </c>
      <c r="X112" s="40">
        <f>_xlfn.XLOOKUP("Ripening", CropPhenology_Cotton[Main_Stage], CropPhenology_Cotton[Start_GDD], "Not Found")</f>
        <v>2101</v>
      </c>
      <c r="Y112" s="4" cm="1">
        <f t="array" ref="Y11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2" s="3">
        <f t="shared" si="52"/>
        <v>16.362280701754386</v>
      </c>
      <c r="AA112" s="41">
        <f t="shared" si="53"/>
        <v>158.90205328901516</v>
      </c>
      <c r="AB112" s="1">
        <v>7.5</v>
      </c>
      <c r="AC112" s="1">
        <v>18</v>
      </c>
      <c r="AD112" s="1">
        <v>4</v>
      </c>
      <c r="AE112" s="1">
        <v>85</v>
      </c>
      <c r="AF112" s="1">
        <v>10</v>
      </c>
      <c r="AG112" s="1">
        <v>5</v>
      </c>
      <c r="AH112" s="3">
        <f t="shared" si="48"/>
        <v>3.1402992577597844</v>
      </c>
      <c r="AI112" s="1">
        <v>6</v>
      </c>
      <c r="AJ112" s="1">
        <v>8</v>
      </c>
      <c r="AK112" s="159">
        <v>7.7</v>
      </c>
      <c r="AL112" s="150">
        <v>5.1999999999999998E-2</v>
      </c>
      <c r="AM112" s="1">
        <v>700</v>
      </c>
      <c r="AN112" s="1">
        <v>900</v>
      </c>
      <c r="AO112" s="48">
        <v>3</v>
      </c>
      <c r="AP112" s="44">
        <v>150</v>
      </c>
      <c r="AQ112" s="42">
        <v>0.8</v>
      </c>
      <c r="AR112" s="1">
        <v>75</v>
      </c>
      <c r="AS112" s="1">
        <v>30</v>
      </c>
      <c r="AT112" s="1">
        <v>1</v>
      </c>
      <c r="AU112" s="4">
        <f t="shared" si="44"/>
        <v>4.4444444444444446</v>
      </c>
      <c r="AV112" s="3">
        <f t="shared" si="54"/>
        <v>0.16</v>
      </c>
      <c r="AW112" s="1">
        <v>85</v>
      </c>
      <c r="AX112" s="3">
        <f t="shared" si="57"/>
        <v>3.7777777777777777</v>
      </c>
      <c r="AY112" s="1">
        <v>3</v>
      </c>
      <c r="AZ112" s="4">
        <f t="shared" si="58"/>
        <v>11.333333333333332</v>
      </c>
      <c r="BA112" s="49">
        <v>0.9</v>
      </c>
      <c r="BB112" s="4">
        <f t="shared" si="47"/>
        <v>10.199999999999999</v>
      </c>
      <c r="BC112" s="50">
        <v>0.5</v>
      </c>
      <c r="BD112" s="69">
        <f>IFERROR(
  MAX(0.05, MIN(0.5, CropNorms_Cotton[[#This Row],[Leaf_Area_Per_Shoot_m2]] * CropNorms_Cotton[[#This Row],[Shoot_Bearing_m2]] )),
  0.2
)</f>
        <v>0.5</v>
      </c>
      <c r="BE112" s="4">
        <f>_xlfn.XLOOKUP(CropNorms_Cotton[[#This Row],[LAI_Start_BBCH]], CropPhenology_Cotton[Sub_Stage], CropPhenology_Cotton[Start_GDD], "Not Found")</f>
        <v>56</v>
      </c>
      <c r="BF112" s="3">
        <f>ROUND(CropNorms_Cotton[[#This Row],[Shoot_Bearing_m2]]*CropNorms_Cotton[[#This Row],[Leaf_Area_Per_Shoot_m2]],2)</f>
        <v>5.0999999999999996</v>
      </c>
      <c r="BG11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2" s="3">
        <f>IF(CropNorms_Cotton[[#This Row],[Max_LAI]]&gt;=1.2, 0.85*CropNorms_Cotton[[#This Row],[Max_LAI]], 1)</f>
        <v>4.335</v>
      </c>
      <c r="BI112" s="41">
        <f>_xlfn.XLOOKUP(CropNorms_Cotton[[#This Row],[LAI_End_BBCH]], CropPhenology_Cotton[Sub_Stage], CropPhenology_Cotton[End_GDD], "Not Found")</f>
        <v>2100</v>
      </c>
      <c r="BJ112" s="3" cm="1">
        <f t="array" ref="BJ11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2" s="3" cm="1">
        <f t="array" ref="BK11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2" s="3" cm="1">
        <f t="array" ref="BL11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2" s="3" cm="1">
        <f t="array" ref="BM11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2" s="42">
        <v>0.45</v>
      </c>
      <c r="BO112" s="43">
        <v>0</v>
      </c>
      <c r="BP112" s="42">
        <v>6.47</v>
      </c>
      <c r="BQ112" s="43" t="s">
        <v>1789</v>
      </c>
      <c r="BR112" s="3" t="str" cm="1">
        <f t="array" ref="BR11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2" s="3" t="str" cm="1">
        <f t="array" ref="BS11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2" s="3" t="str" cm="1">
        <f t="array" ref="BT11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2" s="3" t="str" cm="1">
        <f t="array" ref="BU11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2" s="48">
        <v>50</v>
      </c>
      <c r="BW112" s="1">
        <v>15</v>
      </c>
      <c r="BX112" s="44">
        <v>15</v>
      </c>
      <c r="BY112" s="51">
        <v>45792</v>
      </c>
      <c r="BZ112" s="5">
        <v>45838</v>
      </c>
      <c r="CA112" s="85">
        <v>0</v>
      </c>
      <c r="CB112" s="2">
        <v>0</v>
      </c>
      <c r="CC112" s="2">
        <v>1</v>
      </c>
      <c r="CD112" s="2">
        <v>1</v>
      </c>
      <c r="CE112" s="2">
        <v>1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O112" s="103"/>
      <c r="CP112" s="9"/>
      <c r="CQ112" s="10"/>
    </row>
    <row r="113" spans="2:95" x14ac:dyDescent="0.15">
      <c r="B113" s="36" t="s">
        <v>72</v>
      </c>
      <c r="C113" s="1" t="s">
        <v>90</v>
      </c>
      <c r="K113" s="1" t="s">
        <v>1773</v>
      </c>
      <c r="L113" s="1" t="s">
        <v>1750</v>
      </c>
      <c r="M113" s="1" t="s">
        <v>362</v>
      </c>
      <c r="N113" s="6">
        <v>14</v>
      </c>
      <c r="O113" s="1" t="s">
        <v>4</v>
      </c>
      <c r="P113" s="1">
        <v>3.5</v>
      </c>
      <c r="Q113" s="1">
        <v>12</v>
      </c>
      <c r="R113" s="1">
        <v>12</v>
      </c>
      <c r="S113" s="1">
        <v>30</v>
      </c>
      <c r="T113" s="1">
        <v>35</v>
      </c>
      <c r="U113" s="253">
        <v>3</v>
      </c>
      <c r="V113" s="1">
        <v>120</v>
      </c>
      <c r="W113" s="44">
        <v>190</v>
      </c>
      <c r="X113" s="40">
        <f>_xlfn.XLOOKUP("Ripening", CropPhenology_Cotton[Main_Stage], CropPhenology_Cotton[Start_GDD], "Not Found")</f>
        <v>2101</v>
      </c>
      <c r="Y113" s="4" cm="1">
        <f t="array" ref="Y11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3" s="3">
        <f t="shared" si="52"/>
        <v>16.362280701754386</v>
      </c>
      <c r="AA113" s="41">
        <f t="shared" si="53"/>
        <v>158.90205328901516</v>
      </c>
      <c r="AB113" s="1">
        <v>7.5</v>
      </c>
      <c r="AC113" s="1">
        <v>18</v>
      </c>
      <c r="AD113" s="1">
        <v>4</v>
      </c>
      <c r="AE113" s="1">
        <v>85</v>
      </c>
      <c r="AF113" s="1">
        <v>10</v>
      </c>
      <c r="AG113" s="1">
        <v>5</v>
      </c>
      <c r="AH113" s="3">
        <f t="shared" si="48"/>
        <v>3.1402992577597844</v>
      </c>
      <c r="AI113" s="1">
        <v>6</v>
      </c>
      <c r="AJ113" s="1">
        <v>8</v>
      </c>
      <c r="AK113" s="159">
        <v>7.7</v>
      </c>
      <c r="AL113" s="150">
        <v>5.1999999999999998E-2</v>
      </c>
      <c r="AM113" s="1">
        <v>700</v>
      </c>
      <c r="AN113" s="1">
        <v>900</v>
      </c>
      <c r="AO113" s="48">
        <v>3</v>
      </c>
      <c r="AP113" s="44">
        <v>150</v>
      </c>
      <c r="AQ113" s="42">
        <v>0.8</v>
      </c>
      <c r="AR113" s="1">
        <v>75</v>
      </c>
      <c r="AS113" s="1">
        <v>30</v>
      </c>
      <c r="AT113" s="1">
        <v>1</v>
      </c>
      <c r="AU113" s="4">
        <f t="shared" si="44"/>
        <v>4.4444444444444446</v>
      </c>
      <c r="AV113" s="3">
        <f t="shared" si="54"/>
        <v>0.16</v>
      </c>
      <c r="AW113" s="1">
        <v>85</v>
      </c>
      <c r="AX113" s="3">
        <f t="shared" si="57"/>
        <v>3.7777777777777777</v>
      </c>
      <c r="AY113" s="1">
        <v>3</v>
      </c>
      <c r="AZ113" s="4">
        <f t="shared" si="58"/>
        <v>11.333333333333332</v>
      </c>
      <c r="BA113" s="49">
        <v>0.9</v>
      </c>
      <c r="BB113" s="4">
        <f t="shared" si="47"/>
        <v>10.199999999999999</v>
      </c>
      <c r="BC113" s="50">
        <v>0.5</v>
      </c>
      <c r="BD113" s="69">
        <f>IFERROR(
  MAX(0.05, MIN(0.5, CropNorms_Cotton[[#This Row],[Leaf_Area_Per_Shoot_m2]] * CropNorms_Cotton[[#This Row],[Shoot_Bearing_m2]] )),
  0.2
)</f>
        <v>0.5</v>
      </c>
      <c r="BE113" s="4">
        <f>_xlfn.XLOOKUP(CropNorms_Cotton[[#This Row],[LAI_Start_BBCH]], CropPhenology_Cotton[Sub_Stage], CropPhenology_Cotton[Start_GDD], "Not Found")</f>
        <v>56</v>
      </c>
      <c r="BF113" s="3">
        <f>ROUND(CropNorms_Cotton[[#This Row],[Shoot_Bearing_m2]]*CropNorms_Cotton[[#This Row],[Leaf_Area_Per_Shoot_m2]],2)</f>
        <v>5.0999999999999996</v>
      </c>
      <c r="BG11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3" s="3">
        <f>IF(CropNorms_Cotton[[#This Row],[Max_LAI]]&gt;=1.2, 0.85*CropNorms_Cotton[[#This Row],[Max_LAI]], 1)</f>
        <v>4.335</v>
      </c>
      <c r="BI113" s="41">
        <f>_xlfn.XLOOKUP(CropNorms_Cotton[[#This Row],[LAI_End_BBCH]], CropPhenology_Cotton[Sub_Stage], CropPhenology_Cotton[End_GDD], "Not Found")</f>
        <v>2100</v>
      </c>
      <c r="BJ113" s="3" cm="1">
        <f t="array" ref="BJ11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3" s="3" cm="1">
        <f t="array" ref="BK11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3" s="3" cm="1">
        <f t="array" ref="BL11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3" s="3" cm="1">
        <f t="array" ref="BM11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3" s="42">
        <v>0.45</v>
      </c>
      <c r="BO113" s="43">
        <v>0</v>
      </c>
      <c r="BP113" s="42">
        <v>6.47</v>
      </c>
      <c r="BQ113" s="43" t="s">
        <v>1789</v>
      </c>
      <c r="BR113" s="3" t="str" cm="1">
        <f t="array" ref="BR11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3" s="3" t="str" cm="1">
        <f t="array" ref="BS11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3" s="3" t="str" cm="1">
        <f t="array" ref="BT11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3" s="3" t="str" cm="1">
        <f t="array" ref="BU11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3" s="48">
        <v>50</v>
      </c>
      <c r="BW113" s="1">
        <v>15</v>
      </c>
      <c r="BX113" s="44">
        <v>15</v>
      </c>
      <c r="BY113" s="51">
        <v>45792</v>
      </c>
      <c r="BZ113" s="5">
        <v>45838</v>
      </c>
      <c r="CA113" s="85">
        <v>0</v>
      </c>
      <c r="CB113" s="2">
        <v>0</v>
      </c>
      <c r="CC113" s="2">
        <v>1</v>
      </c>
      <c r="CD113" s="2">
        <v>1</v>
      </c>
      <c r="CE113" s="2">
        <v>1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O113" s="103"/>
      <c r="CP113" s="9"/>
      <c r="CQ113" s="10"/>
    </row>
    <row r="114" spans="2:95" x14ac:dyDescent="0.15">
      <c r="B114" s="36" t="s">
        <v>72</v>
      </c>
      <c r="C114" s="1" t="s">
        <v>91</v>
      </c>
      <c r="K114" s="1" t="s">
        <v>1773</v>
      </c>
      <c r="L114" s="1" t="s">
        <v>1750</v>
      </c>
      <c r="M114" s="1" t="s">
        <v>362</v>
      </c>
      <c r="N114" s="6">
        <v>14</v>
      </c>
      <c r="O114" s="1" t="s">
        <v>4</v>
      </c>
      <c r="P114" s="1">
        <v>3.5</v>
      </c>
      <c r="Q114" s="1">
        <v>12</v>
      </c>
      <c r="R114" s="1">
        <v>12</v>
      </c>
      <c r="S114" s="1">
        <v>30</v>
      </c>
      <c r="T114" s="1">
        <v>35</v>
      </c>
      <c r="U114" s="253">
        <v>3</v>
      </c>
      <c r="V114" s="1">
        <v>120</v>
      </c>
      <c r="W114" s="44">
        <v>190</v>
      </c>
      <c r="X114" s="40">
        <f>_xlfn.XLOOKUP("Ripening", CropPhenology_Cotton[Main_Stage], CropPhenology_Cotton[Start_GDD], "Not Found")</f>
        <v>2101</v>
      </c>
      <c r="Y114" s="4" cm="1">
        <f t="array" ref="Y11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4" s="3">
        <f t="shared" si="52"/>
        <v>16.362280701754386</v>
      </c>
      <c r="AA114" s="41">
        <f t="shared" si="53"/>
        <v>158.90205328901516</v>
      </c>
      <c r="AB114" s="1">
        <v>7.5</v>
      </c>
      <c r="AC114" s="1">
        <v>18</v>
      </c>
      <c r="AD114" s="1">
        <v>4</v>
      </c>
      <c r="AE114" s="1">
        <v>85</v>
      </c>
      <c r="AF114" s="1">
        <v>10</v>
      </c>
      <c r="AG114" s="1">
        <v>5</v>
      </c>
      <c r="AH114" s="3">
        <f t="shared" si="48"/>
        <v>3.1402992577597844</v>
      </c>
      <c r="AI114" s="1">
        <v>6</v>
      </c>
      <c r="AJ114" s="1">
        <v>8</v>
      </c>
      <c r="AK114" s="159">
        <v>7.7</v>
      </c>
      <c r="AL114" s="150">
        <v>5.1999999999999998E-2</v>
      </c>
      <c r="AM114" s="1">
        <v>700</v>
      </c>
      <c r="AN114" s="1">
        <v>900</v>
      </c>
      <c r="AO114" s="48">
        <v>3</v>
      </c>
      <c r="AP114" s="44">
        <v>150</v>
      </c>
      <c r="AQ114" s="42">
        <v>0.8</v>
      </c>
      <c r="AR114" s="1">
        <v>75</v>
      </c>
      <c r="AS114" s="1">
        <v>30</v>
      </c>
      <c r="AT114" s="1">
        <v>1</v>
      </c>
      <c r="AU114" s="4">
        <f t="shared" si="44"/>
        <v>4.4444444444444446</v>
      </c>
      <c r="AV114" s="3">
        <f t="shared" si="54"/>
        <v>0.16</v>
      </c>
      <c r="AW114" s="1">
        <v>85</v>
      </c>
      <c r="AX114" s="3">
        <f t="shared" si="57"/>
        <v>3.7777777777777777</v>
      </c>
      <c r="AY114" s="1">
        <v>3</v>
      </c>
      <c r="AZ114" s="4">
        <f t="shared" si="58"/>
        <v>11.333333333333332</v>
      </c>
      <c r="BA114" s="49">
        <v>0.9</v>
      </c>
      <c r="BB114" s="4">
        <f t="shared" si="47"/>
        <v>10.199999999999999</v>
      </c>
      <c r="BC114" s="50">
        <v>0.5</v>
      </c>
      <c r="BD114" s="69">
        <f>IFERROR(
  MAX(0.05, MIN(0.5, CropNorms_Cotton[[#This Row],[Leaf_Area_Per_Shoot_m2]] * CropNorms_Cotton[[#This Row],[Shoot_Bearing_m2]] )),
  0.2
)</f>
        <v>0.5</v>
      </c>
      <c r="BE114" s="4">
        <f>_xlfn.XLOOKUP(CropNorms_Cotton[[#This Row],[LAI_Start_BBCH]], CropPhenology_Cotton[Sub_Stage], CropPhenology_Cotton[Start_GDD], "Not Found")</f>
        <v>56</v>
      </c>
      <c r="BF114" s="3">
        <f>ROUND(CropNorms_Cotton[[#This Row],[Shoot_Bearing_m2]]*CropNorms_Cotton[[#This Row],[Leaf_Area_Per_Shoot_m2]],2)</f>
        <v>5.0999999999999996</v>
      </c>
      <c r="BG11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4" s="3">
        <f>IF(CropNorms_Cotton[[#This Row],[Max_LAI]]&gt;=1.2, 0.85*CropNorms_Cotton[[#This Row],[Max_LAI]], 1)</f>
        <v>4.335</v>
      </c>
      <c r="BI114" s="41">
        <f>_xlfn.XLOOKUP(CropNorms_Cotton[[#This Row],[LAI_End_BBCH]], CropPhenology_Cotton[Sub_Stage], CropPhenology_Cotton[End_GDD], "Not Found")</f>
        <v>2100</v>
      </c>
      <c r="BJ114" s="3" cm="1">
        <f t="array" ref="BJ11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4" s="3" cm="1">
        <f t="array" ref="BK11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4" s="3" cm="1">
        <f t="array" ref="BL11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4" s="3" cm="1">
        <f t="array" ref="BM11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4" s="42">
        <v>0.45</v>
      </c>
      <c r="BO114" s="43">
        <v>0</v>
      </c>
      <c r="BP114" s="42">
        <v>6.47</v>
      </c>
      <c r="BQ114" s="43" t="s">
        <v>1789</v>
      </c>
      <c r="BR114" s="3" t="str" cm="1">
        <f t="array" ref="BR11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4" s="3" t="str" cm="1">
        <f t="array" ref="BS11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4" s="3" t="str" cm="1">
        <f t="array" ref="BT11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4" s="3" t="str" cm="1">
        <f t="array" ref="BU11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4" s="48">
        <v>50</v>
      </c>
      <c r="BW114" s="1">
        <v>15</v>
      </c>
      <c r="BX114" s="44">
        <v>15</v>
      </c>
      <c r="BY114" s="51">
        <v>45792</v>
      </c>
      <c r="BZ114" s="5">
        <v>45838</v>
      </c>
      <c r="CA114" s="85">
        <v>0</v>
      </c>
      <c r="CB114" s="2">
        <v>0</v>
      </c>
      <c r="CC114" s="2">
        <v>1</v>
      </c>
      <c r="CD114" s="2">
        <v>1</v>
      </c>
      <c r="CE114" s="2">
        <v>1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O114" s="103"/>
      <c r="CP114" s="9"/>
      <c r="CQ114" s="10"/>
    </row>
    <row r="115" spans="2:95" x14ac:dyDescent="0.15">
      <c r="B115" s="36" t="s">
        <v>72</v>
      </c>
      <c r="C115" s="1" t="s">
        <v>92</v>
      </c>
      <c r="K115" s="1" t="s">
        <v>1773</v>
      </c>
      <c r="L115" s="1" t="s">
        <v>1750</v>
      </c>
      <c r="M115" s="1" t="s">
        <v>362</v>
      </c>
      <c r="N115" s="6">
        <v>14</v>
      </c>
      <c r="O115" s="1" t="s">
        <v>4</v>
      </c>
      <c r="P115" s="1">
        <v>3.5</v>
      </c>
      <c r="Q115" s="1">
        <v>12</v>
      </c>
      <c r="R115" s="1">
        <v>12</v>
      </c>
      <c r="S115" s="1">
        <v>30</v>
      </c>
      <c r="T115" s="1">
        <v>35</v>
      </c>
      <c r="U115" s="253">
        <v>3</v>
      </c>
      <c r="V115" s="1">
        <v>120</v>
      </c>
      <c r="W115" s="44">
        <v>190</v>
      </c>
      <c r="X115" s="40">
        <f>_xlfn.XLOOKUP("Ripening", CropPhenology_Cotton[Main_Stage], CropPhenology_Cotton[Start_GDD], "Not Found")</f>
        <v>2101</v>
      </c>
      <c r="Y115" s="4" cm="1">
        <f t="array" ref="Y11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5" s="3">
        <f t="shared" si="52"/>
        <v>16.362280701754386</v>
      </c>
      <c r="AA115" s="41">
        <f t="shared" si="53"/>
        <v>158.90205328901516</v>
      </c>
      <c r="AB115" s="1">
        <v>7.5</v>
      </c>
      <c r="AC115" s="1">
        <v>18</v>
      </c>
      <c r="AD115" s="1">
        <v>4</v>
      </c>
      <c r="AE115" s="1">
        <v>85</v>
      </c>
      <c r="AF115" s="1">
        <v>10</v>
      </c>
      <c r="AG115" s="1">
        <v>5</v>
      </c>
      <c r="AH115" s="3">
        <f t="shared" si="48"/>
        <v>3.1402992577597844</v>
      </c>
      <c r="AI115" s="1">
        <v>6</v>
      </c>
      <c r="AJ115" s="1">
        <v>8</v>
      </c>
      <c r="AK115" s="159">
        <v>7.7</v>
      </c>
      <c r="AL115" s="150">
        <v>5.1999999999999998E-2</v>
      </c>
      <c r="AM115" s="1">
        <v>700</v>
      </c>
      <c r="AN115" s="1">
        <v>900</v>
      </c>
      <c r="AO115" s="48">
        <v>3</v>
      </c>
      <c r="AP115" s="44">
        <v>150</v>
      </c>
      <c r="AQ115" s="42">
        <v>0.8</v>
      </c>
      <c r="AR115" s="1">
        <v>75</v>
      </c>
      <c r="AS115" s="1">
        <v>30</v>
      </c>
      <c r="AT115" s="1">
        <v>1</v>
      </c>
      <c r="AU115" s="4">
        <f t="shared" si="44"/>
        <v>4.4444444444444446</v>
      </c>
      <c r="AV115" s="3">
        <f t="shared" si="54"/>
        <v>0.16</v>
      </c>
      <c r="AW115" s="1">
        <v>85</v>
      </c>
      <c r="AX115" s="3">
        <f t="shared" si="57"/>
        <v>3.7777777777777777</v>
      </c>
      <c r="AY115" s="1">
        <v>3</v>
      </c>
      <c r="AZ115" s="4">
        <f t="shared" si="58"/>
        <v>11.333333333333332</v>
      </c>
      <c r="BA115" s="49">
        <v>0.9</v>
      </c>
      <c r="BB115" s="4">
        <f t="shared" si="47"/>
        <v>10.199999999999999</v>
      </c>
      <c r="BC115" s="50">
        <v>0.5</v>
      </c>
      <c r="BD115" s="69">
        <f>IFERROR(
  MAX(0.05, MIN(0.5, CropNorms_Cotton[[#This Row],[Leaf_Area_Per_Shoot_m2]] * CropNorms_Cotton[[#This Row],[Shoot_Bearing_m2]] )),
  0.2
)</f>
        <v>0.5</v>
      </c>
      <c r="BE115" s="4">
        <f>_xlfn.XLOOKUP(CropNorms_Cotton[[#This Row],[LAI_Start_BBCH]], CropPhenology_Cotton[Sub_Stage], CropPhenology_Cotton[Start_GDD], "Not Found")</f>
        <v>56</v>
      </c>
      <c r="BF115" s="3">
        <f>ROUND(CropNorms_Cotton[[#This Row],[Shoot_Bearing_m2]]*CropNorms_Cotton[[#This Row],[Leaf_Area_Per_Shoot_m2]],2)</f>
        <v>5.0999999999999996</v>
      </c>
      <c r="BG11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5" s="3">
        <f>IF(CropNorms_Cotton[[#This Row],[Max_LAI]]&gt;=1.2, 0.85*CropNorms_Cotton[[#This Row],[Max_LAI]], 1)</f>
        <v>4.335</v>
      </c>
      <c r="BI115" s="41">
        <f>_xlfn.XLOOKUP(CropNorms_Cotton[[#This Row],[LAI_End_BBCH]], CropPhenology_Cotton[Sub_Stage], CropPhenology_Cotton[End_GDD], "Not Found")</f>
        <v>2100</v>
      </c>
      <c r="BJ115" s="3" cm="1">
        <f t="array" ref="BJ11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5" s="3" cm="1">
        <f t="array" ref="BK11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5" s="3" cm="1">
        <f t="array" ref="BL11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5" s="3" cm="1">
        <f t="array" ref="BM11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5" s="42">
        <v>0.45</v>
      </c>
      <c r="BO115" s="43">
        <v>0</v>
      </c>
      <c r="BP115" s="42">
        <v>6.47</v>
      </c>
      <c r="BQ115" s="43" t="s">
        <v>1789</v>
      </c>
      <c r="BR115" s="3" t="str" cm="1">
        <f t="array" ref="BR11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5" s="3" t="str" cm="1">
        <f t="array" ref="BS11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5" s="3" t="str" cm="1">
        <f t="array" ref="BT11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5" s="3" t="str" cm="1">
        <f t="array" ref="BU11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5" s="48">
        <v>50</v>
      </c>
      <c r="BW115" s="1">
        <v>15</v>
      </c>
      <c r="BX115" s="44">
        <v>15</v>
      </c>
      <c r="BY115" s="51">
        <v>45792</v>
      </c>
      <c r="BZ115" s="5">
        <v>45838</v>
      </c>
      <c r="CA115" s="85">
        <v>0</v>
      </c>
      <c r="CB115" s="2">
        <v>0</v>
      </c>
      <c r="CC115" s="2">
        <v>1</v>
      </c>
      <c r="CD115" s="2">
        <v>1</v>
      </c>
      <c r="CE115" s="2">
        <v>1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O115" s="103"/>
      <c r="CP115" s="9"/>
      <c r="CQ115" s="10"/>
    </row>
    <row r="116" spans="2:95" x14ac:dyDescent="0.15">
      <c r="B116" s="36" t="s">
        <v>72</v>
      </c>
      <c r="C116" s="1" t="s">
        <v>93</v>
      </c>
      <c r="K116" s="1" t="s">
        <v>1773</v>
      </c>
      <c r="L116" s="1" t="s">
        <v>1750</v>
      </c>
      <c r="M116" s="1" t="s">
        <v>362</v>
      </c>
      <c r="N116" s="6">
        <v>14</v>
      </c>
      <c r="O116" s="1" t="s">
        <v>4</v>
      </c>
      <c r="P116" s="1">
        <v>3.5</v>
      </c>
      <c r="Q116" s="1">
        <v>12</v>
      </c>
      <c r="R116" s="1">
        <v>12</v>
      </c>
      <c r="S116" s="1">
        <v>30</v>
      </c>
      <c r="T116" s="1">
        <v>35</v>
      </c>
      <c r="U116" s="253">
        <v>3</v>
      </c>
      <c r="V116" s="1">
        <v>120</v>
      </c>
      <c r="W116" s="44">
        <v>190</v>
      </c>
      <c r="X116" s="40">
        <f>_xlfn.XLOOKUP("Ripening", CropPhenology_Cotton[Main_Stage], CropPhenology_Cotton[Start_GDD], "Not Found")</f>
        <v>2101</v>
      </c>
      <c r="Y116" s="4" cm="1">
        <f t="array" ref="Y11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6" s="3">
        <f t="shared" si="52"/>
        <v>16.362280701754386</v>
      </c>
      <c r="AA116" s="41">
        <f t="shared" si="53"/>
        <v>158.90205328901516</v>
      </c>
      <c r="AB116" s="1">
        <v>7.5</v>
      </c>
      <c r="AC116" s="1">
        <v>18</v>
      </c>
      <c r="AD116" s="1">
        <v>4</v>
      </c>
      <c r="AE116" s="1">
        <v>85</v>
      </c>
      <c r="AF116" s="1">
        <v>10</v>
      </c>
      <c r="AG116" s="1">
        <v>5</v>
      </c>
      <c r="AH116" s="3">
        <f t="shared" si="48"/>
        <v>3.1402992577597844</v>
      </c>
      <c r="AI116" s="1">
        <v>6</v>
      </c>
      <c r="AJ116" s="1">
        <v>8</v>
      </c>
      <c r="AK116" s="159">
        <v>7.7</v>
      </c>
      <c r="AL116" s="150">
        <v>5.1999999999999998E-2</v>
      </c>
      <c r="AM116" s="1">
        <v>700</v>
      </c>
      <c r="AN116" s="1">
        <v>900</v>
      </c>
      <c r="AO116" s="48">
        <v>3</v>
      </c>
      <c r="AP116" s="44">
        <v>150</v>
      </c>
      <c r="AQ116" s="42">
        <v>0.8</v>
      </c>
      <c r="AR116" s="1">
        <v>75</v>
      </c>
      <c r="AS116" s="1">
        <v>30</v>
      </c>
      <c r="AT116" s="1">
        <v>1</v>
      </c>
      <c r="AU116" s="4">
        <f t="shared" si="44"/>
        <v>4.4444444444444446</v>
      </c>
      <c r="AV116" s="3">
        <f t="shared" si="54"/>
        <v>0.16</v>
      </c>
      <c r="AW116" s="1">
        <v>85</v>
      </c>
      <c r="AX116" s="3">
        <f t="shared" si="57"/>
        <v>3.7777777777777777</v>
      </c>
      <c r="AY116" s="1">
        <v>3</v>
      </c>
      <c r="AZ116" s="4">
        <f t="shared" si="58"/>
        <v>11.333333333333332</v>
      </c>
      <c r="BA116" s="49">
        <v>0.9</v>
      </c>
      <c r="BB116" s="4">
        <f t="shared" si="47"/>
        <v>10.199999999999999</v>
      </c>
      <c r="BC116" s="50">
        <v>0.5</v>
      </c>
      <c r="BD116" s="69">
        <f>IFERROR(
  MAX(0.05, MIN(0.5, CropNorms_Cotton[[#This Row],[Leaf_Area_Per_Shoot_m2]] * CropNorms_Cotton[[#This Row],[Shoot_Bearing_m2]] )),
  0.2
)</f>
        <v>0.5</v>
      </c>
      <c r="BE116" s="4">
        <f>_xlfn.XLOOKUP(CropNorms_Cotton[[#This Row],[LAI_Start_BBCH]], CropPhenology_Cotton[Sub_Stage], CropPhenology_Cotton[Start_GDD], "Not Found")</f>
        <v>56</v>
      </c>
      <c r="BF116" s="3">
        <f>ROUND(CropNorms_Cotton[[#This Row],[Shoot_Bearing_m2]]*CropNorms_Cotton[[#This Row],[Leaf_Area_Per_Shoot_m2]],2)</f>
        <v>5.0999999999999996</v>
      </c>
      <c r="BG11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6" s="3">
        <f>IF(CropNorms_Cotton[[#This Row],[Max_LAI]]&gt;=1.2, 0.85*CropNorms_Cotton[[#This Row],[Max_LAI]], 1)</f>
        <v>4.335</v>
      </c>
      <c r="BI116" s="41">
        <f>_xlfn.XLOOKUP(CropNorms_Cotton[[#This Row],[LAI_End_BBCH]], CropPhenology_Cotton[Sub_Stage], CropPhenology_Cotton[End_GDD], "Not Found")</f>
        <v>2100</v>
      </c>
      <c r="BJ116" s="3" cm="1">
        <f t="array" ref="BJ11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6" s="3" cm="1">
        <f t="array" ref="BK11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6" s="3" cm="1">
        <f t="array" ref="BL11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6" s="3" cm="1">
        <f t="array" ref="BM11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6" s="42">
        <v>0.45</v>
      </c>
      <c r="BO116" s="43">
        <v>0</v>
      </c>
      <c r="BP116" s="42">
        <v>6.47</v>
      </c>
      <c r="BQ116" s="43" t="s">
        <v>1789</v>
      </c>
      <c r="BR116" s="3" t="str" cm="1">
        <f t="array" ref="BR11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6" s="3" t="str" cm="1">
        <f t="array" ref="BS11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6" s="3" t="str" cm="1">
        <f t="array" ref="BT11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6" s="3" t="str" cm="1">
        <f t="array" ref="BU11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6" s="48">
        <v>50</v>
      </c>
      <c r="BW116" s="1">
        <v>15</v>
      </c>
      <c r="BX116" s="44">
        <v>15</v>
      </c>
      <c r="BY116" s="51">
        <v>45792</v>
      </c>
      <c r="BZ116" s="5">
        <v>45838</v>
      </c>
      <c r="CA116" s="85">
        <v>0</v>
      </c>
      <c r="CB116" s="2">
        <v>0</v>
      </c>
      <c r="CC116" s="2">
        <v>1</v>
      </c>
      <c r="CD116" s="2">
        <v>1</v>
      </c>
      <c r="CE116" s="2">
        <v>1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O116" s="103"/>
      <c r="CP116" s="9"/>
      <c r="CQ116" s="10"/>
    </row>
    <row r="117" spans="2:95" x14ac:dyDescent="0.15">
      <c r="B117" s="36" t="s">
        <v>72</v>
      </c>
      <c r="C117" s="1" t="s">
        <v>94</v>
      </c>
      <c r="K117" s="1" t="s">
        <v>1773</v>
      </c>
      <c r="L117" s="1" t="s">
        <v>1750</v>
      </c>
      <c r="M117" s="1" t="s">
        <v>362</v>
      </c>
      <c r="N117" s="6">
        <v>14</v>
      </c>
      <c r="O117" s="1" t="s">
        <v>4</v>
      </c>
      <c r="P117" s="1">
        <v>3.5</v>
      </c>
      <c r="Q117" s="1">
        <v>12</v>
      </c>
      <c r="R117" s="1">
        <v>12</v>
      </c>
      <c r="S117" s="1">
        <v>30</v>
      </c>
      <c r="T117" s="1">
        <v>35</v>
      </c>
      <c r="U117" s="253">
        <v>3</v>
      </c>
      <c r="V117" s="1">
        <v>120</v>
      </c>
      <c r="W117" s="44">
        <v>190</v>
      </c>
      <c r="X117" s="40">
        <f>_xlfn.XLOOKUP("Ripening", CropPhenology_Cotton[Main_Stage], CropPhenology_Cotton[Start_GDD], "Not Found")</f>
        <v>2101</v>
      </c>
      <c r="Y117" s="4" cm="1">
        <f t="array" ref="Y11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7" s="3">
        <f t="shared" si="52"/>
        <v>16.362280701754386</v>
      </c>
      <c r="AA117" s="41">
        <f t="shared" si="53"/>
        <v>158.90205328901516</v>
      </c>
      <c r="AB117" s="1">
        <v>7.5</v>
      </c>
      <c r="AC117" s="1">
        <v>18</v>
      </c>
      <c r="AD117" s="1">
        <v>4</v>
      </c>
      <c r="AE117" s="1">
        <v>85</v>
      </c>
      <c r="AF117" s="1">
        <v>10</v>
      </c>
      <c r="AG117" s="1">
        <v>5</v>
      </c>
      <c r="AH117" s="3">
        <f t="shared" si="48"/>
        <v>3.1402992577597844</v>
      </c>
      <c r="AI117" s="1">
        <v>6</v>
      </c>
      <c r="AJ117" s="1">
        <v>8</v>
      </c>
      <c r="AK117" s="159">
        <v>7.7</v>
      </c>
      <c r="AL117" s="150">
        <v>5.1999999999999998E-2</v>
      </c>
      <c r="AM117" s="1">
        <v>700</v>
      </c>
      <c r="AN117" s="1">
        <v>900</v>
      </c>
      <c r="AO117" s="48">
        <v>3</v>
      </c>
      <c r="AP117" s="44">
        <v>150</v>
      </c>
      <c r="AQ117" s="42">
        <v>0.8</v>
      </c>
      <c r="AR117" s="1">
        <v>75</v>
      </c>
      <c r="AS117" s="1">
        <v>30</v>
      </c>
      <c r="AT117" s="1">
        <v>1</v>
      </c>
      <c r="AU117" s="4">
        <f t="shared" si="44"/>
        <v>4.4444444444444446</v>
      </c>
      <c r="AV117" s="3">
        <f t="shared" si="54"/>
        <v>0.16</v>
      </c>
      <c r="AW117" s="1">
        <v>85</v>
      </c>
      <c r="AX117" s="3">
        <f t="shared" si="57"/>
        <v>3.7777777777777777</v>
      </c>
      <c r="AY117" s="1">
        <v>3</v>
      </c>
      <c r="AZ117" s="4">
        <f t="shared" si="58"/>
        <v>11.333333333333332</v>
      </c>
      <c r="BA117" s="49">
        <v>0.9</v>
      </c>
      <c r="BB117" s="4">
        <f t="shared" si="47"/>
        <v>10.199999999999999</v>
      </c>
      <c r="BC117" s="50">
        <v>0.5</v>
      </c>
      <c r="BD117" s="69">
        <f>IFERROR(
  MAX(0.05, MIN(0.5, CropNorms_Cotton[[#This Row],[Leaf_Area_Per_Shoot_m2]] * CropNorms_Cotton[[#This Row],[Shoot_Bearing_m2]] )),
  0.2
)</f>
        <v>0.5</v>
      </c>
      <c r="BE117" s="4">
        <f>_xlfn.XLOOKUP(CropNorms_Cotton[[#This Row],[LAI_Start_BBCH]], CropPhenology_Cotton[Sub_Stage], CropPhenology_Cotton[Start_GDD], "Not Found")</f>
        <v>56</v>
      </c>
      <c r="BF117" s="3">
        <f>ROUND(CropNorms_Cotton[[#This Row],[Shoot_Bearing_m2]]*CropNorms_Cotton[[#This Row],[Leaf_Area_Per_Shoot_m2]],2)</f>
        <v>5.0999999999999996</v>
      </c>
      <c r="BG11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7" s="3">
        <f>IF(CropNorms_Cotton[[#This Row],[Max_LAI]]&gt;=1.2, 0.85*CropNorms_Cotton[[#This Row],[Max_LAI]], 1)</f>
        <v>4.335</v>
      </c>
      <c r="BI117" s="41">
        <f>_xlfn.XLOOKUP(CropNorms_Cotton[[#This Row],[LAI_End_BBCH]], CropPhenology_Cotton[Sub_Stage], CropPhenology_Cotton[End_GDD], "Not Found")</f>
        <v>2100</v>
      </c>
      <c r="BJ117" s="3" cm="1">
        <f t="array" ref="BJ11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7" s="3" cm="1">
        <f t="array" ref="BK11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7" s="3" cm="1">
        <f t="array" ref="BL11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7" s="3" cm="1">
        <f t="array" ref="BM11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7" s="42">
        <v>0.45</v>
      </c>
      <c r="BO117" s="43">
        <v>0</v>
      </c>
      <c r="BP117" s="42">
        <v>6.47</v>
      </c>
      <c r="BQ117" s="43" t="s">
        <v>1789</v>
      </c>
      <c r="BR117" s="3" t="str" cm="1">
        <f t="array" ref="BR11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7" s="3" t="str" cm="1">
        <f t="array" ref="BS11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7" s="3" t="str" cm="1">
        <f t="array" ref="BT11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7" s="3" t="str" cm="1">
        <f t="array" ref="BU11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7" s="48">
        <v>50</v>
      </c>
      <c r="BW117" s="1">
        <v>15</v>
      </c>
      <c r="BX117" s="44">
        <v>15</v>
      </c>
      <c r="BY117" s="51">
        <v>45792</v>
      </c>
      <c r="BZ117" s="5">
        <v>45838</v>
      </c>
      <c r="CA117" s="85">
        <v>0</v>
      </c>
      <c r="CB117" s="2">
        <v>0</v>
      </c>
      <c r="CC117" s="2">
        <v>1</v>
      </c>
      <c r="CD117" s="2">
        <v>1</v>
      </c>
      <c r="CE117" s="2">
        <v>1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O117" s="103"/>
      <c r="CP117" s="9"/>
      <c r="CQ117" s="10"/>
    </row>
    <row r="118" spans="2:95" x14ac:dyDescent="0.15">
      <c r="B118" s="36" t="s">
        <v>72</v>
      </c>
      <c r="C118" s="1" t="s">
        <v>95</v>
      </c>
      <c r="K118" s="1" t="s">
        <v>1773</v>
      </c>
      <c r="L118" s="1" t="s">
        <v>1750</v>
      </c>
      <c r="M118" s="1" t="s">
        <v>362</v>
      </c>
      <c r="N118" s="6">
        <v>14</v>
      </c>
      <c r="O118" s="1" t="s">
        <v>4</v>
      </c>
      <c r="P118" s="1">
        <v>3.5</v>
      </c>
      <c r="Q118" s="1">
        <v>12</v>
      </c>
      <c r="R118" s="1">
        <v>12</v>
      </c>
      <c r="S118" s="1">
        <v>30</v>
      </c>
      <c r="T118" s="1">
        <v>35</v>
      </c>
      <c r="U118" s="253">
        <v>3</v>
      </c>
      <c r="V118" s="1">
        <v>120</v>
      </c>
      <c r="W118" s="44">
        <v>190</v>
      </c>
      <c r="X118" s="40">
        <f>_xlfn.XLOOKUP("Ripening", CropPhenology_Cotton[Main_Stage], CropPhenology_Cotton[Start_GDD], "Not Found")</f>
        <v>2101</v>
      </c>
      <c r="Y118" s="4" cm="1">
        <f t="array" ref="Y11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8" s="3">
        <f t="shared" si="52"/>
        <v>16.362280701754386</v>
      </c>
      <c r="AA118" s="41">
        <f t="shared" si="53"/>
        <v>158.90205328901516</v>
      </c>
      <c r="AB118" s="1">
        <v>7.5</v>
      </c>
      <c r="AC118" s="1">
        <v>18</v>
      </c>
      <c r="AD118" s="1">
        <v>4</v>
      </c>
      <c r="AE118" s="1">
        <v>85</v>
      </c>
      <c r="AF118" s="1">
        <v>10</v>
      </c>
      <c r="AG118" s="1">
        <v>5</v>
      </c>
      <c r="AH118" s="3">
        <f t="shared" si="48"/>
        <v>3.1402992577597844</v>
      </c>
      <c r="AI118" s="1">
        <v>6</v>
      </c>
      <c r="AJ118" s="1">
        <v>8</v>
      </c>
      <c r="AK118" s="159">
        <v>7.7</v>
      </c>
      <c r="AL118" s="150">
        <v>5.1999999999999998E-2</v>
      </c>
      <c r="AM118" s="1">
        <v>700</v>
      </c>
      <c r="AN118" s="1">
        <v>900</v>
      </c>
      <c r="AO118" s="48">
        <v>3</v>
      </c>
      <c r="AP118" s="44">
        <v>150</v>
      </c>
      <c r="AQ118" s="42">
        <v>0.8</v>
      </c>
      <c r="AR118" s="1">
        <v>75</v>
      </c>
      <c r="AS118" s="1">
        <v>30</v>
      </c>
      <c r="AT118" s="1">
        <v>1</v>
      </c>
      <c r="AU118" s="4">
        <f t="shared" si="44"/>
        <v>4.4444444444444446</v>
      </c>
      <c r="AV118" s="3">
        <f t="shared" si="54"/>
        <v>0.16</v>
      </c>
      <c r="AW118" s="1">
        <v>85</v>
      </c>
      <c r="AX118" s="3">
        <f t="shared" si="57"/>
        <v>3.7777777777777777</v>
      </c>
      <c r="AY118" s="1">
        <v>3</v>
      </c>
      <c r="AZ118" s="4">
        <f t="shared" si="58"/>
        <v>11.333333333333332</v>
      </c>
      <c r="BA118" s="49">
        <v>0.9</v>
      </c>
      <c r="BB118" s="4">
        <f t="shared" si="47"/>
        <v>10.199999999999999</v>
      </c>
      <c r="BC118" s="50">
        <v>0.5</v>
      </c>
      <c r="BD118" s="69">
        <f>IFERROR(
  MAX(0.05, MIN(0.5, CropNorms_Cotton[[#This Row],[Leaf_Area_Per_Shoot_m2]] * CropNorms_Cotton[[#This Row],[Shoot_Bearing_m2]] )),
  0.2
)</f>
        <v>0.5</v>
      </c>
      <c r="BE118" s="4">
        <f>_xlfn.XLOOKUP(CropNorms_Cotton[[#This Row],[LAI_Start_BBCH]], CropPhenology_Cotton[Sub_Stage], CropPhenology_Cotton[Start_GDD], "Not Found")</f>
        <v>56</v>
      </c>
      <c r="BF118" s="3">
        <f>ROUND(CropNorms_Cotton[[#This Row],[Shoot_Bearing_m2]]*CropNorms_Cotton[[#This Row],[Leaf_Area_Per_Shoot_m2]],2)</f>
        <v>5.0999999999999996</v>
      </c>
      <c r="BG11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8" s="3">
        <f>IF(CropNorms_Cotton[[#This Row],[Max_LAI]]&gt;=1.2, 0.85*CropNorms_Cotton[[#This Row],[Max_LAI]], 1)</f>
        <v>4.335</v>
      </c>
      <c r="BI118" s="41">
        <f>_xlfn.XLOOKUP(CropNorms_Cotton[[#This Row],[LAI_End_BBCH]], CropPhenology_Cotton[Sub_Stage], CropPhenology_Cotton[End_GDD], "Not Found")</f>
        <v>2100</v>
      </c>
      <c r="BJ118" s="3" cm="1">
        <f t="array" ref="BJ11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8" s="3" cm="1">
        <f t="array" ref="BK11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8" s="3" cm="1">
        <f t="array" ref="BL11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8" s="3" cm="1">
        <f t="array" ref="BM11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8" s="42">
        <v>0.45</v>
      </c>
      <c r="BO118" s="43">
        <v>0</v>
      </c>
      <c r="BP118" s="42">
        <v>6.47</v>
      </c>
      <c r="BQ118" s="43" t="s">
        <v>1789</v>
      </c>
      <c r="BR118" s="3" t="str" cm="1">
        <f t="array" ref="BR11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8" s="3" t="str" cm="1">
        <f t="array" ref="BS11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8" s="3" t="str" cm="1">
        <f t="array" ref="BT11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8" s="3" t="str" cm="1">
        <f t="array" ref="BU11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8" s="48">
        <v>50</v>
      </c>
      <c r="BW118" s="1">
        <v>15</v>
      </c>
      <c r="BX118" s="44">
        <v>15</v>
      </c>
      <c r="BY118" s="51">
        <v>45792</v>
      </c>
      <c r="BZ118" s="5">
        <v>45838</v>
      </c>
      <c r="CA118" s="85">
        <v>0</v>
      </c>
      <c r="CB118" s="2">
        <v>0</v>
      </c>
      <c r="CC118" s="2">
        <v>1</v>
      </c>
      <c r="CD118" s="2">
        <v>1</v>
      </c>
      <c r="CE118" s="2">
        <v>1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O118" s="103"/>
      <c r="CP118" s="9"/>
      <c r="CQ118" s="10"/>
    </row>
    <row r="119" spans="2:95" x14ac:dyDescent="0.15">
      <c r="B119" s="36" t="s">
        <v>72</v>
      </c>
      <c r="C119" s="1" t="s">
        <v>96</v>
      </c>
      <c r="K119" s="1" t="s">
        <v>1773</v>
      </c>
      <c r="L119" s="1" t="s">
        <v>1750</v>
      </c>
      <c r="M119" s="1" t="s">
        <v>362</v>
      </c>
      <c r="N119" s="6">
        <v>14</v>
      </c>
      <c r="O119" s="1" t="s">
        <v>4</v>
      </c>
      <c r="P119" s="1">
        <v>3.5</v>
      </c>
      <c r="Q119" s="1">
        <v>12</v>
      </c>
      <c r="R119" s="1">
        <v>12</v>
      </c>
      <c r="S119" s="1">
        <v>30</v>
      </c>
      <c r="T119" s="1">
        <v>35</v>
      </c>
      <c r="U119" s="253">
        <v>3</v>
      </c>
      <c r="V119" s="1">
        <v>120</v>
      </c>
      <c r="W119" s="44">
        <v>190</v>
      </c>
      <c r="X119" s="40">
        <f>_xlfn.XLOOKUP("Ripening", CropPhenology_Cotton[Main_Stage], CropPhenology_Cotton[Start_GDD], "Not Found")</f>
        <v>2101</v>
      </c>
      <c r="Y119" s="4" cm="1">
        <f t="array" ref="Y11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19" s="3">
        <f t="shared" si="52"/>
        <v>16.362280701754386</v>
      </c>
      <c r="AA119" s="41">
        <f t="shared" si="53"/>
        <v>158.90205328901516</v>
      </c>
      <c r="AB119" s="1">
        <v>7.5</v>
      </c>
      <c r="AC119" s="1">
        <v>18</v>
      </c>
      <c r="AD119" s="1">
        <v>4</v>
      </c>
      <c r="AE119" s="1">
        <v>85</v>
      </c>
      <c r="AF119" s="1">
        <v>10</v>
      </c>
      <c r="AG119" s="1">
        <v>5</v>
      </c>
      <c r="AH119" s="3">
        <f t="shared" si="48"/>
        <v>3.1402992577597844</v>
      </c>
      <c r="AI119" s="1">
        <v>6</v>
      </c>
      <c r="AJ119" s="1">
        <v>8</v>
      </c>
      <c r="AK119" s="159">
        <v>7.7</v>
      </c>
      <c r="AL119" s="150">
        <v>5.1999999999999998E-2</v>
      </c>
      <c r="AM119" s="1">
        <v>700</v>
      </c>
      <c r="AN119" s="1">
        <v>900</v>
      </c>
      <c r="AO119" s="48">
        <v>3</v>
      </c>
      <c r="AP119" s="44">
        <v>150</v>
      </c>
      <c r="AQ119" s="42">
        <v>0.8</v>
      </c>
      <c r="AR119" s="1">
        <v>75</v>
      </c>
      <c r="AS119" s="1">
        <v>30</v>
      </c>
      <c r="AT119" s="1">
        <v>1</v>
      </c>
      <c r="AU119" s="4">
        <f t="shared" si="44"/>
        <v>4.4444444444444446</v>
      </c>
      <c r="AV119" s="3">
        <f t="shared" si="54"/>
        <v>0.16</v>
      </c>
      <c r="AW119" s="1">
        <v>85</v>
      </c>
      <c r="AX119" s="3">
        <f t="shared" si="57"/>
        <v>3.7777777777777777</v>
      </c>
      <c r="AY119" s="1">
        <v>3</v>
      </c>
      <c r="AZ119" s="4">
        <f t="shared" si="58"/>
        <v>11.333333333333332</v>
      </c>
      <c r="BA119" s="49">
        <v>0.9</v>
      </c>
      <c r="BB119" s="4">
        <f t="shared" si="47"/>
        <v>10.199999999999999</v>
      </c>
      <c r="BC119" s="50">
        <v>0.5</v>
      </c>
      <c r="BD119" s="69">
        <f>IFERROR(
  MAX(0.05, MIN(0.5, CropNorms_Cotton[[#This Row],[Leaf_Area_Per_Shoot_m2]] * CropNorms_Cotton[[#This Row],[Shoot_Bearing_m2]] )),
  0.2
)</f>
        <v>0.5</v>
      </c>
      <c r="BE119" s="4">
        <f>_xlfn.XLOOKUP(CropNorms_Cotton[[#This Row],[LAI_Start_BBCH]], CropPhenology_Cotton[Sub_Stage], CropPhenology_Cotton[Start_GDD], "Not Found")</f>
        <v>56</v>
      </c>
      <c r="BF119" s="3">
        <f>ROUND(CropNorms_Cotton[[#This Row],[Shoot_Bearing_m2]]*CropNorms_Cotton[[#This Row],[Leaf_Area_Per_Shoot_m2]],2)</f>
        <v>5.0999999999999996</v>
      </c>
      <c r="BG11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19" s="3">
        <f>IF(CropNorms_Cotton[[#This Row],[Max_LAI]]&gt;=1.2, 0.85*CropNorms_Cotton[[#This Row],[Max_LAI]], 1)</f>
        <v>4.335</v>
      </c>
      <c r="BI119" s="41">
        <f>_xlfn.XLOOKUP(CropNorms_Cotton[[#This Row],[LAI_End_BBCH]], CropPhenology_Cotton[Sub_Stage], CropPhenology_Cotton[End_GDD], "Not Found")</f>
        <v>2100</v>
      </c>
      <c r="BJ119" s="3" cm="1">
        <f t="array" ref="BJ11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19" s="3" cm="1">
        <f t="array" ref="BK11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19" s="3" cm="1">
        <f t="array" ref="BL11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19" s="3" cm="1">
        <f t="array" ref="BM11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19" s="42">
        <v>0.45</v>
      </c>
      <c r="BO119" s="43">
        <v>0</v>
      </c>
      <c r="BP119" s="42">
        <v>6.47</v>
      </c>
      <c r="BQ119" s="43" t="s">
        <v>1789</v>
      </c>
      <c r="BR119" s="3" t="str" cm="1">
        <f t="array" ref="BR11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19" s="3" t="str" cm="1">
        <f t="array" ref="BS11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19" s="3" t="str" cm="1">
        <f t="array" ref="BT11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19" s="3" t="str" cm="1">
        <f t="array" ref="BU11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19" s="48">
        <v>50</v>
      </c>
      <c r="BW119" s="1">
        <v>15</v>
      </c>
      <c r="BX119" s="44">
        <v>15</v>
      </c>
      <c r="BY119" s="51">
        <v>45792</v>
      </c>
      <c r="BZ119" s="5">
        <v>45838</v>
      </c>
      <c r="CA119" s="85">
        <v>0</v>
      </c>
      <c r="CB119" s="2">
        <v>0</v>
      </c>
      <c r="CC119" s="2">
        <v>1</v>
      </c>
      <c r="CD119" s="2">
        <v>1</v>
      </c>
      <c r="CE119" s="2">
        <v>1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O119" s="103"/>
      <c r="CP119" s="9"/>
      <c r="CQ119" s="10"/>
    </row>
    <row r="120" spans="2:95" x14ac:dyDescent="0.15">
      <c r="B120" s="36" t="s">
        <v>72</v>
      </c>
      <c r="C120" s="1" t="s">
        <v>97</v>
      </c>
      <c r="K120" s="1" t="s">
        <v>1773</v>
      </c>
      <c r="L120" s="1" t="s">
        <v>1750</v>
      </c>
      <c r="M120" s="1" t="s">
        <v>362</v>
      </c>
      <c r="N120" s="6">
        <v>14</v>
      </c>
      <c r="O120" s="1" t="s">
        <v>4</v>
      </c>
      <c r="P120" s="1">
        <v>3.5</v>
      </c>
      <c r="Q120" s="1">
        <v>12</v>
      </c>
      <c r="R120" s="1">
        <v>12</v>
      </c>
      <c r="S120" s="1">
        <v>30</v>
      </c>
      <c r="T120" s="1">
        <v>35</v>
      </c>
      <c r="U120" s="253">
        <v>3</v>
      </c>
      <c r="V120" s="1">
        <v>120</v>
      </c>
      <c r="W120" s="44">
        <v>190</v>
      </c>
      <c r="X120" s="40">
        <f>_xlfn.XLOOKUP("Ripening", CropPhenology_Cotton[Main_Stage], CropPhenology_Cotton[Start_GDD], "Not Found")</f>
        <v>2101</v>
      </c>
      <c r="Y120" s="4" cm="1">
        <f t="array" ref="Y12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20" s="3">
        <f t="shared" si="52"/>
        <v>16.362280701754386</v>
      </c>
      <c r="AA120" s="41">
        <f t="shared" si="53"/>
        <v>158.90205328901516</v>
      </c>
      <c r="AB120" s="1">
        <v>7.5</v>
      </c>
      <c r="AC120" s="1">
        <v>18</v>
      </c>
      <c r="AD120" s="1">
        <v>4</v>
      </c>
      <c r="AE120" s="1">
        <v>85</v>
      </c>
      <c r="AF120" s="1">
        <v>10</v>
      </c>
      <c r="AG120" s="1">
        <v>5</v>
      </c>
      <c r="AH120" s="3">
        <f t="shared" si="48"/>
        <v>3.1402992577597844</v>
      </c>
      <c r="AI120" s="1">
        <v>6</v>
      </c>
      <c r="AJ120" s="1">
        <v>8</v>
      </c>
      <c r="AK120" s="159">
        <v>7.7</v>
      </c>
      <c r="AL120" s="150">
        <v>5.1999999999999998E-2</v>
      </c>
      <c r="AM120" s="1">
        <v>700</v>
      </c>
      <c r="AN120" s="1">
        <v>900</v>
      </c>
      <c r="AO120" s="48">
        <v>3</v>
      </c>
      <c r="AP120" s="44">
        <v>150</v>
      </c>
      <c r="AQ120" s="42">
        <v>0.8</v>
      </c>
      <c r="AR120" s="1">
        <v>75</v>
      </c>
      <c r="AS120" s="1">
        <v>30</v>
      </c>
      <c r="AT120" s="1">
        <v>1</v>
      </c>
      <c r="AU120" s="4">
        <f t="shared" si="44"/>
        <v>4.4444444444444446</v>
      </c>
      <c r="AV120" s="3">
        <f t="shared" si="54"/>
        <v>0.16</v>
      </c>
      <c r="AW120" s="1">
        <v>85</v>
      </c>
      <c r="AX120" s="3">
        <f t="shared" si="57"/>
        <v>3.7777777777777777</v>
      </c>
      <c r="AY120" s="1">
        <v>3</v>
      </c>
      <c r="AZ120" s="4">
        <f t="shared" si="58"/>
        <v>11.333333333333332</v>
      </c>
      <c r="BA120" s="49">
        <v>0.9</v>
      </c>
      <c r="BB120" s="4">
        <f t="shared" si="47"/>
        <v>10.199999999999999</v>
      </c>
      <c r="BC120" s="50">
        <v>0.5</v>
      </c>
      <c r="BD120" s="69">
        <f>IFERROR(
  MAX(0.05, MIN(0.5, CropNorms_Cotton[[#This Row],[Leaf_Area_Per_Shoot_m2]] * CropNorms_Cotton[[#This Row],[Shoot_Bearing_m2]] )),
  0.2
)</f>
        <v>0.5</v>
      </c>
      <c r="BE120" s="4">
        <f>_xlfn.XLOOKUP(CropNorms_Cotton[[#This Row],[LAI_Start_BBCH]], CropPhenology_Cotton[Sub_Stage], CropPhenology_Cotton[Start_GDD], "Not Found")</f>
        <v>56</v>
      </c>
      <c r="BF120" s="3">
        <f>ROUND(CropNorms_Cotton[[#This Row],[Shoot_Bearing_m2]]*CropNorms_Cotton[[#This Row],[Leaf_Area_Per_Shoot_m2]],2)</f>
        <v>5.0999999999999996</v>
      </c>
      <c r="BG12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20" s="3">
        <f>IF(CropNorms_Cotton[[#This Row],[Max_LAI]]&gt;=1.2, 0.85*CropNorms_Cotton[[#This Row],[Max_LAI]], 1)</f>
        <v>4.335</v>
      </c>
      <c r="BI120" s="41">
        <f>_xlfn.XLOOKUP(CropNorms_Cotton[[#This Row],[LAI_End_BBCH]], CropPhenology_Cotton[Sub_Stage], CropPhenology_Cotton[End_GDD], "Not Found")</f>
        <v>2100</v>
      </c>
      <c r="BJ120" s="3" cm="1">
        <f t="array" ref="BJ12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20" s="3" cm="1">
        <f t="array" ref="BK12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20" s="3" cm="1">
        <f t="array" ref="BL12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20" s="3" cm="1">
        <f t="array" ref="BM12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0" s="42">
        <v>0.45</v>
      </c>
      <c r="BO120" s="43">
        <v>0</v>
      </c>
      <c r="BP120" s="42">
        <v>6.47</v>
      </c>
      <c r="BQ120" s="43" t="s">
        <v>1789</v>
      </c>
      <c r="BR120" s="3" t="str" cm="1">
        <f t="array" ref="BR12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0" s="3" t="str" cm="1">
        <f t="array" ref="BS12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20" s="3" t="str" cm="1">
        <f t="array" ref="BT12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20" s="3" t="str" cm="1">
        <f t="array" ref="BU12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20" s="48">
        <v>50</v>
      </c>
      <c r="BW120" s="1">
        <v>15</v>
      </c>
      <c r="BX120" s="44">
        <v>15</v>
      </c>
      <c r="BY120" s="51">
        <v>45792</v>
      </c>
      <c r="BZ120" s="5">
        <v>45838</v>
      </c>
      <c r="CA120" s="85">
        <v>0</v>
      </c>
      <c r="CB120" s="2">
        <v>0</v>
      </c>
      <c r="CC120" s="2">
        <v>1</v>
      </c>
      <c r="CD120" s="2">
        <v>1</v>
      </c>
      <c r="CE120" s="2">
        <v>1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O120" s="103"/>
      <c r="CP120" s="9"/>
      <c r="CQ120" s="10"/>
    </row>
    <row r="121" spans="2:95" ht="11.25" thickBot="1" x14ac:dyDescent="0.2">
      <c r="B121" s="36" t="s">
        <v>72</v>
      </c>
      <c r="C121" s="1" t="s">
        <v>98</v>
      </c>
      <c r="K121" s="1" t="s">
        <v>1773</v>
      </c>
      <c r="L121" s="1" t="s">
        <v>1750</v>
      </c>
      <c r="M121" s="1" t="s">
        <v>362</v>
      </c>
      <c r="N121" s="6">
        <v>14</v>
      </c>
      <c r="O121" s="1" t="s">
        <v>4</v>
      </c>
      <c r="P121" s="1">
        <v>3.5</v>
      </c>
      <c r="Q121" s="1">
        <v>12</v>
      </c>
      <c r="R121" s="1">
        <v>12</v>
      </c>
      <c r="S121" s="1">
        <v>30</v>
      </c>
      <c r="T121" s="1">
        <v>35</v>
      </c>
      <c r="U121" s="254">
        <v>3</v>
      </c>
      <c r="V121" s="1">
        <v>120</v>
      </c>
      <c r="W121" s="44">
        <v>190</v>
      </c>
      <c r="X121" s="40">
        <f>_xlfn.XLOOKUP("Ripening", CropPhenology_Cotton[Main_Stage], CropPhenology_Cotton[Start_GDD], "Not Found")</f>
        <v>2101</v>
      </c>
      <c r="Y121" s="4" cm="1">
        <f t="array" ref="Y12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Z121" s="3">
        <f t="shared" si="52"/>
        <v>16.362280701754386</v>
      </c>
      <c r="AA121" s="41">
        <f t="shared" si="53"/>
        <v>158.90205328901516</v>
      </c>
      <c r="AB121" s="1">
        <v>7.5</v>
      </c>
      <c r="AC121" s="1">
        <v>18</v>
      </c>
      <c r="AD121" s="1">
        <v>4</v>
      </c>
      <c r="AE121" s="1">
        <v>85</v>
      </c>
      <c r="AF121" s="1">
        <v>10</v>
      </c>
      <c r="AG121" s="1">
        <v>5</v>
      </c>
      <c r="AH121" s="3">
        <f t="shared" si="48"/>
        <v>3.1402992577597844</v>
      </c>
      <c r="AI121" s="1">
        <v>6</v>
      </c>
      <c r="AJ121" s="1">
        <v>8</v>
      </c>
      <c r="AK121" s="160">
        <v>7.7</v>
      </c>
      <c r="AL121" s="161">
        <v>5.1999999999999998E-2</v>
      </c>
      <c r="AM121" s="1">
        <v>700</v>
      </c>
      <c r="AN121" s="1">
        <v>900</v>
      </c>
      <c r="AO121" s="48">
        <v>3</v>
      </c>
      <c r="AP121" s="44">
        <v>150</v>
      </c>
      <c r="AQ121" s="42">
        <v>0.8</v>
      </c>
      <c r="AR121" s="1">
        <v>75</v>
      </c>
      <c r="AS121" s="1">
        <v>30</v>
      </c>
      <c r="AT121" s="1">
        <v>1</v>
      </c>
      <c r="AU121" s="4">
        <f t="shared" si="44"/>
        <v>4.4444444444444446</v>
      </c>
      <c r="AV121" s="3">
        <f t="shared" si="54"/>
        <v>0.16</v>
      </c>
      <c r="AW121" s="1">
        <v>85</v>
      </c>
      <c r="AX121" s="3">
        <f t="shared" si="57"/>
        <v>3.7777777777777777</v>
      </c>
      <c r="AY121" s="1">
        <v>3</v>
      </c>
      <c r="AZ121" s="4">
        <f t="shared" si="58"/>
        <v>11.333333333333332</v>
      </c>
      <c r="BA121" s="49">
        <v>0.9</v>
      </c>
      <c r="BB121" s="4">
        <f t="shared" si="47"/>
        <v>10.199999999999999</v>
      </c>
      <c r="BC121" s="50">
        <v>0.5</v>
      </c>
      <c r="BD121" s="69">
        <f>IFERROR(
  MAX(0.05, MIN(0.5, CropNorms_Cotton[[#This Row],[Leaf_Area_Per_Shoot_m2]] * CropNorms_Cotton[[#This Row],[Shoot_Bearing_m2]] )),
  0.2
)</f>
        <v>0.5</v>
      </c>
      <c r="BE121" s="4">
        <f>_xlfn.XLOOKUP(CropNorms_Cotton[[#This Row],[LAI_Start_BBCH]], CropPhenology_Cotton[Sub_Stage], CropPhenology_Cotton[Start_GDD], "Not Found")</f>
        <v>56</v>
      </c>
      <c r="BF121" s="3">
        <f>ROUND(CropNorms_Cotton[[#This Row],[Shoot_Bearing_m2]]*CropNorms_Cotton[[#This Row],[Leaf_Area_Per_Shoot_m2]],2)</f>
        <v>5.0999999999999996</v>
      </c>
      <c r="BG12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H121" s="3">
        <f>IF(CropNorms_Cotton[[#This Row],[Max_LAI]]&gt;=1.2, 0.85*CropNorms_Cotton[[#This Row],[Max_LAI]], 1)</f>
        <v>4.335</v>
      </c>
      <c r="BI121" s="41">
        <f>_xlfn.XLOOKUP(CropNorms_Cotton[[#This Row],[LAI_End_BBCH]], CropPhenology_Cotton[Sub_Stage], CropPhenology_Cotton[End_GDD], "Not Found")</f>
        <v>2100</v>
      </c>
      <c r="BJ121" s="3" cm="1">
        <f t="array" ref="BJ12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K121" s="3" cm="1">
        <f t="array" ref="BK12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L121" s="3" cm="1">
        <f t="array" ref="BL12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M121" s="3" cm="1">
        <f t="array" ref="BM12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1" s="42">
        <v>0.45</v>
      </c>
      <c r="BO121" s="43">
        <v>0</v>
      </c>
      <c r="BP121" s="42">
        <v>6.47</v>
      </c>
      <c r="BQ121" s="43" t="s">
        <v>1789</v>
      </c>
      <c r="BR121" s="3" t="str" cm="1">
        <f t="array" ref="BR12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1" s="3" t="str" cm="1">
        <f t="array" ref="BS12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T121" s="3" t="str" cm="1">
        <f t="array" ref="BT12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U121" s="3" t="str" cm="1">
        <f t="array" ref="BU12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V121" s="48">
        <v>50</v>
      </c>
      <c r="BW121" s="1">
        <v>15</v>
      </c>
      <c r="BX121" s="44">
        <v>15</v>
      </c>
      <c r="BY121" s="51">
        <v>45792</v>
      </c>
      <c r="BZ121" s="5">
        <v>45838</v>
      </c>
      <c r="CA121" s="85">
        <v>0</v>
      </c>
      <c r="CB121" s="2">
        <v>0</v>
      </c>
      <c r="CC121" s="2">
        <v>1</v>
      </c>
      <c r="CD121" s="2">
        <v>1</v>
      </c>
      <c r="CE121" s="2">
        <v>1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O121" s="103"/>
      <c r="CP121" s="9"/>
      <c r="CQ121" s="10"/>
    </row>
    <row r="122" spans="2:95" ht="11.25" thickBot="1" x14ac:dyDescent="0.2">
      <c r="Y122" s="3"/>
      <c r="Z122" s="4"/>
      <c r="AG122" s="3"/>
      <c r="AR122" s="4"/>
      <c r="AS122" s="3"/>
      <c r="AU122" s="3"/>
      <c r="AW122" s="4"/>
      <c r="AX122" s="49"/>
      <c r="AY122" s="4"/>
      <c r="BV122" s="51"/>
      <c r="BW122" s="51"/>
      <c r="CO122" s="103"/>
      <c r="CP122" s="9"/>
      <c r="CQ122" s="10"/>
    </row>
    <row r="123" spans="2:95" ht="11.25" thickBot="1" x14ac:dyDescent="0.2">
      <c r="B123" s="54" t="s">
        <v>1753</v>
      </c>
      <c r="C123" s="53" t="s">
        <v>1754</v>
      </c>
      <c r="D123" s="53" t="s">
        <v>1804</v>
      </c>
      <c r="E123" s="53" t="s">
        <v>1805</v>
      </c>
      <c r="F123" s="53" t="s">
        <v>1806</v>
      </c>
      <c r="G123" s="53" t="s">
        <v>1807</v>
      </c>
      <c r="H123" s="53" t="s">
        <v>1808</v>
      </c>
      <c r="I123" s="53" t="s">
        <v>1809</v>
      </c>
      <c r="J123" s="53" t="s">
        <v>1810</v>
      </c>
      <c r="K123" s="53" t="s">
        <v>1747</v>
      </c>
      <c r="L123" s="54" t="s">
        <v>1749</v>
      </c>
      <c r="M123" s="53" t="s">
        <v>357</v>
      </c>
      <c r="N123" s="55" t="s">
        <v>692</v>
      </c>
      <c r="O123" s="53" t="s">
        <v>325</v>
      </c>
      <c r="P123" s="53" t="s">
        <v>356</v>
      </c>
      <c r="Q123" s="53" t="s">
        <v>326</v>
      </c>
      <c r="R123" s="53" t="s">
        <v>327</v>
      </c>
      <c r="S123" s="53" t="s">
        <v>328</v>
      </c>
      <c r="T123" s="53" t="s">
        <v>329</v>
      </c>
      <c r="U123" s="250" t="s">
        <v>2349</v>
      </c>
      <c r="V123" s="53" t="s">
        <v>330</v>
      </c>
      <c r="W123" s="53" t="s">
        <v>331</v>
      </c>
      <c r="X123" s="56" t="s">
        <v>354</v>
      </c>
      <c r="Y123" s="57" t="s">
        <v>355</v>
      </c>
      <c r="Z123" s="58" t="s">
        <v>413</v>
      </c>
      <c r="AA123" s="59" t="s">
        <v>583</v>
      </c>
      <c r="AB123" s="53" t="s">
        <v>324</v>
      </c>
      <c r="AC123" s="53" t="s">
        <v>332</v>
      </c>
      <c r="AD123" s="53" t="s">
        <v>333</v>
      </c>
      <c r="AE123" s="53" t="s">
        <v>334</v>
      </c>
      <c r="AF123" s="53" t="s">
        <v>335</v>
      </c>
      <c r="AG123" s="53" t="s">
        <v>336</v>
      </c>
      <c r="AH123" s="60" t="s">
        <v>337</v>
      </c>
      <c r="AI123" s="53" t="s">
        <v>338</v>
      </c>
      <c r="AJ123" s="53" t="s">
        <v>339</v>
      </c>
      <c r="AK123" s="157" t="s">
        <v>2346</v>
      </c>
      <c r="AL123" s="158" t="s">
        <v>2347</v>
      </c>
      <c r="AM123" s="53" t="s">
        <v>340</v>
      </c>
      <c r="AN123" s="53" t="s">
        <v>341</v>
      </c>
      <c r="AO123" s="61" t="s">
        <v>342</v>
      </c>
      <c r="AP123" s="62" t="s">
        <v>343</v>
      </c>
      <c r="AQ123" s="55" t="s">
        <v>344</v>
      </c>
      <c r="AR123" s="53" t="s">
        <v>345</v>
      </c>
      <c r="AS123" s="53" t="s">
        <v>346</v>
      </c>
      <c r="AT123" s="53" t="s">
        <v>364</v>
      </c>
      <c r="AU123" s="60" t="s">
        <v>347</v>
      </c>
      <c r="AV123" s="58" t="s">
        <v>363</v>
      </c>
      <c r="AW123" s="53" t="s">
        <v>348</v>
      </c>
      <c r="AX123" s="58" t="s">
        <v>349</v>
      </c>
      <c r="AY123" s="53" t="s">
        <v>366</v>
      </c>
      <c r="AZ123" s="60" t="s">
        <v>350</v>
      </c>
      <c r="BA123" s="53" t="s">
        <v>365</v>
      </c>
      <c r="BB123" s="60" t="s">
        <v>1827</v>
      </c>
      <c r="BC123" s="63" t="s">
        <v>351</v>
      </c>
      <c r="BD123" s="71" t="s">
        <v>1811</v>
      </c>
      <c r="BE123" s="57" t="s">
        <v>352</v>
      </c>
      <c r="BF123" s="58" t="s">
        <v>1812</v>
      </c>
      <c r="BG123" s="57" t="s">
        <v>1752</v>
      </c>
      <c r="BH123" s="60" t="s">
        <v>1813</v>
      </c>
      <c r="BI123" s="59" t="s">
        <v>353</v>
      </c>
      <c r="BJ123" s="71" t="s">
        <v>1828</v>
      </c>
      <c r="BK123" s="58" t="s">
        <v>1829</v>
      </c>
      <c r="BL123" s="58" t="s">
        <v>1830</v>
      </c>
      <c r="BM123" s="72" t="s">
        <v>1831</v>
      </c>
      <c r="BN123" s="64" t="s">
        <v>1154</v>
      </c>
      <c r="BO123" s="65" t="s">
        <v>1742</v>
      </c>
      <c r="BP123" s="64" t="s">
        <v>1155</v>
      </c>
      <c r="BQ123" s="65" t="s">
        <v>1755</v>
      </c>
      <c r="BR123" s="58" t="s">
        <v>367</v>
      </c>
      <c r="BS123" s="58" t="s">
        <v>1751</v>
      </c>
      <c r="BT123" s="58" t="s">
        <v>368</v>
      </c>
      <c r="BU123" s="60" t="s">
        <v>1814</v>
      </c>
      <c r="BV123" s="61" t="s">
        <v>369</v>
      </c>
      <c r="BW123" s="53" t="s">
        <v>370</v>
      </c>
      <c r="BX123" s="62" t="s">
        <v>371</v>
      </c>
      <c r="BY123" s="53" t="s">
        <v>359</v>
      </c>
      <c r="BZ123" s="53" t="s">
        <v>361</v>
      </c>
      <c r="CA123" s="61" t="s">
        <v>1815</v>
      </c>
      <c r="CB123" s="53" t="s">
        <v>1816</v>
      </c>
      <c r="CC123" s="53" t="s">
        <v>1817</v>
      </c>
      <c r="CD123" s="53" t="s">
        <v>1818</v>
      </c>
      <c r="CE123" s="53" t="s">
        <v>1819</v>
      </c>
      <c r="CF123" s="53" t="s">
        <v>1820</v>
      </c>
      <c r="CG123" s="53" t="s">
        <v>1821</v>
      </c>
      <c r="CH123" s="53" t="s">
        <v>1822</v>
      </c>
      <c r="CI123" s="53" t="s">
        <v>1823</v>
      </c>
      <c r="CJ123" s="53" t="s">
        <v>1824</v>
      </c>
      <c r="CK123" s="53" t="s">
        <v>1825</v>
      </c>
      <c r="CL123" s="53" t="s">
        <v>1826</v>
      </c>
      <c r="CO123" s="103"/>
      <c r="CP123" s="9"/>
      <c r="CQ123" s="10"/>
    </row>
    <row r="124" spans="2:95" x14ac:dyDescent="0.15">
      <c r="B124" s="36" t="s">
        <v>99</v>
      </c>
      <c r="C124" s="1" t="s">
        <v>100</v>
      </c>
      <c r="K124" s="1" t="s">
        <v>1763</v>
      </c>
      <c r="L124" s="1" t="s">
        <v>1750</v>
      </c>
      <c r="M124" s="1" t="s">
        <v>362</v>
      </c>
      <c r="N124" s="6">
        <v>14</v>
      </c>
      <c r="O124" s="1" t="s">
        <v>4</v>
      </c>
      <c r="P124" s="1">
        <v>2</v>
      </c>
      <c r="Q124" s="1">
        <v>10</v>
      </c>
      <c r="R124" s="1">
        <v>10</v>
      </c>
      <c r="S124" s="1">
        <v>26</v>
      </c>
      <c r="T124" s="1">
        <v>32</v>
      </c>
      <c r="U124" s="253">
        <v>4</v>
      </c>
      <c r="V124" s="1">
        <v>45</v>
      </c>
      <c r="W124" s="44">
        <v>80</v>
      </c>
      <c r="X124" s="40">
        <f>_xlfn.XLOOKUP("Ripening", CropPhenology_Cucumber[Main_Stage], CropPhenology_Cucumber[Start_GDD], "Not Found")</f>
        <v>901</v>
      </c>
      <c r="Y124" s="4" cm="1">
        <f t="array" ref="Y124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24" s="3">
        <f t="shared" ref="Z124:Z141" si="59">MIN(Y124/V124,MAX(X124/W124,R124,(X124/W124+Y124/V124)/2))</f>
        <v>18.40902777777778</v>
      </c>
      <c r="AA124" s="41">
        <f t="shared" ref="AA124:AA141" si="60">Y124/Z124</f>
        <v>62.469350032064575</v>
      </c>
      <c r="AB124" s="1">
        <v>6</v>
      </c>
      <c r="AC124" s="1">
        <v>12</v>
      </c>
      <c r="AD124" s="1">
        <v>3</v>
      </c>
      <c r="AE124" s="1">
        <v>85</v>
      </c>
      <c r="AF124" s="1">
        <v>10</v>
      </c>
      <c r="AG124" s="1">
        <v>5</v>
      </c>
      <c r="AH124" s="3">
        <f t="shared" si="48"/>
        <v>3.9859547101449277</v>
      </c>
      <c r="AI124" s="1">
        <v>6</v>
      </c>
      <c r="AJ124" s="1">
        <v>7.5</v>
      </c>
      <c r="AK124" s="159">
        <v>2.5</v>
      </c>
      <c r="AL124" s="150">
        <v>0.09</v>
      </c>
      <c r="AM124" s="1">
        <v>400</v>
      </c>
      <c r="AN124" s="1">
        <v>500</v>
      </c>
      <c r="AO124" s="48">
        <v>2</v>
      </c>
      <c r="AP124" s="44">
        <v>20</v>
      </c>
      <c r="AQ124" s="42">
        <v>0.78</v>
      </c>
      <c r="AR124" s="1">
        <v>150</v>
      </c>
      <c r="AS124" s="1">
        <v>30</v>
      </c>
      <c r="AT124" s="1">
        <v>2</v>
      </c>
      <c r="AU124" s="4">
        <f t="shared" si="44"/>
        <v>4.4444444444444446</v>
      </c>
      <c r="AV124" s="3">
        <f t="shared" ref="AV124:AV141" si="61">ROUND((P124/1000000)*AU124*10000,2)</f>
        <v>0.09</v>
      </c>
      <c r="AW124" s="1">
        <v>85</v>
      </c>
      <c r="AX124" s="3">
        <f t="shared" si="57"/>
        <v>3.7777777777777777</v>
      </c>
      <c r="AY124" s="1">
        <v>1</v>
      </c>
      <c r="AZ124" s="4">
        <f t="shared" ref="AZ124:AZ141" si="62">IFERROR(AX124*AY124,0)</f>
        <v>3.7777777777777777</v>
      </c>
      <c r="BA124" s="49">
        <v>0.9</v>
      </c>
      <c r="BB124" s="4">
        <f t="shared" si="47"/>
        <v>3.4</v>
      </c>
      <c r="BC124" s="50">
        <v>0.2</v>
      </c>
      <c r="BD124" s="69">
        <f>IFERROR(
  MAX(0.05, MIN(0.5, CropNorms_Cucumber[[#This Row],[Leaf_Area_Per_Shoot_m2]] * CropNorms_Cucumber[[#This Row],[Shoot_Bearing_m2]] )),
  0.2
)</f>
        <v>0.5</v>
      </c>
      <c r="BE124" s="4">
        <f>_xlfn.XLOOKUP(CropNorms_Cucumber[[#This Row],[LAI_Start_BBCH]], CropPhenology_Cucumber[Sub_Stage], CropPhenology_Cucumber[Start_GDD], "Not Found")</f>
        <v>121</v>
      </c>
      <c r="BF124" s="3">
        <f>ROUND(CropNorms_Cucumber[[#This Row],[Shoot_Bearing_m2]]*CropNorms_Cucumber[[#This Row],[Leaf_Area_Per_Shoot_m2]],2)</f>
        <v>0.68</v>
      </c>
      <c r="BG124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24" s="3">
        <f>IF(CropNorms_Cucumber[[#This Row],[Max_LAI]]&gt;=1.2, 0.85*CropNorms_Cucumber[[#This Row],[Max_LAI]], 1)</f>
        <v>1</v>
      </c>
      <c r="BI124" s="41">
        <f>_xlfn.XLOOKUP(CropNorms_Cucumber[[#This Row],[LAI_End_BBCH]], CropPhenology_Cucumber[Sub_Stage], CropPhenology_Cucumber[End_GDD], "Not Found")</f>
        <v>900</v>
      </c>
      <c r="BJ124" s="3" cm="1">
        <f t="array" ref="BJ124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24" s="3" cm="1">
        <f t="array" ref="BK12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24" s="3" cm="1">
        <f t="array" ref="BL124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24" s="3" cm="1">
        <f t="array" ref="BM12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4" s="42">
        <v>0.15</v>
      </c>
      <c r="BO124" s="43">
        <v>0.85</v>
      </c>
      <c r="BP124" s="42">
        <v>14.28</v>
      </c>
      <c r="BQ124" s="43" t="s">
        <v>1741</v>
      </c>
      <c r="BR124" s="3" t="str" cm="1">
        <f t="array" ref="BR12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4" s="3" t="str" cm="1">
        <f t="array" ref="BS12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24" s="3" t="str" cm="1">
        <f t="array" ref="BT124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24" s="3" t="str" cm="1">
        <f t="array" ref="BU124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24" s="48">
        <v>80</v>
      </c>
      <c r="BW124" s="1">
        <v>60</v>
      </c>
      <c r="BX124" s="44">
        <v>60</v>
      </c>
      <c r="BY124" s="51">
        <v>45703</v>
      </c>
      <c r="BZ124" s="5">
        <v>45731</v>
      </c>
      <c r="CA124" s="85">
        <v>0</v>
      </c>
      <c r="CB124" s="2">
        <v>0</v>
      </c>
      <c r="CC124" s="2">
        <v>1</v>
      </c>
      <c r="CD124" s="2">
        <v>1</v>
      </c>
      <c r="CE124" s="2">
        <v>1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O124" s="103"/>
      <c r="CP124" s="9"/>
      <c r="CQ124" s="10"/>
    </row>
    <row r="125" spans="2:95" x14ac:dyDescent="0.15">
      <c r="B125" s="36" t="s">
        <v>99</v>
      </c>
      <c r="C125" s="1" t="s">
        <v>101</v>
      </c>
      <c r="K125" s="1" t="s">
        <v>1763</v>
      </c>
      <c r="L125" s="1" t="s">
        <v>1750</v>
      </c>
      <c r="M125" s="1" t="s">
        <v>362</v>
      </c>
      <c r="N125" s="6">
        <v>14</v>
      </c>
      <c r="O125" s="1" t="s">
        <v>4</v>
      </c>
      <c r="P125" s="1">
        <v>2</v>
      </c>
      <c r="Q125" s="1">
        <v>10</v>
      </c>
      <c r="R125" s="1">
        <v>10</v>
      </c>
      <c r="S125" s="1">
        <v>26</v>
      </c>
      <c r="T125" s="1">
        <v>32</v>
      </c>
      <c r="U125" s="253">
        <v>4</v>
      </c>
      <c r="V125" s="1">
        <v>45</v>
      </c>
      <c r="W125" s="44">
        <v>80</v>
      </c>
      <c r="X125" s="40">
        <f>_xlfn.XLOOKUP("Ripening", CropPhenology_Cucumber[Main_Stage], CropPhenology_Cucumber[Start_GDD], "Not Found")</f>
        <v>901</v>
      </c>
      <c r="Y125" s="4" cm="1">
        <f t="array" ref="Y125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25" s="3">
        <f t="shared" si="59"/>
        <v>18.40902777777778</v>
      </c>
      <c r="AA125" s="41">
        <f t="shared" si="60"/>
        <v>62.469350032064575</v>
      </c>
      <c r="AB125" s="1">
        <v>6</v>
      </c>
      <c r="AC125" s="1">
        <v>12</v>
      </c>
      <c r="AD125" s="1">
        <v>3</v>
      </c>
      <c r="AE125" s="1">
        <v>85</v>
      </c>
      <c r="AF125" s="1">
        <v>10</v>
      </c>
      <c r="AG125" s="1">
        <v>5</v>
      </c>
      <c r="AH125" s="3">
        <f t="shared" si="48"/>
        <v>3.9859547101449277</v>
      </c>
      <c r="AI125" s="1">
        <v>6</v>
      </c>
      <c r="AJ125" s="1">
        <v>7.5</v>
      </c>
      <c r="AK125" s="159">
        <v>2.5</v>
      </c>
      <c r="AL125" s="150">
        <v>0.09</v>
      </c>
      <c r="AM125" s="1">
        <v>400</v>
      </c>
      <c r="AN125" s="1">
        <v>500</v>
      </c>
      <c r="AO125" s="48">
        <v>2</v>
      </c>
      <c r="AP125" s="44">
        <v>20</v>
      </c>
      <c r="AQ125" s="42">
        <v>0.75</v>
      </c>
      <c r="AR125" s="1">
        <v>150</v>
      </c>
      <c r="AS125" s="1">
        <v>30</v>
      </c>
      <c r="AT125" s="1">
        <v>2</v>
      </c>
      <c r="AU125" s="4">
        <f t="shared" si="44"/>
        <v>4.4444444444444446</v>
      </c>
      <c r="AV125" s="3">
        <f t="shared" si="61"/>
        <v>0.09</v>
      </c>
      <c r="AW125" s="1">
        <v>85</v>
      </c>
      <c r="AX125" s="3">
        <f t="shared" si="57"/>
        <v>3.7777777777777777</v>
      </c>
      <c r="AY125" s="1">
        <v>1</v>
      </c>
      <c r="AZ125" s="4">
        <f t="shared" si="62"/>
        <v>3.7777777777777777</v>
      </c>
      <c r="BA125" s="49">
        <v>0.9</v>
      </c>
      <c r="BB125" s="4">
        <f t="shared" si="47"/>
        <v>3.4</v>
      </c>
      <c r="BC125" s="50">
        <v>0.2</v>
      </c>
      <c r="BD125" s="69">
        <f>IFERROR(
  MAX(0.05, MIN(0.5, CropNorms_Cucumber[[#This Row],[Leaf_Area_Per_Shoot_m2]] * CropNorms_Cucumber[[#This Row],[Shoot_Bearing_m2]] )),
  0.2
)</f>
        <v>0.5</v>
      </c>
      <c r="BE125" s="4">
        <f>_xlfn.XLOOKUP(CropNorms_Cucumber[[#This Row],[LAI_Start_BBCH]], CropPhenology_Cucumber[Sub_Stage], CropPhenology_Cucumber[Start_GDD], "Not Found")</f>
        <v>121</v>
      </c>
      <c r="BF125" s="3">
        <f>ROUND(CropNorms_Cucumber[[#This Row],[Shoot_Bearing_m2]]*CropNorms_Cucumber[[#This Row],[Leaf_Area_Per_Shoot_m2]],2)</f>
        <v>0.68</v>
      </c>
      <c r="BG125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25" s="3">
        <f>IF(CropNorms_Cucumber[[#This Row],[Max_LAI]]&gt;=1.2, 0.85*CropNorms_Cucumber[[#This Row],[Max_LAI]], 1)</f>
        <v>1</v>
      </c>
      <c r="BI125" s="41">
        <f>_xlfn.XLOOKUP(CropNorms_Cucumber[[#This Row],[LAI_End_BBCH]], CropPhenology_Cucumber[Sub_Stage], CropPhenology_Cucumber[End_GDD], "Not Found")</f>
        <v>900</v>
      </c>
      <c r="BJ125" s="3" cm="1">
        <f t="array" ref="BJ125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25" s="3" cm="1">
        <f t="array" ref="BK12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25" s="3" cm="1">
        <f t="array" ref="BL125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25" s="3" cm="1">
        <f t="array" ref="BM12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5" s="42">
        <v>0.15</v>
      </c>
      <c r="BO125" s="43">
        <v>0.85</v>
      </c>
      <c r="BP125" s="42">
        <v>14.28</v>
      </c>
      <c r="BQ125" s="43" t="s">
        <v>1741</v>
      </c>
      <c r="BR125" s="3" t="str" cm="1">
        <f t="array" ref="BR12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5" s="3" t="str" cm="1">
        <f t="array" ref="BS12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25" s="3" t="str" cm="1">
        <f t="array" ref="BT125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25" s="3" t="str" cm="1">
        <f t="array" ref="BU125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25" s="48">
        <v>80</v>
      </c>
      <c r="BW125" s="1">
        <v>60</v>
      </c>
      <c r="BX125" s="44">
        <v>60</v>
      </c>
      <c r="BY125" s="51">
        <v>45703</v>
      </c>
      <c r="BZ125" s="5">
        <v>45731</v>
      </c>
      <c r="CA125" s="85">
        <v>0</v>
      </c>
      <c r="CB125" s="2">
        <v>0</v>
      </c>
      <c r="CC125" s="2">
        <v>1</v>
      </c>
      <c r="CD125" s="2">
        <v>1</v>
      </c>
      <c r="CE125" s="2">
        <v>1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O125" s="103"/>
      <c r="CP125" s="9"/>
      <c r="CQ125" s="10"/>
    </row>
    <row r="126" spans="2:95" x14ac:dyDescent="0.15">
      <c r="B126" s="36" t="s">
        <v>99</v>
      </c>
      <c r="C126" s="1" t="s">
        <v>102</v>
      </c>
      <c r="K126" s="1" t="s">
        <v>1763</v>
      </c>
      <c r="L126" s="1" t="s">
        <v>1750</v>
      </c>
      <c r="M126" s="1" t="s">
        <v>362</v>
      </c>
      <c r="N126" s="6">
        <v>14</v>
      </c>
      <c r="O126" s="1" t="s">
        <v>4</v>
      </c>
      <c r="P126" s="1">
        <v>2</v>
      </c>
      <c r="Q126" s="1">
        <v>10</v>
      </c>
      <c r="R126" s="1">
        <v>10</v>
      </c>
      <c r="S126" s="1">
        <v>26</v>
      </c>
      <c r="T126" s="1">
        <v>32</v>
      </c>
      <c r="U126" s="253">
        <v>4</v>
      </c>
      <c r="V126" s="1">
        <v>45</v>
      </c>
      <c r="W126" s="44">
        <v>80</v>
      </c>
      <c r="X126" s="40">
        <f>_xlfn.XLOOKUP("Ripening", CropPhenology_Cucumber[Main_Stage], CropPhenology_Cucumber[Start_GDD], "Not Found")</f>
        <v>901</v>
      </c>
      <c r="Y126" s="4" cm="1">
        <f t="array" ref="Y126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26" s="3">
        <f t="shared" si="59"/>
        <v>18.40902777777778</v>
      </c>
      <c r="AA126" s="41">
        <f t="shared" si="60"/>
        <v>62.469350032064575</v>
      </c>
      <c r="AB126" s="1">
        <v>6</v>
      </c>
      <c r="AC126" s="1">
        <v>12</v>
      </c>
      <c r="AD126" s="1">
        <v>3</v>
      </c>
      <c r="AE126" s="1">
        <v>85</v>
      </c>
      <c r="AF126" s="1">
        <v>10</v>
      </c>
      <c r="AG126" s="1">
        <v>5</v>
      </c>
      <c r="AH126" s="3">
        <f t="shared" si="48"/>
        <v>3.9859547101449277</v>
      </c>
      <c r="AI126" s="1">
        <v>6</v>
      </c>
      <c r="AJ126" s="1">
        <v>7.5</v>
      </c>
      <c r="AK126" s="159">
        <v>2.5</v>
      </c>
      <c r="AL126" s="150">
        <v>0.09</v>
      </c>
      <c r="AM126" s="1">
        <v>400</v>
      </c>
      <c r="AN126" s="1">
        <v>500</v>
      </c>
      <c r="AO126" s="48">
        <v>2</v>
      </c>
      <c r="AP126" s="44">
        <v>20</v>
      </c>
      <c r="AQ126" s="42">
        <v>0.8</v>
      </c>
      <c r="AR126" s="1">
        <v>150</v>
      </c>
      <c r="AS126" s="1">
        <v>30</v>
      </c>
      <c r="AT126" s="1">
        <v>2</v>
      </c>
      <c r="AU126" s="4">
        <f t="shared" si="44"/>
        <v>4.4444444444444446</v>
      </c>
      <c r="AV126" s="3">
        <f t="shared" si="61"/>
        <v>0.09</v>
      </c>
      <c r="AW126" s="1">
        <v>85</v>
      </c>
      <c r="AX126" s="3">
        <f t="shared" si="57"/>
        <v>3.7777777777777777</v>
      </c>
      <c r="AY126" s="1">
        <v>1</v>
      </c>
      <c r="AZ126" s="4">
        <f t="shared" si="62"/>
        <v>3.7777777777777777</v>
      </c>
      <c r="BA126" s="49">
        <v>0.9</v>
      </c>
      <c r="BB126" s="4">
        <f t="shared" si="47"/>
        <v>3.4</v>
      </c>
      <c r="BC126" s="50">
        <v>0.2</v>
      </c>
      <c r="BD126" s="69">
        <f>IFERROR(
  MAX(0.05, MIN(0.5, CropNorms_Cucumber[[#This Row],[Leaf_Area_Per_Shoot_m2]] * CropNorms_Cucumber[[#This Row],[Shoot_Bearing_m2]] )),
  0.2
)</f>
        <v>0.5</v>
      </c>
      <c r="BE126" s="4">
        <f>_xlfn.XLOOKUP(CropNorms_Cucumber[[#This Row],[LAI_Start_BBCH]], CropPhenology_Cucumber[Sub_Stage], CropPhenology_Cucumber[Start_GDD], "Not Found")</f>
        <v>121</v>
      </c>
      <c r="BF126" s="3">
        <f>ROUND(CropNorms_Cucumber[[#This Row],[Shoot_Bearing_m2]]*CropNorms_Cucumber[[#This Row],[Leaf_Area_Per_Shoot_m2]],2)</f>
        <v>0.68</v>
      </c>
      <c r="BG126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26" s="3">
        <f>IF(CropNorms_Cucumber[[#This Row],[Max_LAI]]&gt;=1.2, 0.85*CropNorms_Cucumber[[#This Row],[Max_LAI]], 1)</f>
        <v>1</v>
      </c>
      <c r="BI126" s="41">
        <f>_xlfn.XLOOKUP(CropNorms_Cucumber[[#This Row],[LAI_End_BBCH]], CropPhenology_Cucumber[Sub_Stage], CropPhenology_Cucumber[End_GDD], "Not Found")</f>
        <v>900</v>
      </c>
      <c r="BJ126" s="3" cm="1">
        <f t="array" ref="BJ126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26" s="3" cm="1">
        <f t="array" ref="BK12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26" s="3" cm="1">
        <f t="array" ref="BL126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26" s="3" cm="1">
        <f t="array" ref="BM12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6" s="42">
        <v>0.15</v>
      </c>
      <c r="BO126" s="43">
        <v>0.85</v>
      </c>
      <c r="BP126" s="42">
        <v>14.28</v>
      </c>
      <c r="BQ126" s="43" t="s">
        <v>1741</v>
      </c>
      <c r="BR126" s="3" t="str" cm="1">
        <f t="array" ref="BR12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6" s="3" t="str" cm="1">
        <f t="array" ref="BS12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26" s="3" t="str" cm="1">
        <f t="array" ref="BT126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26" s="3" t="str" cm="1">
        <f t="array" ref="BU126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26" s="48">
        <v>80</v>
      </c>
      <c r="BW126" s="1">
        <v>60</v>
      </c>
      <c r="BX126" s="44">
        <v>60</v>
      </c>
      <c r="BY126" s="51">
        <v>45703</v>
      </c>
      <c r="BZ126" s="5">
        <v>45731</v>
      </c>
      <c r="CA126" s="85">
        <v>0</v>
      </c>
      <c r="CB126" s="2">
        <v>0</v>
      </c>
      <c r="CC126" s="2">
        <v>1</v>
      </c>
      <c r="CD126" s="2">
        <v>1</v>
      </c>
      <c r="CE126" s="2">
        <v>1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O126" s="103"/>
      <c r="CP126" s="9"/>
      <c r="CQ126" s="10"/>
    </row>
    <row r="127" spans="2:95" x14ac:dyDescent="0.15">
      <c r="B127" s="36" t="s">
        <v>99</v>
      </c>
      <c r="C127" s="1" t="s">
        <v>103</v>
      </c>
      <c r="K127" s="1" t="s">
        <v>1763</v>
      </c>
      <c r="L127" s="1" t="s">
        <v>1750</v>
      </c>
      <c r="M127" s="1" t="s">
        <v>362</v>
      </c>
      <c r="N127" s="6">
        <v>14</v>
      </c>
      <c r="O127" s="1" t="s">
        <v>4</v>
      </c>
      <c r="P127" s="1">
        <v>2</v>
      </c>
      <c r="Q127" s="1">
        <v>10</v>
      </c>
      <c r="R127" s="1">
        <v>10</v>
      </c>
      <c r="S127" s="1">
        <v>26</v>
      </c>
      <c r="T127" s="1">
        <v>32</v>
      </c>
      <c r="U127" s="253">
        <v>4</v>
      </c>
      <c r="V127" s="1">
        <v>45</v>
      </c>
      <c r="W127" s="44">
        <v>80</v>
      </c>
      <c r="X127" s="40">
        <f>_xlfn.XLOOKUP("Ripening", CropPhenology_Cucumber[Main_Stage], CropPhenology_Cucumber[Start_GDD], "Not Found")</f>
        <v>901</v>
      </c>
      <c r="Y127" s="4" cm="1">
        <f t="array" ref="Y127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27" s="3">
        <f t="shared" si="59"/>
        <v>18.40902777777778</v>
      </c>
      <c r="AA127" s="41">
        <f t="shared" si="60"/>
        <v>62.469350032064575</v>
      </c>
      <c r="AB127" s="1">
        <v>6</v>
      </c>
      <c r="AC127" s="1">
        <v>12</v>
      </c>
      <c r="AD127" s="1">
        <v>3</v>
      </c>
      <c r="AE127" s="1">
        <v>85</v>
      </c>
      <c r="AF127" s="1">
        <v>10</v>
      </c>
      <c r="AG127" s="1">
        <v>5</v>
      </c>
      <c r="AH127" s="3">
        <f t="shared" si="48"/>
        <v>3.9859547101449277</v>
      </c>
      <c r="AI127" s="1">
        <v>6</v>
      </c>
      <c r="AJ127" s="1">
        <v>7.5</v>
      </c>
      <c r="AK127" s="159">
        <v>2.5</v>
      </c>
      <c r="AL127" s="150">
        <v>0.09</v>
      </c>
      <c r="AM127" s="1">
        <v>400</v>
      </c>
      <c r="AN127" s="1">
        <v>500</v>
      </c>
      <c r="AO127" s="48">
        <v>2</v>
      </c>
      <c r="AP127" s="44">
        <v>20</v>
      </c>
      <c r="AQ127" s="42">
        <v>0.82</v>
      </c>
      <c r="AR127" s="1">
        <v>150</v>
      </c>
      <c r="AS127" s="1">
        <v>30</v>
      </c>
      <c r="AT127" s="1">
        <v>2</v>
      </c>
      <c r="AU127" s="4">
        <f t="shared" si="44"/>
        <v>4.4444444444444446</v>
      </c>
      <c r="AV127" s="3">
        <f t="shared" si="61"/>
        <v>0.09</v>
      </c>
      <c r="AW127" s="1">
        <v>85</v>
      </c>
      <c r="AX127" s="3">
        <f t="shared" si="57"/>
        <v>3.7777777777777777</v>
      </c>
      <c r="AY127" s="1">
        <v>1</v>
      </c>
      <c r="AZ127" s="4">
        <f t="shared" si="62"/>
        <v>3.7777777777777777</v>
      </c>
      <c r="BA127" s="49">
        <v>0.9</v>
      </c>
      <c r="BB127" s="4">
        <f t="shared" si="47"/>
        <v>3.4</v>
      </c>
      <c r="BC127" s="50">
        <v>0.2</v>
      </c>
      <c r="BD127" s="69">
        <f>IFERROR(
  MAX(0.05, MIN(0.5, CropNorms_Cucumber[[#This Row],[Leaf_Area_Per_Shoot_m2]] * CropNorms_Cucumber[[#This Row],[Shoot_Bearing_m2]] )),
  0.2
)</f>
        <v>0.5</v>
      </c>
      <c r="BE127" s="4">
        <f>_xlfn.XLOOKUP(CropNorms_Cucumber[[#This Row],[LAI_Start_BBCH]], CropPhenology_Cucumber[Sub_Stage], CropPhenology_Cucumber[Start_GDD], "Not Found")</f>
        <v>121</v>
      </c>
      <c r="BF127" s="3">
        <f>ROUND(CropNorms_Cucumber[[#This Row],[Shoot_Bearing_m2]]*CropNorms_Cucumber[[#This Row],[Leaf_Area_Per_Shoot_m2]],2)</f>
        <v>0.68</v>
      </c>
      <c r="BG127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27" s="3">
        <f>IF(CropNorms_Cucumber[[#This Row],[Max_LAI]]&gt;=1.2, 0.85*CropNorms_Cucumber[[#This Row],[Max_LAI]], 1)</f>
        <v>1</v>
      </c>
      <c r="BI127" s="41">
        <f>_xlfn.XLOOKUP(CropNorms_Cucumber[[#This Row],[LAI_End_BBCH]], CropPhenology_Cucumber[Sub_Stage], CropPhenology_Cucumber[End_GDD], "Not Found")</f>
        <v>900</v>
      </c>
      <c r="BJ127" s="3" cm="1">
        <f t="array" ref="BJ127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27" s="3" cm="1">
        <f t="array" ref="BK12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27" s="3" cm="1">
        <f t="array" ref="BL127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27" s="3" cm="1">
        <f t="array" ref="BM12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7" s="42">
        <v>0.15</v>
      </c>
      <c r="BO127" s="43">
        <v>0.85</v>
      </c>
      <c r="BP127" s="42">
        <v>14.28</v>
      </c>
      <c r="BQ127" s="43" t="s">
        <v>1741</v>
      </c>
      <c r="BR127" s="3" t="str" cm="1">
        <f t="array" ref="BR12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7" s="3" t="str" cm="1">
        <f t="array" ref="BS12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27" s="3" t="str" cm="1">
        <f t="array" ref="BT127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27" s="3" t="str" cm="1">
        <f t="array" ref="BU127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27" s="48">
        <v>80</v>
      </c>
      <c r="BW127" s="1">
        <v>60</v>
      </c>
      <c r="BX127" s="44">
        <v>60</v>
      </c>
      <c r="BY127" s="51">
        <v>45703</v>
      </c>
      <c r="BZ127" s="5">
        <v>45731</v>
      </c>
      <c r="CA127" s="85">
        <v>0</v>
      </c>
      <c r="CB127" s="2">
        <v>0</v>
      </c>
      <c r="CC127" s="2">
        <v>1</v>
      </c>
      <c r="CD127" s="2">
        <v>1</v>
      </c>
      <c r="CE127" s="2">
        <v>1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O127" s="103"/>
      <c r="CP127" s="9"/>
      <c r="CQ127" s="10"/>
    </row>
    <row r="128" spans="2:95" x14ac:dyDescent="0.15">
      <c r="B128" s="36" t="s">
        <v>99</v>
      </c>
      <c r="C128" s="1" t="s">
        <v>104</v>
      </c>
      <c r="K128" s="1" t="s">
        <v>1763</v>
      </c>
      <c r="L128" s="1" t="s">
        <v>1750</v>
      </c>
      <c r="M128" s="1" t="s">
        <v>362</v>
      </c>
      <c r="N128" s="6">
        <v>14</v>
      </c>
      <c r="O128" s="1" t="s">
        <v>4</v>
      </c>
      <c r="P128" s="1">
        <v>2</v>
      </c>
      <c r="Q128" s="1">
        <v>10</v>
      </c>
      <c r="R128" s="1">
        <v>10</v>
      </c>
      <c r="S128" s="1">
        <v>26</v>
      </c>
      <c r="T128" s="1">
        <v>32</v>
      </c>
      <c r="U128" s="253">
        <v>4</v>
      </c>
      <c r="V128" s="1">
        <v>45</v>
      </c>
      <c r="W128" s="44">
        <v>80</v>
      </c>
      <c r="X128" s="40">
        <f>_xlfn.XLOOKUP("Ripening", CropPhenology_Cucumber[Main_Stage], CropPhenology_Cucumber[Start_GDD], "Not Found")</f>
        <v>901</v>
      </c>
      <c r="Y128" s="4" cm="1">
        <f t="array" ref="Y128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28" s="3">
        <f t="shared" si="59"/>
        <v>18.40902777777778</v>
      </c>
      <c r="AA128" s="41">
        <f t="shared" si="60"/>
        <v>62.469350032064575</v>
      </c>
      <c r="AB128" s="1">
        <v>6</v>
      </c>
      <c r="AC128" s="1">
        <v>12</v>
      </c>
      <c r="AD128" s="1">
        <v>3</v>
      </c>
      <c r="AE128" s="1">
        <v>85</v>
      </c>
      <c r="AF128" s="1">
        <v>10</v>
      </c>
      <c r="AG128" s="1">
        <v>5</v>
      </c>
      <c r="AH128" s="3">
        <f t="shared" si="48"/>
        <v>3.9859547101449277</v>
      </c>
      <c r="AI128" s="1">
        <v>6</v>
      </c>
      <c r="AJ128" s="1">
        <v>7.5</v>
      </c>
      <c r="AK128" s="159">
        <v>2.5</v>
      </c>
      <c r="AL128" s="150">
        <v>0.09</v>
      </c>
      <c r="AM128" s="1">
        <v>400</v>
      </c>
      <c r="AN128" s="1">
        <v>500</v>
      </c>
      <c r="AO128" s="48">
        <v>2</v>
      </c>
      <c r="AP128" s="44">
        <v>20</v>
      </c>
      <c r="AQ128" s="42">
        <v>0.76</v>
      </c>
      <c r="AR128" s="1">
        <v>150</v>
      </c>
      <c r="AS128" s="1">
        <v>30</v>
      </c>
      <c r="AT128" s="1">
        <v>2</v>
      </c>
      <c r="AU128" s="4">
        <f t="shared" si="44"/>
        <v>4.4444444444444446</v>
      </c>
      <c r="AV128" s="3">
        <f t="shared" si="61"/>
        <v>0.09</v>
      </c>
      <c r="AW128" s="1">
        <v>85</v>
      </c>
      <c r="AX128" s="3">
        <f t="shared" si="57"/>
        <v>3.7777777777777777</v>
      </c>
      <c r="AY128" s="1">
        <v>1</v>
      </c>
      <c r="AZ128" s="4">
        <f t="shared" si="62"/>
        <v>3.7777777777777777</v>
      </c>
      <c r="BA128" s="49">
        <v>0.9</v>
      </c>
      <c r="BB128" s="4">
        <f t="shared" si="47"/>
        <v>3.4</v>
      </c>
      <c r="BC128" s="50">
        <v>0.2</v>
      </c>
      <c r="BD128" s="69">
        <f>IFERROR(
  MAX(0.05, MIN(0.5, CropNorms_Cucumber[[#This Row],[Leaf_Area_Per_Shoot_m2]] * CropNorms_Cucumber[[#This Row],[Shoot_Bearing_m2]] )),
  0.2
)</f>
        <v>0.5</v>
      </c>
      <c r="BE128" s="4">
        <f>_xlfn.XLOOKUP(CropNorms_Cucumber[[#This Row],[LAI_Start_BBCH]], CropPhenology_Cucumber[Sub_Stage], CropPhenology_Cucumber[Start_GDD], "Not Found")</f>
        <v>121</v>
      </c>
      <c r="BF128" s="3">
        <f>ROUND(CropNorms_Cucumber[[#This Row],[Shoot_Bearing_m2]]*CropNorms_Cucumber[[#This Row],[Leaf_Area_Per_Shoot_m2]],2)</f>
        <v>0.68</v>
      </c>
      <c r="BG128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28" s="3">
        <f>IF(CropNorms_Cucumber[[#This Row],[Max_LAI]]&gt;=1.2, 0.85*CropNorms_Cucumber[[#This Row],[Max_LAI]], 1)</f>
        <v>1</v>
      </c>
      <c r="BI128" s="41">
        <f>_xlfn.XLOOKUP(CropNorms_Cucumber[[#This Row],[LAI_End_BBCH]], CropPhenology_Cucumber[Sub_Stage], CropPhenology_Cucumber[End_GDD], "Not Found")</f>
        <v>900</v>
      </c>
      <c r="BJ128" s="3" cm="1">
        <f t="array" ref="BJ128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28" s="3" cm="1">
        <f t="array" ref="BK12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28" s="3" cm="1">
        <f t="array" ref="BL128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28" s="3" cm="1">
        <f t="array" ref="BM12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8" s="42">
        <v>0.15</v>
      </c>
      <c r="BO128" s="43">
        <v>0.85</v>
      </c>
      <c r="BP128" s="42">
        <v>14.28</v>
      </c>
      <c r="BQ128" s="43" t="s">
        <v>1741</v>
      </c>
      <c r="BR128" s="3" t="str" cm="1">
        <f t="array" ref="BR12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8" s="3" t="str" cm="1">
        <f t="array" ref="BS12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28" s="3" t="str" cm="1">
        <f t="array" ref="BT128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28" s="3" t="str" cm="1">
        <f t="array" ref="BU128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28" s="48">
        <v>80</v>
      </c>
      <c r="BW128" s="1">
        <v>60</v>
      </c>
      <c r="BX128" s="44">
        <v>60</v>
      </c>
      <c r="BY128" s="51">
        <v>45703</v>
      </c>
      <c r="BZ128" s="5">
        <v>45731</v>
      </c>
      <c r="CA128" s="85">
        <v>0</v>
      </c>
      <c r="CB128" s="2">
        <v>0</v>
      </c>
      <c r="CC128" s="2">
        <v>1</v>
      </c>
      <c r="CD128" s="2">
        <v>1</v>
      </c>
      <c r="CE128" s="2">
        <v>1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O128" s="103"/>
      <c r="CP128" s="9"/>
      <c r="CQ128" s="10"/>
    </row>
    <row r="129" spans="2:95" x14ac:dyDescent="0.15">
      <c r="B129" s="36" t="s">
        <v>99</v>
      </c>
      <c r="C129" s="1" t="s">
        <v>105</v>
      </c>
      <c r="K129" s="1" t="s">
        <v>1763</v>
      </c>
      <c r="L129" s="1" t="s">
        <v>1750</v>
      </c>
      <c r="M129" s="1" t="s">
        <v>362</v>
      </c>
      <c r="N129" s="6">
        <v>14</v>
      </c>
      <c r="O129" s="1" t="s">
        <v>4</v>
      </c>
      <c r="P129" s="1">
        <v>2</v>
      </c>
      <c r="Q129" s="1">
        <v>10</v>
      </c>
      <c r="R129" s="1">
        <v>10</v>
      </c>
      <c r="S129" s="1">
        <v>26</v>
      </c>
      <c r="T129" s="1">
        <v>32</v>
      </c>
      <c r="U129" s="253">
        <v>4</v>
      </c>
      <c r="V129" s="1">
        <v>45</v>
      </c>
      <c r="W129" s="44">
        <v>80</v>
      </c>
      <c r="X129" s="40">
        <f>_xlfn.XLOOKUP("Ripening", CropPhenology_Cucumber[Main_Stage], CropPhenology_Cucumber[Start_GDD], "Not Found")</f>
        <v>901</v>
      </c>
      <c r="Y129" s="4" cm="1">
        <f t="array" ref="Y129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29" s="3">
        <f t="shared" si="59"/>
        <v>18.40902777777778</v>
      </c>
      <c r="AA129" s="41">
        <f t="shared" si="60"/>
        <v>62.469350032064575</v>
      </c>
      <c r="AB129" s="1">
        <v>6</v>
      </c>
      <c r="AC129" s="1">
        <v>12</v>
      </c>
      <c r="AD129" s="1">
        <v>3</v>
      </c>
      <c r="AE129" s="1">
        <v>85</v>
      </c>
      <c r="AF129" s="1">
        <v>10</v>
      </c>
      <c r="AG129" s="1">
        <v>5</v>
      </c>
      <c r="AH129" s="3">
        <f t="shared" si="48"/>
        <v>3.9859547101449277</v>
      </c>
      <c r="AI129" s="1">
        <v>6</v>
      </c>
      <c r="AJ129" s="1">
        <v>7.5</v>
      </c>
      <c r="AK129" s="159">
        <v>2.5</v>
      </c>
      <c r="AL129" s="150">
        <v>0.09</v>
      </c>
      <c r="AM129" s="1">
        <v>400</v>
      </c>
      <c r="AN129" s="1">
        <v>500</v>
      </c>
      <c r="AO129" s="48">
        <v>2</v>
      </c>
      <c r="AP129" s="44">
        <v>20</v>
      </c>
      <c r="AQ129" s="42">
        <v>0.85</v>
      </c>
      <c r="AR129" s="1">
        <v>150</v>
      </c>
      <c r="AS129" s="1">
        <v>30</v>
      </c>
      <c r="AT129" s="1">
        <v>2</v>
      </c>
      <c r="AU129" s="4">
        <f t="shared" si="44"/>
        <v>4.4444444444444446</v>
      </c>
      <c r="AV129" s="3">
        <f t="shared" si="61"/>
        <v>0.09</v>
      </c>
      <c r="AW129" s="1">
        <v>85</v>
      </c>
      <c r="AX129" s="3">
        <f t="shared" si="57"/>
        <v>3.7777777777777777</v>
      </c>
      <c r="AY129" s="1">
        <v>1</v>
      </c>
      <c r="AZ129" s="4">
        <f t="shared" si="62"/>
        <v>3.7777777777777777</v>
      </c>
      <c r="BA129" s="49">
        <v>0.9</v>
      </c>
      <c r="BB129" s="4">
        <f t="shared" si="47"/>
        <v>3.4</v>
      </c>
      <c r="BC129" s="50">
        <v>0.2</v>
      </c>
      <c r="BD129" s="69">
        <f>IFERROR(
  MAX(0.05, MIN(0.5, CropNorms_Cucumber[[#This Row],[Leaf_Area_Per_Shoot_m2]] * CropNorms_Cucumber[[#This Row],[Shoot_Bearing_m2]] )),
  0.2
)</f>
        <v>0.5</v>
      </c>
      <c r="BE129" s="4">
        <f>_xlfn.XLOOKUP(CropNorms_Cucumber[[#This Row],[LAI_Start_BBCH]], CropPhenology_Cucumber[Sub_Stage], CropPhenology_Cucumber[Start_GDD], "Not Found")</f>
        <v>121</v>
      </c>
      <c r="BF129" s="3">
        <f>ROUND(CropNorms_Cucumber[[#This Row],[Shoot_Bearing_m2]]*CropNorms_Cucumber[[#This Row],[Leaf_Area_Per_Shoot_m2]],2)</f>
        <v>0.68</v>
      </c>
      <c r="BG129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29" s="3">
        <f>IF(CropNorms_Cucumber[[#This Row],[Max_LAI]]&gt;=1.2, 0.85*CropNorms_Cucumber[[#This Row],[Max_LAI]], 1)</f>
        <v>1</v>
      </c>
      <c r="BI129" s="41">
        <f>_xlfn.XLOOKUP(CropNorms_Cucumber[[#This Row],[LAI_End_BBCH]], CropPhenology_Cucumber[Sub_Stage], CropPhenology_Cucumber[End_GDD], "Not Found")</f>
        <v>900</v>
      </c>
      <c r="BJ129" s="3" cm="1">
        <f t="array" ref="BJ129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29" s="3" cm="1">
        <f t="array" ref="BK12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29" s="3" cm="1">
        <f t="array" ref="BL129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29" s="3" cm="1">
        <f t="array" ref="BM12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29" s="42">
        <v>0.15</v>
      </c>
      <c r="BO129" s="43">
        <v>0.85</v>
      </c>
      <c r="BP129" s="42">
        <v>14.28</v>
      </c>
      <c r="BQ129" s="43" t="s">
        <v>1741</v>
      </c>
      <c r="BR129" s="3" t="str" cm="1">
        <f t="array" ref="BR12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29" s="3" t="str" cm="1">
        <f t="array" ref="BS12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29" s="3" t="str" cm="1">
        <f t="array" ref="BT129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29" s="3" t="str" cm="1">
        <f t="array" ref="BU129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29" s="48">
        <v>80</v>
      </c>
      <c r="BW129" s="1">
        <v>60</v>
      </c>
      <c r="BX129" s="44">
        <v>60</v>
      </c>
      <c r="BY129" s="51">
        <v>45703</v>
      </c>
      <c r="BZ129" s="5">
        <v>45731</v>
      </c>
      <c r="CA129" s="85">
        <v>0</v>
      </c>
      <c r="CB129" s="2">
        <v>0</v>
      </c>
      <c r="CC129" s="2">
        <v>1</v>
      </c>
      <c r="CD129" s="2">
        <v>1</v>
      </c>
      <c r="CE129" s="2">
        <v>1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O129" s="103"/>
      <c r="CP129" s="9"/>
      <c r="CQ129" s="10"/>
    </row>
    <row r="130" spans="2:95" x14ac:dyDescent="0.15">
      <c r="B130" s="36" t="s">
        <v>99</v>
      </c>
      <c r="C130" s="1" t="s">
        <v>106</v>
      </c>
      <c r="K130" s="1" t="s">
        <v>1763</v>
      </c>
      <c r="L130" s="1" t="s">
        <v>1750</v>
      </c>
      <c r="M130" s="1" t="s">
        <v>362</v>
      </c>
      <c r="N130" s="6">
        <v>14</v>
      </c>
      <c r="O130" s="1" t="s">
        <v>4</v>
      </c>
      <c r="P130" s="1">
        <v>2</v>
      </c>
      <c r="Q130" s="1">
        <v>10</v>
      </c>
      <c r="R130" s="1">
        <v>10</v>
      </c>
      <c r="S130" s="1">
        <v>26</v>
      </c>
      <c r="T130" s="1">
        <v>32</v>
      </c>
      <c r="U130" s="253">
        <v>4</v>
      </c>
      <c r="V130" s="1">
        <v>45</v>
      </c>
      <c r="W130" s="44">
        <v>80</v>
      </c>
      <c r="X130" s="40">
        <f>_xlfn.XLOOKUP("Ripening", CropPhenology_Cucumber[Main_Stage], CropPhenology_Cucumber[Start_GDD], "Not Found")</f>
        <v>901</v>
      </c>
      <c r="Y130" s="4" cm="1">
        <f t="array" ref="Y130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0" s="3">
        <f t="shared" si="59"/>
        <v>18.40902777777778</v>
      </c>
      <c r="AA130" s="41">
        <f t="shared" si="60"/>
        <v>62.469350032064575</v>
      </c>
      <c r="AB130" s="1">
        <v>6</v>
      </c>
      <c r="AC130" s="1">
        <v>12</v>
      </c>
      <c r="AD130" s="1">
        <v>3</v>
      </c>
      <c r="AE130" s="1">
        <v>85</v>
      </c>
      <c r="AF130" s="1">
        <v>10</v>
      </c>
      <c r="AG130" s="1">
        <v>5</v>
      </c>
      <c r="AH130" s="3">
        <f t="shared" si="48"/>
        <v>3.9859547101449277</v>
      </c>
      <c r="AI130" s="1">
        <v>6</v>
      </c>
      <c r="AJ130" s="1">
        <v>7.5</v>
      </c>
      <c r="AK130" s="159">
        <v>2.5</v>
      </c>
      <c r="AL130" s="150">
        <v>0.09</v>
      </c>
      <c r="AM130" s="1">
        <v>400</v>
      </c>
      <c r="AN130" s="1">
        <v>500</v>
      </c>
      <c r="AO130" s="48">
        <v>2</v>
      </c>
      <c r="AP130" s="44">
        <v>20</v>
      </c>
      <c r="AQ130" s="42">
        <v>0.7</v>
      </c>
      <c r="AR130" s="1">
        <v>150</v>
      </c>
      <c r="AS130" s="1">
        <v>30</v>
      </c>
      <c r="AT130" s="1">
        <v>2</v>
      </c>
      <c r="AU130" s="4">
        <f t="shared" si="44"/>
        <v>4.4444444444444446</v>
      </c>
      <c r="AV130" s="3">
        <f t="shared" si="61"/>
        <v>0.09</v>
      </c>
      <c r="AW130" s="1">
        <v>85</v>
      </c>
      <c r="AX130" s="3">
        <f t="shared" si="57"/>
        <v>3.7777777777777777</v>
      </c>
      <c r="AY130" s="1">
        <v>1</v>
      </c>
      <c r="AZ130" s="4">
        <f t="shared" si="62"/>
        <v>3.7777777777777777</v>
      </c>
      <c r="BA130" s="49">
        <v>0.9</v>
      </c>
      <c r="BB130" s="4">
        <f t="shared" si="47"/>
        <v>3.4</v>
      </c>
      <c r="BC130" s="50">
        <v>0.2</v>
      </c>
      <c r="BD130" s="69">
        <f>IFERROR(
  MAX(0.05, MIN(0.5, CropNorms_Cucumber[[#This Row],[Leaf_Area_Per_Shoot_m2]] * CropNorms_Cucumber[[#This Row],[Shoot_Bearing_m2]] )),
  0.2
)</f>
        <v>0.5</v>
      </c>
      <c r="BE130" s="4">
        <f>_xlfn.XLOOKUP(CropNorms_Cucumber[[#This Row],[LAI_Start_BBCH]], CropPhenology_Cucumber[Sub_Stage], CropPhenology_Cucumber[Start_GDD], "Not Found")</f>
        <v>121</v>
      </c>
      <c r="BF130" s="3">
        <f>ROUND(CropNorms_Cucumber[[#This Row],[Shoot_Bearing_m2]]*CropNorms_Cucumber[[#This Row],[Leaf_Area_Per_Shoot_m2]],2)</f>
        <v>0.68</v>
      </c>
      <c r="BG130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0" s="3">
        <f>IF(CropNorms_Cucumber[[#This Row],[Max_LAI]]&gt;=1.2, 0.85*CropNorms_Cucumber[[#This Row],[Max_LAI]], 1)</f>
        <v>1</v>
      </c>
      <c r="BI130" s="41">
        <f>_xlfn.XLOOKUP(CropNorms_Cucumber[[#This Row],[LAI_End_BBCH]], CropPhenology_Cucumber[Sub_Stage], CropPhenology_Cucumber[End_GDD], "Not Found")</f>
        <v>900</v>
      </c>
      <c r="BJ130" s="3" cm="1">
        <f t="array" ref="BJ130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0" s="3" cm="1">
        <f t="array" ref="BK13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0" s="3" cm="1">
        <f t="array" ref="BL130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0" s="3" cm="1">
        <f t="array" ref="BM13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0" s="42">
        <v>0.15</v>
      </c>
      <c r="BO130" s="43">
        <v>0.85</v>
      </c>
      <c r="BP130" s="42">
        <v>14.28</v>
      </c>
      <c r="BQ130" s="43" t="s">
        <v>1741</v>
      </c>
      <c r="BR130" s="3" t="str" cm="1">
        <f t="array" ref="BR13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0" s="3" t="str" cm="1">
        <f t="array" ref="BS13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0" s="3" t="str" cm="1">
        <f t="array" ref="BT130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0" s="3" t="str" cm="1">
        <f t="array" ref="BU130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0" s="48">
        <v>80</v>
      </c>
      <c r="BW130" s="1">
        <v>60</v>
      </c>
      <c r="BX130" s="44">
        <v>60</v>
      </c>
      <c r="BY130" s="51">
        <v>45703</v>
      </c>
      <c r="BZ130" s="5">
        <v>45731</v>
      </c>
      <c r="CA130" s="85">
        <v>0</v>
      </c>
      <c r="CB130" s="2">
        <v>0</v>
      </c>
      <c r="CC130" s="2">
        <v>1</v>
      </c>
      <c r="CD130" s="2">
        <v>1</v>
      </c>
      <c r="CE130" s="2">
        <v>1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O130" s="103"/>
      <c r="CP130" s="9"/>
      <c r="CQ130" s="10"/>
    </row>
    <row r="131" spans="2:95" x14ac:dyDescent="0.15">
      <c r="B131" s="36" t="s">
        <v>99</v>
      </c>
      <c r="C131" s="1" t="s">
        <v>107</v>
      </c>
      <c r="K131" s="1" t="s">
        <v>1763</v>
      </c>
      <c r="L131" s="1" t="s">
        <v>1750</v>
      </c>
      <c r="M131" s="1" t="s">
        <v>362</v>
      </c>
      <c r="N131" s="6">
        <v>14</v>
      </c>
      <c r="O131" s="1" t="s">
        <v>4</v>
      </c>
      <c r="P131" s="1">
        <v>2</v>
      </c>
      <c r="Q131" s="1">
        <v>10</v>
      </c>
      <c r="R131" s="1">
        <v>10</v>
      </c>
      <c r="S131" s="1">
        <v>26</v>
      </c>
      <c r="T131" s="1">
        <v>32</v>
      </c>
      <c r="U131" s="253">
        <v>4</v>
      </c>
      <c r="V131" s="1">
        <v>45</v>
      </c>
      <c r="W131" s="44">
        <v>80</v>
      </c>
      <c r="X131" s="40">
        <f>_xlfn.XLOOKUP("Ripening", CropPhenology_Cucumber[Main_Stage], CropPhenology_Cucumber[Start_GDD], "Not Found")</f>
        <v>901</v>
      </c>
      <c r="Y131" s="4" cm="1">
        <f t="array" ref="Y13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1" s="3">
        <f t="shared" si="59"/>
        <v>18.40902777777778</v>
      </c>
      <c r="AA131" s="41">
        <f t="shared" si="60"/>
        <v>62.469350032064575</v>
      </c>
      <c r="AB131" s="1">
        <v>6</v>
      </c>
      <c r="AC131" s="1">
        <v>12</v>
      </c>
      <c r="AD131" s="1">
        <v>3</v>
      </c>
      <c r="AE131" s="1">
        <v>85</v>
      </c>
      <c r="AF131" s="1">
        <v>10</v>
      </c>
      <c r="AG131" s="1">
        <v>5</v>
      </c>
      <c r="AH131" s="3">
        <f t="shared" si="48"/>
        <v>3.9859547101449277</v>
      </c>
      <c r="AI131" s="1">
        <v>6</v>
      </c>
      <c r="AJ131" s="1">
        <v>7.5</v>
      </c>
      <c r="AK131" s="159">
        <v>2.5</v>
      </c>
      <c r="AL131" s="150">
        <v>0.09</v>
      </c>
      <c r="AM131" s="1">
        <v>400</v>
      </c>
      <c r="AN131" s="1">
        <v>500</v>
      </c>
      <c r="AO131" s="48">
        <v>2</v>
      </c>
      <c r="AP131" s="44">
        <v>20</v>
      </c>
      <c r="AQ131" s="42">
        <v>0.88</v>
      </c>
      <c r="AR131" s="1">
        <v>150</v>
      </c>
      <c r="AS131" s="1">
        <v>30</v>
      </c>
      <c r="AT131" s="1">
        <v>2</v>
      </c>
      <c r="AU131" s="4">
        <f t="shared" si="44"/>
        <v>4.4444444444444446</v>
      </c>
      <c r="AV131" s="3">
        <f t="shared" si="61"/>
        <v>0.09</v>
      </c>
      <c r="AW131" s="1">
        <v>85</v>
      </c>
      <c r="AX131" s="3">
        <f t="shared" si="57"/>
        <v>3.7777777777777777</v>
      </c>
      <c r="AY131" s="1">
        <v>1</v>
      </c>
      <c r="AZ131" s="4">
        <f t="shared" si="62"/>
        <v>3.7777777777777777</v>
      </c>
      <c r="BA131" s="49">
        <v>0.9</v>
      </c>
      <c r="BB131" s="4">
        <f t="shared" si="47"/>
        <v>3.4</v>
      </c>
      <c r="BC131" s="50">
        <v>0.2</v>
      </c>
      <c r="BD131" s="69">
        <f>IFERROR(
  MAX(0.05, MIN(0.5, CropNorms_Cucumber[[#This Row],[Leaf_Area_Per_Shoot_m2]] * CropNorms_Cucumber[[#This Row],[Shoot_Bearing_m2]] )),
  0.2
)</f>
        <v>0.5</v>
      </c>
      <c r="BE131" s="4">
        <f>_xlfn.XLOOKUP(CropNorms_Cucumber[[#This Row],[LAI_Start_BBCH]], CropPhenology_Cucumber[Sub_Stage], CropPhenology_Cucumber[Start_GDD], "Not Found")</f>
        <v>121</v>
      </c>
      <c r="BF131" s="3">
        <f>ROUND(CropNorms_Cucumber[[#This Row],[Shoot_Bearing_m2]]*CropNorms_Cucumber[[#This Row],[Leaf_Area_Per_Shoot_m2]],2)</f>
        <v>0.68</v>
      </c>
      <c r="BG131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1" s="3">
        <f>IF(CropNorms_Cucumber[[#This Row],[Max_LAI]]&gt;=1.2, 0.85*CropNorms_Cucumber[[#This Row],[Max_LAI]], 1)</f>
        <v>1</v>
      </c>
      <c r="BI131" s="41">
        <f>_xlfn.XLOOKUP(CropNorms_Cucumber[[#This Row],[LAI_End_BBCH]], CropPhenology_Cucumber[Sub_Stage], CropPhenology_Cucumber[End_GDD], "Not Found")</f>
        <v>900</v>
      </c>
      <c r="BJ131" s="3" cm="1">
        <f t="array" ref="BJ13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1" s="3" cm="1">
        <f t="array" ref="BK13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1" s="3" cm="1">
        <f t="array" ref="BL13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1" s="3" cm="1">
        <f t="array" ref="BM13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1" s="42">
        <v>0.15</v>
      </c>
      <c r="BO131" s="43">
        <v>0.85</v>
      </c>
      <c r="BP131" s="42">
        <v>14.28</v>
      </c>
      <c r="BQ131" s="43" t="s">
        <v>1741</v>
      </c>
      <c r="BR131" s="3" t="str" cm="1">
        <f t="array" ref="BR13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1" s="3" t="str" cm="1">
        <f t="array" ref="BS13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1" s="3" t="str" cm="1">
        <f t="array" ref="BT13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1" s="3" t="str" cm="1">
        <f t="array" ref="BU13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1" s="48">
        <v>80</v>
      </c>
      <c r="BW131" s="1">
        <v>60</v>
      </c>
      <c r="BX131" s="44">
        <v>60</v>
      </c>
      <c r="BY131" s="51">
        <v>45703</v>
      </c>
      <c r="BZ131" s="5">
        <v>45731</v>
      </c>
      <c r="CA131" s="85">
        <v>0</v>
      </c>
      <c r="CB131" s="2">
        <v>0</v>
      </c>
      <c r="CC131" s="2">
        <v>1</v>
      </c>
      <c r="CD131" s="2">
        <v>1</v>
      </c>
      <c r="CE131" s="2">
        <v>1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O131" s="103"/>
      <c r="CP131" s="9"/>
      <c r="CQ131" s="10"/>
    </row>
    <row r="132" spans="2:95" x14ac:dyDescent="0.15">
      <c r="B132" s="36" t="s">
        <v>99</v>
      </c>
      <c r="C132" s="1" t="s">
        <v>108</v>
      </c>
      <c r="K132" s="1" t="s">
        <v>1763</v>
      </c>
      <c r="L132" s="1" t="s">
        <v>1750</v>
      </c>
      <c r="M132" s="1" t="s">
        <v>362</v>
      </c>
      <c r="N132" s="6">
        <v>14</v>
      </c>
      <c r="O132" s="1" t="s">
        <v>4</v>
      </c>
      <c r="P132" s="1">
        <v>2</v>
      </c>
      <c r="Q132" s="1">
        <v>10</v>
      </c>
      <c r="R132" s="1">
        <v>10</v>
      </c>
      <c r="S132" s="1">
        <v>26</v>
      </c>
      <c r="T132" s="1">
        <v>32</v>
      </c>
      <c r="U132" s="253">
        <v>4</v>
      </c>
      <c r="V132" s="1">
        <v>45</v>
      </c>
      <c r="W132" s="44">
        <v>80</v>
      </c>
      <c r="X132" s="40">
        <f>_xlfn.XLOOKUP("Ripening", CropPhenology_Cucumber[Main_Stage], CropPhenology_Cucumber[Start_GDD], "Not Found")</f>
        <v>901</v>
      </c>
      <c r="Y132" s="4" cm="1">
        <f t="array" ref="Y132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2" s="3">
        <f t="shared" si="59"/>
        <v>18.40902777777778</v>
      </c>
      <c r="AA132" s="41">
        <f t="shared" si="60"/>
        <v>62.469350032064575</v>
      </c>
      <c r="AB132" s="1">
        <v>6</v>
      </c>
      <c r="AC132" s="1">
        <v>12</v>
      </c>
      <c r="AD132" s="1">
        <v>3</v>
      </c>
      <c r="AE132" s="1">
        <v>85</v>
      </c>
      <c r="AF132" s="1">
        <v>10</v>
      </c>
      <c r="AG132" s="1">
        <v>5</v>
      </c>
      <c r="AH132" s="3">
        <f t="shared" si="48"/>
        <v>3.9859547101449277</v>
      </c>
      <c r="AI132" s="1">
        <v>6</v>
      </c>
      <c r="AJ132" s="1">
        <v>7.5</v>
      </c>
      <c r="AK132" s="159">
        <v>2.5</v>
      </c>
      <c r="AL132" s="150">
        <v>0.09</v>
      </c>
      <c r="AM132" s="1">
        <v>400</v>
      </c>
      <c r="AN132" s="1">
        <v>500</v>
      </c>
      <c r="AO132" s="48">
        <v>2</v>
      </c>
      <c r="AP132" s="44">
        <v>20</v>
      </c>
      <c r="AQ132" s="42">
        <v>0.9</v>
      </c>
      <c r="AR132" s="1">
        <v>150</v>
      </c>
      <c r="AS132" s="1">
        <v>30</v>
      </c>
      <c r="AT132" s="1">
        <v>2</v>
      </c>
      <c r="AU132" s="4">
        <f t="shared" si="44"/>
        <v>4.4444444444444446</v>
      </c>
      <c r="AV132" s="3">
        <f t="shared" si="61"/>
        <v>0.09</v>
      </c>
      <c r="AW132" s="1">
        <v>85</v>
      </c>
      <c r="AX132" s="3">
        <f t="shared" si="57"/>
        <v>3.7777777777777777</v>
      </c>
      <c r="AY132" s="1">
        <v>1</v>
      </c>
      <c r="AZ132" s="4">
        <f t="shared" si="62"/>
        <v>3.7777777777777777</v>
      </c>
      <c r="BA132" s="49">
        <v>0.9</v>
      </c>
      <c r="BB132" s="4">
        <f t="shared" si="47"/>
        <v>3.4</v>
      </c>
      <c r="BC132" s="50">
        <v>0.2</v>
      </c>
      <c r="BD132" s="69">
        <f>IFERROR(
  MAX(0.05, MIN(0.5, CropNorms_Cucumber[[#This Row],[Leaf_Area_Per_Shoot_m2]] * CropNorms_Cucumber[[#This Row],[Shoot_Bearing_m2]] )),
  0.2
)</f>
        <v>0.5</v>
      </c>
      <c r="BE132" s="4">
        <f>_xlfn.XLOOKUP(CropNorms_Cucumber[[#This Row],[LAI_Start_BBCH]], CropPhenology_Cucumber[Sub_Stage], CropPhenology_Cucumber[Start_GDD], "Not Found")</f>
        <v>121</v>
      </c>
      <c r="BF132" s="3">
        <f>ROUND(CropNorms_Cucumber[[#This Row],[Shoot_Bearing_m2]]*CropNorms_Cucumber[[#This Row],[Leaf_Area_Per_Shoot_m2]],2)</f>
        <v>0.68</v>
      </c>
      <c r="BG132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2" s="3">
        <f>IF(CropNorms_Cucumber[[#This Row],[Max_LAI]]&gt;=1.2, 0.85*CropNorms_Cucumber[[#This Row],[Max_LAI]], 1)</f>
        <v>1</v>
      </c>
      <c r="BI132" s="41">
        <f>_xlfn.XLOOKUP(CropNorms_Cucumber[[#This Row],[LAI_End_BBCH]], CropPhenology_Cucumber[Sub_Stage], CropPhenology_Cucumber[End_GDD], "Not Found")</f>
        <v>900</v>
      </c>
      <c r="BJ132" s="3" cm="1">
        <f t="array" ref="BJ132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2" s="3" cm="1">
        <f t="array" ref="BK13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2" s="3" cm="1">
        <f t="array" ref="BL132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2" s="3" cm="1">
        <f t="array" ref="BM13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2" s="42">
        <v>0.15</v>
      </c>
      <c r="BO132" s="43">
        <v>0.85</v>
      </c>
      <c r="BP132" s="42">
        <v>14.28</v>
      </c>
      <c r="BQ132" s="43" t="s">
        <v>1741</v>
      </c>
      <c r="BR132" s="3" t="str" cm="1">
        <f t="array" ref="BR13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2" s="3" t="str" cm="1">
        <f t="array" ref="BS13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2" s="3" t="str" cm="1">
        <f t="array" ref="BT132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2" s="3" t="str" cm="1">
        <f t="array" ref="BU132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2" s="48">
        <v>80</v>
      </c>
      <c r="BW132" s="1">
        <v>60</v>
      </c>
      <c r="BX132" s="44">
        <v>60</v>
      </c>
      <c r="BY132" s="51">
        <v>45703</v>
      </c>
      <c r="BZ132" s="5">
        <v>45731</v>
      </c>
      <c r="CA132" s="85">
        <v>0</v>
      </c>
      <c r="CB132" s="2">
        <v>0</v>
      </c>
      <c r="CC132" s="2">
        <v>1</v>
      </c>
      <c r="CD132" s="2">
        <v>1</v>
      </c>
      <c r="CE132" s="2">
        <v>1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O132" s="103"/>
      <c r="CP132" s="9"/>
      <c r="CQ132" s="10"/>
    </row>
    <row r="133" spans="2:95" x14ac:dyDescent="0.15">
      <c r="B133" s="36" t="s">
        <v>99</v>
      </c>
      <c r="C133" s="1" t="s">
        <v>109</v>
      </c>
      <c r="K133" s="1" t="s">
        <v>1763</v>
      </c>
      <c r="L133" s="1" t="s">
        <v>1750</v>
      </c>
      <c r="M133" s="1" t="s">
        <v>362</v>
      </c>
      <c r="N133" s="6">
        <v>14</v>
      </c>
      <c r="O133" s="1" t="s">
        <v>4</v>
      </c>
      <c r="P133" s="1">
        <v>2</v>
      </c>
      <c r="Q133" s="1">
        <v>10</v>
      </c>
      <c r="R133" s="1">
        <v>10</v>
      </c>
      <c r="S133" s="1">
        <v>26</v>
      </c>
      <c r="T133" s="1">
        <v>32</v>
      </c>
      <c r="U133" s="253">
        <v>4</v>
      </c>
      <c r="V133" s="1">
        <v>45</v>
      </c>
      <c r="W133" s="44">
        <v>80</v>
      </c>
      <c r="X133" s="40">
        <f>_xlfn.XLOOKUP("Ripening", CropPhenology_Cucumber[Main_Stage], CropPhenology_Cucumber[Start_GDD], "Not Found")</f>
        <v>901</v>
      </c>
      <c r="Y133" s="4" cm="1">
        <f t="array" ref="Y133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3" s="3">
        <f t="shared" si="59"/>
        <v>18.40902777777778</v>
      </c>
      <c r="AA133" s="41">
        <f t="shared" si="60"/>
        <v>62.469350032064575</v>
      </c>
      <c r="AB133" s="1">
        <v>6</v>
      </c>
      <c r="AC133" s="1">
        <v>12</v>
      </c>
      <c r="AD133" s="1">
        <v>3</v>
      </c>
      <c r="AE133" s="1">
        <v>85</v>
      </c>
      <c r="AF133" s="1">
        <v>10</v>
      </c>
      <c r="AG133" s="1">
        <v>5</v>
      </c>
      <c r="AH133" s="3">
        <f t="shared" si="48"/>
        <v>3.9859547101449277</v>
      </c>
      <c r="AI133" s="1">
        <v>6</v>
      </c>
      <c r="AJ133" s="1">
        <v>7.5</v>
      </c>
      <c r="AK133" s="159">
        <v>2.5</v>
      </c>
      <c r="AL133" s="150">
        <v>0.09</v>
      </c>
      <c r="AM133" s="1">
        <v>400</v>
      </c>
      <c r="AN133" s="1">
        <v>500</v>
      </c>
      <c r="AO133" s="48">
        <v>2</v>
      </c>
      <c r="AP133" s="44">
        <v>20</v>
      </c>
      <c r="AQ133" s="42">
        <v>0.8</v>
      </c>
      <c r="AR133" s="1">
        <v>150</v>
      </c>
      <c r="AS133" s="1">
        <v>30</v>
      </c>
      <c r="AT133" s="1">
        <v>2</v>
      </c>
      <c r="AU133" s="4">
        <f t="shared" si="44"/>
        <v>4.4444444444444446</v>
      </c>
      <c r="AV133" s="3">
        <f t="shared" si="61"/>
        <v>0.09</v>
      </c>
      <c r="AW133" s="1">
        <v>85</v>
      </c>
      <c r="AX133" s="3">
        <f t="shared" si="57"/>
        <v>3.7777777777777777</v>
      </c>
      <c r="AY133" s="1">
        <v>1</v>
      </c>
      <c r="AZ133" s="4">
        <f t="shared" si="62"/>
        <v>3.7777777777777777</v>
      </c>
      <c r="BA133" s="49">
        <v>0.9</v>
      </c>
      <c r="BB133" s="4">
        <f t="shared" si="47"/>
        <v>3.4</v>
      </c>
      <c r="BC133" s="50">
        <v>0.2</v>
      </c>
      <c r="BD133" s="69">
        <f>IFERROR(
  MAX(0.05, MIN(0.5, CropNorms_Cucumber[[#This Row],[Leaf_Area_Per_Shoot_m2]] * CropNorms_Cucumber[[#This Row],[Shoot_Bearing_m2]] )),
  0.2
)</f>
        <v>0.5</v>
      </c>
      <c r="BE133" s="4">
        <f>_xlfn.XLOOKUP(CropNorms_Cucumber[[#This Row],[LAI_Start_BBCH]], CropPhenology_Cucumber[Sub_Stage], CropPhenology_Cucumber[Start_GDD], "Not Found")</f>
        <v>121</v>
      </c>
      <c r="BF133" s="3">
        <f>ROUND(CropNorms_Cucumber[[#This Row],[Shoot_Bearing_m2]]*CropNorms_Cucumber[[#This Row],[Leaf_Area_Per_Shoot_m2]],2)</f>
        <v>0.68</v>
      </c>
      <c r="BG133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3" s="3">
        <f>IF(CropNorms_Cucumber[[#This Row],[Max_LAI]]&gt;=1.2, 0.85*CropNorms_Cucumber[[#This Row],[Max_LAI]], 1)</f>
        <v>1</v>
      </c>
      <c r="BI133" s="41">
        <f>_xlfn.XLOOKUP(CropNorms_Cucumber[[#This Row],[LAI_End_BBCH]], CropPhenology_Cucumber[Sub_Stage], CropPhenology_Cucumber[End_GDD], "Not Found")</f>
        <v>900</v>
      </c>
      <c r="BJ133" s="3" cm="1">
        <f t="array" ref="BJ133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3" s="3" cm="1">
        <f t="array" ref="BK13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3" s="3" cm="1">
        <f t="array" ref="BL133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3" s="3" cm="1">
        <f t="array" ref="BM13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3" s="42">
        <v>0.15</v>
      </c>
      <c r="BO133" s="43">
        <v>0.85</v>
      </c>
      <c r="BP133" s="42">
        <v>14.28</v>
      </c>
      <c r="BQ133" s="43" t="s">
        <v>1741</v>
      </c>
      <c r="BR133" s="3" t="str" cm="1">
        <f t="array" ref="BR13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3" s="3" t="str" cm="1">
        <f t="array" ref="BS13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3" s="3" t="str" cm="1">
        <f t="array" ref="BT133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3" s="3" t="str" cm="1">
        <f t="array" ref="BU133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3" s="48">
        <v>80</v>
      </c>
      <c r="BW133" s="1">
        <v>60</v>
      </c>
      <c r="BX133" s="44">
        <v>60</v>
      </c>
      <c r="BY133" s="51">
        <v>45703</v>
      </c>
      <c r="BZ133" s="5">
        <v>45731</v>
      </c>
      <c r="CA133" s="85">
        <v>0</v>
      </c>
      <c r="CB133" s="2">
        <v>0</v>
      </c>
      <c r="CC133" s="2">
        <v>1</v>
      </c>
      <c r="CD133" s="2">
        <v>1</v>
      </c>
      <c r="CE133" s="2">
        <v>1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O133" s="103"/>
      <c r="CP133" s="9"/>
      <c r="CQ133" s="10"/>
    </row>
    <row r="134" spans="2:95" x14ac:dyDescent="0.15">
      <c r="B134" s="36" t="s">
        <v>99</v>
      </c>
      <c r="C134" s="1" t="s">
        <v>110</v>
      </c>
      <c r="K134" s="1" t="s">
        <v>1763</v>
      </c>
      <c r="L134" s="1" t="s">
        <v>1750</v>
      </c>
      <c r="M134" s="1" t="s">
        <v>362</v>
      </c>
      <c r="N134" s="6">
        <v>14</v>
      </c>
      <c r="O134" s="1" t="s">
        <v>4</v>
      </c>
      <c r="P134" s="1">
        <v>2</v>
      </c>
      <c r="Q134" s="1">
        <v>10</v>
      </c>
      <c r="R134" s="1">
        <v>10</v>
      </c>
      <c r="S134" s="1">
        <v>26</v>
      </c>
      <c r="T134" s="1">
        <v>32</v>
      </c>
      <c r="U134" s="253">
        <v>4</v>
      </c>
      <c r="V134" s="1">
        <v>45</v>
      </c>
      <c r="W134" s="44">
        <v>80</v>
      </c>
      <c r="X134" s="40">
        <f>_xlfn.XLOOKUP("Ripening", CropPhenology_Cucumber[Main_Stage], CropPhenology_Cucumber[Start_GDD], "Not Found")</f>
        <v>901</v>
      </c>
      <c r="Y134" s="4" cm="1">
        <f t="array" ref="Y134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4" s="3">
        <f t="shared" si="59"/>
        <v>18.40902777777778</v>
      </c>
      <c r="AA134" s="41">
        <f t="shared" si="60"/>
        <v>62.469350032064575</v>
      </c>
      <c r="AB134" s="1">
        <v>6</v>
      </c>
      <c r="AC134" s="1">
        <v>12</v>
      </c>
      <c r="AD134" s="1">
        <v>3</v>
      </c>
      <c r="AE134" s="1">
        <v>85</v>
      </c>
      <c r="AF134" s="1">
        <v>10</v>
      </c>
      <c r="AG134" s="1">
        <v>5</v>
      </c>
      <c r="AH134" s="3">
        <f t="shared" si="48"/>
        <v>3.9859547101449277</v>
      </c>
      <c r="AI134" s="1">
        <v>6</v>
      </c>
      <c r="AJ134" s="1">
        <v>7.5</v>
      </c>
      <c r="AK134" s="159">
        <v>2.5</v>
      </c>
      <c r="AL134" s="150">
        <v>0.09</v>
      </c>
      <c r="AM134" s="1">
        <v>400</v>
      </c>
      <c r="AN134" s="1">
        <v>500</v>
      </c>
      <c r="AO134" s="48">
        <v>2</v>
      </c>
      <c r="AP134" s="44">
        <v>20</v>
      </c>
      <c r="AQ134" s="42">
        <v>0.85</v>
      </c>
      <c r="AR134" s="1">
        <v>150</v>
      </c>
      <c r="AS134" s="1">
        <v>30</v>
      </c>
      <c r="AT134" s="1">
        <v>2</v>
      </c>
      <c r="AU134" s="4">
        <f t="shared" si="44"/>
        <v>4.4444444444444446</v>
      </c>
      <c r="AV134" s="3">
        <f t="shared" si="61"/>
        <v>0.09</v>
      </c>
      <c r="AW134" s="1">
        <v>85</v>
      </c>
      <c r="AX134" s="3">
        <f t="shared" si="57"/>
        <v>3.7777777777777777</v>
      </c>
      <c r="AY134" s="1">
        <v>1</v>
      </c>
      <c r="AZ134" s="4">
        <f t="shared" si="62"/>
        <v>3.7777777777777777</v>
      </c>
      <c r="BA134" s="49">
        <v>0.9</v>
      </c>
      <c r="BB134" s="4">
        <f t="shared" si="47"/>
        <v>3.4</v>
      </c>
      <c r="BC134" s="50">
        <v>0.2</v>
      </c>
      <c r="BD134" s="69">
        <f>IFERROR(
  MAX(0.05, MIN(0.5, CropNorms_Cucumber[[#This Row],[Leaf_Area_Per_Shoot_m2]] * CropNorms_Cucumber[[#This Row],[Shoot_Bearing_m2]] )),
  0.2
)</f>
        <v>0.5</v>
      </c>
      <c r="BE134" s="4">
        <f>_xlfn.XLOOKUP(CropNorms_Cucumber[[#This Row],[LAI_Start_BBCH]], CropPhenology_Cucumber[Sub_Stage], CropPhenology_Cucumber[Start_GDD], "Not Found")</f>
        <v>121</v>
      </c>
      <c r="BF134" s="3">
        <f>ROUND(CropNorms_Cucumber[[#This Row],[Shoot_Bearing_m2]]*CropNorms_Cucumber[[#This Row],[Leaf_Area_Per_Shoot_m2]],2)</f>
        <v>0.68</v>
      </c>
      <c r="BG134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4" s="3">
        <f>IF(CropNorms_Cucumber[[#This Row],[Max_LAI]]&gt;=1.2, 0.85*CropNorms_Cucumber[[#This Row],[Max_LAI]], 1)</f>
        <v>1</v>
      </c>
      <c r="BI134" s="41">
        <f>_xlfn.XLOOKUP(CropNorms_Cucumber[[#This Row],[LAI_End_BBCH]], CropPhenology_Cucumber[Sub_Stage], CropPhenology_Cucumber[End_GDD], "Not Found")</f>
        <v>900</v>
      </c>
      <c r="BJ134" s="3" cm="1">
        <f t="array" ref="BJ134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4" s="3" cm="1">
        <f t="array" ref="BK13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4" s="3" cm="1">
        <f t="array" ref="BL134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4" s="3" cm="1">
        <f t="array" ref="BM13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4" s="42">
        <v>0.15</v>
      </c>
      <c r="BO134" s="43">
        <v>0.85</v>
      </c>
      <c r="BP134" s="42">
        <v>14.28</v>
      </c>
      <c r="BQ134" s="43" t="s">
        <v>1741</v>
      </c>
      <c r="BR134" s="3" t="str" cm="1">
        <f t="array" ref="BR13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4" s="3" t="str" cm="1">
        <f t="array" ref="BS13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4" s="3" t="str" cm="1">
        <f t="array" ref="BT134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4" s="3" t="str" cm="1">
        <f t="array" ref="BU134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4" s="48">
        <v>80</v>
      </c>
      <c r="BW134" s="1">
        <v>60</v>
      </c>
      <c r="BX134" s="44">
        <v>60</v>
      </c>
      <c r="BY134" s="51">
        <v>45703</v>
      </c>
      <c r="BZ134" s="5">
        <v>45731</v>
      </c>
      <c r="CA134" s="85">
        <v>0</v>
      </c>
      <c r="CB134" s="2">
        <v>0</v>
      </c>
      <c r="CC134" s="2">
        <v>1</v>
      </c>
      <c r="CD134" s="2">
        <v>1</v>
      </c>
      <c r="CE134" s="2">
        <v>1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O134" s="103"/>
      <c r="CP134" s="9"/>
      <c r="CQ134" s="10"/>
    </row>
    <row r="135" spans="2:95" x14ac:dyDescent="0.15">
      <c r="B135" s="36" t="s">
        <v>99</v>
      </c>
      <c r="C135" s="1" t="s">
        <v>111</v>
      </c>
      <c r="K135" s="1" t="s">
        <v>1763</v>
      </c>
      <c r="L135" s="1" t="s">
        <v>1750</v>
      </c>
      <c r="M135" s="1" t="s">
        <v>362</v>
      </c>
      <c r="N135" s="6">
        <v>14</v>
      </c>
      <c r="O135" s="1" t="s">
        <v>4</v>
      </c>
      <c r="P135" s="1">
        <v>2</v>
      </c>
      <c r="Q135" s="1">
        <v>10</v>
      </c>
      <c r="R135" s="1">
        <v>10</v>
      </c>
      <c r="S135" s="1">
        <v>26</v>
      </c>
      <c r="T135" s="1">
        <v>32</v>
      </c>
      <c r="U135" s="253">
        <v>4</v>
      </c>
      <c r="V135" s="1">
        <v>45</v>
      </c>
      <c r="W135" s="44">
        <v>80</v>
      </c>
      <c r="X135" s="40">
        <f>_xlfn.XLOOKUP("Ripening", CropPhenology_Cucumber[Main_Stage], CropPhenology_Cucumber[Start_GDD], "Not Found")</f>
        <v>901</v>
      </c>
      <c r="Y135" s="4" cm="1">
        <f t="array" ref="Y135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5" s="3">
        <f t="shared" si="59"/>
        <v>18.40902777777778</v>
      </c>
      <c r="AA135" s="41">
        <f t="shared" si="60"/>
        <v>62.469350032064575</v>
      </c>
      <c r="AB135" s="1">
        <v>6</v>
      </c>
      <c r="AC135" s="1">
        <v>12</v>
      </c>
      <c r="AD135" s="1">
        <v>3</v>
      </c>
      <c r="AE135" s="1">
        <v>85</v>
      </c>
      <c r="AF135" s="1">
        <v>10</v>
      </c>
      <c r="AG135" s="1">
        <v>5</v>
      </c>
      <c r="AH135" s="3">
        <f t="shared" si="48"/>
        <v>3.9859547101449277</v>
      </c>
      <c r="AI135" s="1">
        <v>6</v>
      </c>
      <c r="AJ135" s="1">
        <v>7.5</v>
      </c>
      <c r="AK135" s="159">
        <v>2.5</v>
      </c>
      <c r="AL135" s="150">
        <v>0.09</v>
      </c>
      <c r="AM135" s="1">
        <v>400</v>
      </c>
      <c r="AN135" s="1">
        <v>500</v>
      </c>
      <c r="AO135" s="48">
        <v>2</v>
      </c>
      <c r="AP135" s="44">
        <v>20</v>
      </c>
      <c r="AQ135" s="42">
        <v>0.84</v>
      </c>
      <c r="AR135" s="1">
        <v>150</v>
      </c>
      <c r="AS135" s="1">
        <v>30</v>
      </c>
      <c r="AT135" s="1">
        <v>2</v>
      </c>
      <c r="AU135" s="4">
        <f t="shared" si="44"/>
        <v>4.4444444444444446</v>
      </c>
      <c r="AV135" s="3">
        <f t="shared" si="61"/>
        <v>0.09</v>
      </c>
      <c r="AW135" s="1">
        <v>85</v>
      </c>
      <c r="AX135" s="3">
        <f t="shared" si="57"/>
        <v>3.7777777777777777</v>
      </c>
      <c r="AY135" s="1">
        <v>1</v>
      </c>
      <c r="AZ135" s="4">
        <f t="shared" si="62"/>
        <v>3.7777777777777777</v>
      </c>
      <c r="BA135" s="49">
        <v>0.9</v>
      </c>
      <c r="BB135" s="4">
        <f t="shared" si="47"/>
        <v>3.4</v>
      </c>
      <c r="BC135" s="50">
        <v>0.2</v>
      </c>
      <c r="BD135" s="69">
        <f>IFERROR(
  MAX(0.05, MIN(0.5, CropNorms_Cucumber[[#This Row],[Leaf_Area_Per_Shoot_m2]] * CropNorms_Cucumber[[#This Row],[Shoot_Bearing_m2]] )),
  0.2
)</f>
        <v>0.5</v>
      </c>
      <c r="BE135" s="4">
        <f>_xlfn.XLOOKUP(CropNorms_Cucumber[[#This Row],[LAI_Start_BBCH]], CropPhenology_Cucumber[Sub_Stage], CropPhenology_Cucumber[Start_GDD], "Not Found")</f>
        <v>121</v>
      </c>
      <c r="BF135" s="3">
        <f>ROUND(CropNorms_Cucumber[[#This Row],[Shoot_Bearing_m2]]*CropNorms_Cucumber[[#This Row],[Leaf_Area_Per_Shoot_m2]],2)</f>
        <v>0.68</v>
      </c>
      <c r="BG135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5" s="3">
        <f>IF(CropNorms_Cucumber[[#This Row],[Max_LAI]]&gt;=1.2, 0.85*CropNorms_Cucumber[[#This Row],[Max_LAI]], 1)</f>
        <v>1</v>
      </c>
      <c r="BI135" s="41">
        <f>_xlfn.XLOOKUP(CropNorms_Cucumber[[#This Row],[LAI_End_BBCH]], CropPhenology_Cucumber[Sub_Stage], CropPhenology_Cucumber[End_GDD], "Not Found")</f>
        <v>900</v>
      </c>
      <c r="BJ135" s="3" cm="1">
        <f t="array" ref="BJ135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5" s="3" cm="1">
        <f t="array" ref="BK13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5" s="3" cm="1">
        <f t="array" ref="BL135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5" s="3" cm="1">
        <f t="array" ref="BM13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5" s="42">
        <v>0.15</v>
      </c>
      <c r="BO135" s="43">
        <v>0.85</v>
      </c>
      <c r="BP135" s="42">
        <v>14.28</v>
      </c>
      <c r="BQ135" s="43" t="s">
        <v>1741</v>
      </c>
      <c r="BR135" s="3" t="str" cm="1">
        <f t="array" ref="BR13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5" s="3" t="str" cm="1">
        <f t="array" ref="BS13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5" s="3" t="str" cm="1">
        <f t="array" ref="BT135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5" s="3" t="str" cm="1">
        <f t="array" ref="BU135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5" s="48">
        <v>80</v>
      </c>
      <c r="BW135" s="1">
        <v>60</v>
      </c>
      <c r="BX135" s="44">
        <v>60</v>
      </c>
      <c r="BY135" s="51">
        <v>45703</v>
      </c>
      <c r="BZ135" s="5">
        <v>45731</v>
      </c>
      <c r="CA135" s="85">
        <v>0</v>
      </c>
      <c r="CB135" s="2">
        <v>0</v>
      </c>
      <c r="CC135" s="2">
        <v>1</v>
      </c>
      <c r="CD135" s="2">
        <v>1</v>
      </c>
      <c r="CE135" s="2">
        <v>1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O135" s="103"/>
      <c r="CP135" s="9"/>
      <c r="CQ135" s="10"/>
    </row>
    <row r="136" spans="2:95" x14ac:dyDescent="0.15">
      <c r="B136" s="36" t="s">
        <v>99</v>
      </c>
      <c r="C136" s="1" t="s">
        <v>112</v>
      </c>
      <c r="K136" s="1" t="s">
        <v>1763</v>
      </c>
      <c r="L136" s="1" t="s">
        <v>1750</v>
      </c>
      <c r="M136" s="1" t="s">
        <v>362</v>
      </c>
      <c r="N136" s="6">
        <v>14</v>
      </c>
      <c r="O136" s="1" t="s">
        <v>4</v>
      </c>
      <c r="P136" s="1">
        <v>2</v>
      </c>
      <c r="Q136" s="1">
        <v>10</v>
      </c>
      <c r="R136" s="1">
        <v>10</v>
      </c>
      <c r="S136" s="1">
        <v>26</v>
      </c>
      <c r="T136" s="1">
        <v>32</v>
      </c>
      <c r="U136" s="253">
        <v>4</v>
      </c>
      <c r="V136" s="1">
        <v>45</v>
      </c>
      <c r="W136" s="44">
        <v>80</v>
      </c>
      <c r="X136" s="40">
        <f>_xlfn.XLOOKUP("Ripening", CropPhenology_Cucumber[Main_Stage], CropPhenology_Cucumber[Start_GDD], "Not Found")</f>
        <v>901</v>
      </c>
      <c r="Y136" s="4" cm="1">
        <f t="array" ref="Y136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6" s="3">
        <f t="shared" si="59"/>
        <v>18.40902777777778</v>
      </c>
      <c r="AA136" s="41">
        <f t="shared" si="60"/>
        <v>62.469350032064575</v>
      </c>
      <c r="AB136" s="1">
        <v>6</v>
      </c>
      <c r="AC136" s="1">
        <v>12</v>
      </c>
      <c r="AD136" s="1">
        <v>3</v>
      </c>
      <c r="AE136" s="1">
        <v>85</v>
      </c>
      <c r="AF136" s="1">
        <v>10</v>
      </c>
      <c r="AG136" s="1">
        <v>5</v>
      </c>
      <c r="AH136" s="3">
        <f t="shared" si="48"/>
        <v>3.9859547101449277</v>
      </c>
      <c r="AI136" s="1">
        <v>6</v>
      </c>
      <c r="AJ136" s="1">
        <v>7.5</v>
      </c>
      <c r="AK136" s="159">
        <v>2.5</v>
      </c>
      <c r="AL136" s="150">
        <v>0.09</v>
      </c>
      <c r="AM136" s="1">
        <v>400</v>
      </c>
      <c r="AN136" s="1">
        <v>500</v>
      </c>
      <c r="AO136" s="48">
        <v>2</v>
      </c>
      <c r="AP136" s="44">
        <v>20</v>
      </c>
      <c r="AQ136" s="42">
        <v>0.83</v>
      </c>
      <c r="AR136" s="1">
        <v>150</v>
      </c>
      <c r="AS136" s="1">
        <v>30</v>
      </c>
      <c r="AT136" s="1">
        <v>2</v>
      </c>
      <c r="AU136" s="4">
        <f t="shared" si="44"/>
        <v>4.4444444444444446</v>
      </c>
      <c r="AV136" s="3">
        <f t="shared" si="61"/>
        <v>0.09</v>
      </c>
      <c r="AW136" s="1">
        <v>85</v>
      </c>
      <c r="AX136" s="3">
        <f t="shared" si="57"/>
        <v>3.7777777777777777</v>
      </c>
      <c r="AY136" s="1">
        <v>1</v>
      </c>
      <c r="AZ136" s="4">
        <f t="shared" si="62"/>
        <v>3.7777777777777777</v>
      </c>
      <c r="BA136" s="49">
        <v>0.9</v>
      </c>
      <c r="BB136" s="4">
        <f t="shared" si="47"/>
        <v>3.4</v>
      </c>
      <c r="BC136" s="50">
        <v>0.2</v>
      </c>
      <c r="BD136" s="69">
        <f>IFERROR(
  MAX(0.05, MIN(0.5, CropNorms_Cucumber[[#This Row],[Leaf_Area_Per_Shoot_m2]] * CropNorms_Cucumber[[#This Row],[Shoot_Bearing_m2]] )),
  0.2
)</f>
        <v>0.5</v>
      </c>
      <c r="BE136" s="4">
        <f>_xlfn.XLOOKUP(CropNorms_Cucumber[[#This Row],[LAI_Start_BBCH]], CropPhenology_Cucumber[Sub_Stage], CropPhenology_Cucumber[Start_GDD], "Not Found")</f>
        <v>121</v>
      </c>
      <c r="BF136" s="3">
        <f>ROUND(CropNorms_Cucumber[[#This Row],[Shoot_Bearing_m2]]*CropNorms_Cucumber[[#This Row],[Leaf_Area_Per_Shoot_m2]],2)</f>
        <v>0.68</v>
      </c>
      <c r="BG136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6" s="3">
        <f>IF(CropNorms_Cucumber[[#This Row],[Max_LAI]]&gt;=1.2, 0.85*CropNorms_Cucumber[[#This Row],[Max_LAI]], 1)</f>
        <v>1</v>
      </c>
      <c r="BI136" s="41">
        <f>_xlfn.XLOOKUP(CropNorms_Cucumber[[#This Row],[LAI_End_BBCH]], CropPhenology_Cucumber[Sub_Stage], CropPhenology_Cucumber[End_GDD], "Not Found")</f>
        <v>900</v>
      </c>
      <c r="BJ136" s="3" cm="1">
        <f t="array" ref="BJ136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6" s="3" cm="1">
        <f t="array" ref="BK13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6" s="3" cm="1">
        <f t="array" ref="BL136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6" s="3" cm="1">
        <f t="array" ref="BM13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6" s="42">
        <v>0.15</v>
      </c>
      <c r="BO136" s="43">
        <v>0.85</v>
      </c>
      <c r="BP136" s="42">
        <v>14.28</v>
      </c>
      <c r="BQ136" s="43" t="s">
        <v>1741</v>
      </c>
      <c r="BR136" s="3" t="str" cm="1">
        <f t="array" ref="BR13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6" s="3" t="str" cm="1">
        <f t="array" ref="BS13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6" s="3" t="str" cm="1">
        <f t="array" ref="BT136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6" s="3" t="str" cm="1">
        <f t="array" ref="BU136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6" s="48">
        <v>80</v>
      </c>
      <c r="BW136" s="1">
        <v>60</v>
      </c>
      <c r="BX136" s="44">
        <v>60</v>
      </c>
      <c r="BY136" s="51">
        <v>45703</v>
      </c>
      <c r="BZ136" s="5">
        <v>45731</v>
      </c>
      <c r="CA136" s="85">
        <v>0</v>
      </c>
      <c r="CB136" s="2">
        <v>0</v>
      </c>
      <c r="CC136" s="2">
        <v>1</v>
      </c>
      <c r="CD136" s="2">
        <v>1</v>
      </c>
      <c r="CE136" s="2">
        <v>1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O136" s="103"/>
      <c r="CP136" s="9"/>
      <c r="CQ136" s="10"/>
    </row>
    <row r="137" spans="2:95" x14ac:dyDescent="0.15">
      <c r="B137" s="36" t="s">
        <v>99</v>
      </c>
      <c r="C137" s="1" t="s">
        <v>113</v>
      </c>
      <c r="K137" s="1" t="s">
        <v>1763</v>
      </c>
      <c r="L137" s="1" t="s">
        <v>1750</v>
      </c>
      <c r="M137" s="1" t="s">
        <v>362</v>
      </c>
      <c r="N137" s="6">
        <v>14</v>
      </c>
      <c r="O137" s="1" t="s">
        <v>4</v>
      </c>
      <c r="P137" s="1">
        <v>2</v>
      </c>
      <c r="Q137" s="1">
        <v>10</v>
      </c>
      <c r="R137" s="1">
        <v>10</v>
      </c>
      <c r="S137" s="1">
        <v>26</v>
      </c>
      <c r="T137" s="1">
        <v>32</v>
      </c>
      <c r="U137" s="253">
        <v>4</v>
      </c>
      <c r="V137" s="1">
        <v>45</v>
      </c>
      <c r="W137" s="44">
        <v>80</v>
      </c>
      <c r="X137" s="40">
        <f>_xlfn.XLOOKUP("Ripening", CropPhenology_Cucumber[Main_Stage], CropPhenology_Cucumber[Start_GDD], "Not Found")</f>
        <v>901</v>
      </c>
      <c r="Y137" s="4" cm="1">
        <f t="array" ref="Y137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7" s="3">
        <f t="shared" si="59"/>
        <v>18.40902777777778</v>
      </c>
      <c r="AA137" s="41">
        <f t="shared" si="60"/>
        <v>62.469350032064575</v>
      </c>
      <c r="AB137" s="1">
        <v>6</v>
      </c>
      <c r="AC137" s="1">
        <v>12</v>
      </c>
      <c r="AD137" s="1">
        <v>3</v>
      </c>
      <c r="AE137" s="1">
        <v>85</v>
      </c>
      <c r="AF137" s="1">
        <v>10</v>
      </c>
      <c r="AG137" s="1">
        <v>5</v>
      </c>
      <c r="AH137" s="3">
        <f t="shared" si="48"/>
        <v>3.9859547101449277</v>
      </c>
      <c r="AI137" s="1">
        <v>6</v>
      </c>
      <c r="AJ137" s="1">
        <v>7.5</v>
      </c>
      <c r="AK137" s="159">
        <v>2.5</v>
      </c>
      <c r="AL137" s="150">
        <v>0.09</v>
      </c>
      <c r="AM137" s="1">
        <v>400</v>
      </c>
      <c r="AN137" s="1">
        <v>500</v>
      </c>
      <c r="AO137" s="48">
        <v>2</v>
      </c>
      <c r="AP137" s="44">
        <v>20</v>
      </c>
      <c r="AQ137" s="42">
        <v>0.77</v>
      </c>
      <c r="AR137" s="1">
        <v>150</v>
      </c>
      <c r="AS137" s="1">
        <v>30</v>
      </c>
      <c r="AT137" s="1">
        <v>2</v>
      </c>
      <c r="AU137" s="4">
        <f t="shared" si="44"/>
        <v>4.4444444444444446</v>
      </c>
      <c r="AV137" s="3">
        <f t="shared" si="61"/>
        <v>0.09</v>
      </c>
      <c r="AW137" s="1">
        <v>85</v>
      </c>
      <c r="AX137" s="3">
        <f t="shared" si="57"/>
        <v>3.7777777777777777</v>
      </c>
      <c r="AY137" s="1">
        <v>1</v>
      </c>
      <c r="AZ137" s="4">
        <f t="shared" si="62"/>
        <v>3.7777777777777777</v>
      </c>
      <c r="BA137" s="49">
        <v>0.9</v>
      </c>
      <c r="BB137" s="4">
        <f t="shared" si="47"/>
        <v>3.4</v>
      </c>
      <c r="BC137" s="50">
        <v>0.2</v>
      </c>
      <c r="BD137" s="69">
        <f>IFERROR(
  MAX(0.05, MIN(0.5, CropNorms_Cucumber[[#This Row],[Leaf_Area_Per_Shoot_m2]] * CropNorms_Cucumber[[#This Row],[Shoot_Bearing_m2]] )),
  0.2
)</f>
        <v>0.5</v>
      </c>
      <c r="BE137" s="4">
        <f>_xlfn.XLOOKUP(CropNorms_Cucumber[[#This Row],[LAI_Start_BBCH]], CropPhenology_Cucumber[Sub_Stage], CropPhenology_Cucumber[Start_GDD], "Not Found")</f>
        <v>121</v>
      </c>
      <c r="BF137" s="3">
        <f>ROUND(CropNorms_Cucumber[[#This Row],[Shoot_Bearing_m2]]*CropNorms_Cucumber[[#This Row],[Leaf_Area_Per_Shoot_m2]],2)</f>
        <v>0.68</v>
      </c>
      <c r="BG137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7" s="3">
        <f>IF(CropNorms_Cucumber[[#This Row],[Max_LAI]]&gt;=1.2, 0.85*CropNorms_Cucumber[[#This Row],[Max_LAI]], 1)</f>
        <v>1</v>
      </c>
      <c r="BI137" s="41">
        <f>_xlfn.XLOOKUP(CropNorms_Cucumber[[#This Row],[LAI_End_BBCH]], CropPhenology_Cucumber[Sub_Stage], CropPhenology_Cucumber[End_GDD], "Not Found")</f>
        <v>900</v>
      </c>
      <c r="BJ137" s="3" cm="1">
        <f t="array" ref="BJ137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7" s="3" cm="1">
        <f t="array" ref="BK13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7" s="3" cm="1">
        <f t="array" ref="BL137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7" s="3" cm="1">
        <f t="array" ref="BM13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7" s="42">
        <v>0.15</v>
      </c>
      <c r="BO137" s="43">
        <v>0.85</v>
      </c>
      <c r="BP137" s="42">
        <v>14.28</v>
      </c>
      <c r="BQ137" s="43" t="s">
        <v>1741</v>
      </c>
      <c r="BR137" s="3" t="str" cm="1">
        <f t="array" ref="BR13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7" s="3" t="str" cm="1">
        <f t="array" ref="BS13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7" s="3" t="str" cm="1">
        <f t="array" ref="BT137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7" s="3" t="str" cm="1">
        <f t="array" ref="BU137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7" s="48">
        <v>80</v>
      </c>
      <c r="BW137" s="1">
        <v>60</v>
      </c>
      <c r="BX137" s="44">
        <v>60</v>
      </c>
      <c r="BY137" s="51">
        <v>45703</v>
      </c>
      <c r="BZ137" s="5">
        <v>45731</v>
      </c>
      <c r="CA137" s="85">
        <v>0</v>
      </c>
      <c r="CB137" s="2">
        <v>0</v>
      </c>
      <c r="CC137" s="2">
        <v>1</v>
      </c>
      <c r="CD137" s="2">
        <v>1</v>
      </c>
      <c r="CE137" s="2">
        <v>1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O137" s="103"/>
      <c r="CP137" s="9"/>
      <c r="CQ137" s="10"/>
    </row>
    <row r="138" spans="2:95" x14ac:dyDescent="0.15">
      <c r="B138" s="36" t="s">
        <v>99</v>
      </c>
      <c r="C138" s="1" t="s">
        <v>114</v>
      </c>
      <c r="K138" s="1" t="s">
        <v>1763</v>
      </c>
      <c r="L138" s="1" t="s">
        <v>1750</v>
      </c>
      <c r="M138" s="1" t="s">
        <v>362</v>
      </c>
      <c r="N138" s="6">
        <v>14</v>
      </c>
      <c r="O138" s="1" t="s">
        <v>4</v>
      </c>
      <c r="P138" s="1">
        <v>2</v>
      </c>
      <c r="Q138" s="1">
        <v>10</v>
      </c>
      <c r="R138" s="1">
        <v>10</v>
      </c>
      <c r="S138" s="1">
        <v>26</v>
      </c>
      <c r="T138" s="1">
        <v>32</v>
      </c>
      <c r="U138" s="253">
        <v>4</v>
      </c>
      <c r="V138" s="1">
        <v>45</v>
      </c>
      <c r="W138" s="44">
        <v>80</v>
      </c>
      <c r="X138" s="40">
        <f>_xlfn.XLOOKUP("Ripening", CropPhenology_Cucumber[Main_Stage], CropPhenology_Cucumber[Start_GDD], "Not Found")</f>
        <v>901</v>
      </c>
      <c r="Y138" s="4" cm="1">
        <f t="array" ref="Y138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8" s="3">
        <f t="shared" si="59"/>
        <v>18.40902777777778</v>
      </c>
      <c r="AA138" s="41">
        <f t="shared" si="60"/>
        <v>62.469350032064575</v>
      </c>
      <c r="AB138" s="1">
        <v>6</v>
      </c>
      <c r="AC138" s="1">
        <v>12</v>
      </c>
      <c r="AD138" s="1">
        <v>3</v>
      </c>
      <c r="AE138" s="1">
        <v>85</v>
      </c>
      <c r="AF138" s="1">
        <v>10</v>
      </c>
      <c r="AG138" s="1">
        <v>5</v>
      </c>
      <c r="AH138" s="3">
        <f t="shared" si="48"/>
        <v>3.9859547101449277</v>
      </c>
      <c r="AI138" s="1">
        <v>6</v>
      </c>
      <c r="AJ138" s="1">
        <v>7.5</v>
      </c>
      <c r="AK138" s="159">
        <v>2.5</v>
      </c>
      <c r="AL138" s="150">
        <v>0.09</v>
      </c>
      <c r="AM138" s="1">
        <v>400</v>
      </c>
      <c r="AN138" s="1">
        <v>500</v>
      </c>
      <c r="AO138" s="48">
        <v>2</v>
      </c>
      <c r="AP138" s="44">
        <v>20</v>
      </c>
      <c r="AQ138" s="42">
        <v>0.79</v>
      </c>
      <c r="AR138" s="1">
        <v>150</v>
      </c>
      <c r="AS138" s="1">
        <v>30</v>
      </c>
      <c r="AT138" s="1">
        <v>2</v>
      </c>
      <c r="AU138" s="4">
        <f t="shared" si="44"/>
        <v>4.4444444444444446</v>
      </c>
      <c r="AV138" s="3">
        <f t="shared" si="61"/>
        <v>0.09</v>
      </c>
      <c r="AW138" s="1">
        <v>85</v>
      </c>
      <c r="AX138" s="3">
        <f t="shared" si="57"/>
        <v>3.7777777777777777</v>
      </c>
      <c r="AY138" s="1">
        <v>1</v>
      </c>
      <c r="AZ138" s="4">
        <f t="shared" si="62"/>
        <v>3.7777777777777777</v>
      </c>
      <c r="BA138" s="49">
        <v>0.9</v>
      </c>
      <c r="BB138" s="4">
        <f t="shared" si="47"/>
        <v>3.4</v>
      </c>
      <c r="BC138" s="50">
        <v>0.2</v>
      </c>
      <c r="BD138" s="69">
        <f>IFERROR(
  MAX(0.05, MIN(0.5, CropNorms_Cucumber[[#This Row],[Leaf_Area_Per_Shoot_m2]] * CropNorms_Cucumber[[#This Row],[Shoot_Bearing_m2]] )),
  0.2
)</f>
        <v>0.5</v>
      </c>
      <c r="BE138" s="4">
        <f>_xlfn.XLOOKUP(CropNorms_Cucumber[[#This Row],[LAI_Start_BBCH]], CropPhenology_Cucumber[Sub_Stage], CropPhenology_Cucumber[Start_GDD], "Not Found")</f>
        <v>121</v>
      </c>
      <c r="BF138" s="3">
        <f>ROUND(CropNorms_Cucumber[[#This Row],[Shoot_Bearing_m2]]*CropNorms_Cucumber[[#This Row],[Leaf_Area_Per_Shoot_m2]],2)</f>
        <v>0.68</v>
      </c>
      <c r="BG138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8" s="3">
        <f>IF(CropNorms_Cucumber[[#This Row],[Max_LAI]]&gt;=1.2, 0.85*CropNorms_Cucumber[[#This Row],[Max_LAI]], 1)</f>
        <v>1</v>
      </c>
      <c r="BI138" s="41">
        <f>_xlfn.XLOOKUP(CropNorms_Cucumber[[#This Row],[LAI_End_BBCH]], CropPhenology_Cucumber[Sub_Stage], CropPhenology_Cucumber[End_GDD], "Not Found")</f>
        <v>900</v>
      </c>
      <c r="BJ138" s="3" cm="1">
        <f t="array" ref="BJ138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8" s="3" cm="1">
        <f t="array" ref="BK13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8" s="3" cm="1">
        <f t="array" ref="BL138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8" s="3" cm="1">
        <f t="array" ref="BM13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8" s="42">
        <v>0.15</v>
      </c>
      <c r="BO138" s="43">
        <v>0.85</v>
      </c>
      <c r="BP138" s="42">
        <v>14.28</v>
      </c>
      <c r="BQ138" s="43" t="s">
        <v>1741</v>
      </c>
      <c r="BR138" s="3" t="str" cm="1">
        <f t="array" ref="BR13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8" s="3" t="str" cm="1">
        <f t="array" ref="BS13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8" s="3" t="str" cm="1">
        <f t="array" ref="BT138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8" s="3" t="str" cm="1">
        <f t="array" ref="BU138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8" s="48">
        <v>80</v>
      </c>
      <c r="BW138" s="1">
        <v>60</v>
      </c>
      <c r="BX138" s="44">
        <v>60</v>
      </c>
      <c r="BY138" s="51">
        <v>45703</v>
      </c>
      <c r="BZ138" s="5">
        <v>45731</v>
      </c>
      <c r="CA138" s="85">
        <v>0</v>
      </c>
      <c r="CB138" s="2">
        <v>0</v>
      </c>
      <c r="CC138" s="2">
        <v>1</v>
      </c>
      <c r="CD138" s="2">
        <v>1</v>
      </c>
      <c r="CE138" s="2">
        <v>1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O138" s="103"/>
      <c r="CP138" s="9"/>
      <c r="CQ138" s="10"/>
    </row>
    <row r="139" spans="2:95" x14ac:dyDescent="0.15">
      <c r="B139" s="36" t="s">
        <v>99</v>
      </c>
      <c r="C139" s="1" t="s">
        <v>115</v>
      </c>
      <c r="K139" s="1" t="s">
        <v>1763</v>
      </c>
      <c r="L139" s="1" t="s">
        <v>1750</v>
      </c>
      <c r="M139" s="1" t="s">
        <v>362</v>
      </c>
      <c r="N139" s="6">
        <v>14</v>
      </c>
      <c r="O139" s="1" t="s">
        <v>4</v>
      </c>
      <c r="P139" s="1">
        <v>2</v>
      </c>
      <c r="Q139" s="1">
        <v>10</v>
      </c>
      <c r="R139" s="1">
        <v>10</v>
      </c>
      <c r="S139" s="1">
        <v>26</v>
      </c>
      <c r="T139" s="1">
        <v>32</v>
      </c>
      <c r="U139" s="253">
        <v>4</v>
      </c>
      <c r="V139" s="1">
        <v>45</v>
      </c>
      <c r="W139" s="44">
        <v>80</v>
      </c>
      <c r="X139" s="40">
        <f>_xlfn.XLOOKUP("Ripening", CropPhenology_Cucumber[Main_Stage], CropPhenology_Cucumber[Start_GDD], "Not Found")</f>
        <v>901</v>
      </c>
      <c r="Y139" s="4" cm="1">
        <f t="array" ref="Y139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39" s="3">
        <f t="shared" si="59"/>
        <v>18.40902777777778</v>
      </c>
      <c r="AA139" s="41">
        <f t="shared" si="60"/>
        <v>62.469350032064575</v>
      </c>
      <c r="AB139" s="1">
        <v>6</v>
      </c>
      <c r="AC139" s="1">
        <v>12</v>
      </c>
      <c r="AD139" s="1">
        <v>3</v>
      </c>
      <c r="AE139" s="1">
        <v>85</v>
      </c>
      <c r="AF139" s="1">
        <v>10</v>
      </c>
      <c r="AG139" s="1">
        <v>5</v>
      </c>
      <c r="AH139" s="3">
        <f t="shared" si="48"/>
        <v>3.9859547101449277</v>
      </c>
      <c r="AI139" s="1">
        <v>6</v>
      </c>
      <c r="AJ139" s="1">
        <v>7.5</v>
      </c>
      <c r="AK139" s="159">
        <v>2.5</v>
      </c>
      <c r="AL139" s="150">
        <v>0.09</v>
      </c>
      <c r="AM139" s="1">
        <v>400</v>
      </c>
      <c r="AN139" s="1">
        <v>500</v>
      </c>
      <c r="AO139" s="48">
        <v>2</v>
      </c>
      <c r="AP139" s="44">
        <v>20</v>
      </c>
      <c r="AQ139" s="42">
        <v>0.81</v>
      </c>
      <c r="AR139" s="1">
        <v>150</v>
      </c>
      <c r="AS139" s="1">
        <v>30</v>
      </c>
      <c r="AT139" s="1">
        <v>2</v>
      </c>
      <c r="AU139" s="4">
        <f t="shared" si="44"/>
        <v>4.4444444444444446</v>
      </c>
      <c r="AV139" s="3">
        <f t="shared" si="61"/>
        <v>0.09</v>
      </c>
      <c r="AW139" s="1">
        <v>85</v>
      </c>
      <c r="AX139" s="3">
        <f t="shared" si="57"/>
        <v>3.7777777777777777</v>
      </c>
      <c r="AY139" s="1">
        <v>1</v>
      </c>
      <c r="AZ139" s="4">
        <f t="shared" si="62"/>
        <v>3.7777777777777777</v>
      </c>
      <c r="BA139" s="49">
        <v>0.9</v>
      </c>
      <c r="BB139" s="4">
        <f t="shared" si="47"/>
        <v>3.4</v>
      </c>
      <c r="BC139" s="50">
        <v>0.2</v>
      </c>
      <c r="BD139" s="69">
        <f>IFERROR(
  MAX(0.05, MIN(0.5, CropNorms_Cucumber[[#This Row],[Leaf_Area_Per_Shoot_m2]] * CropNorms_Cucumber[[#This Row],[Shoot_Bearing_m2]] )),
  0.2
)</f>
        <v>0.5</v>
      </c>
      <c r="BE139" s="4">
        <f>_xlfn.XLOOKUP(CropNorms_Cucumber[[#This Row],[LAI_Start_BBCH]], CropPhenology_Cucumber[Sub_Stage], CropPhenology_Cucumber[Start_GDD], "Not Found")</f>
        <v>121</v>
      </c>
      <c r="BF139" s="3">
        <f>ROUND(CropNorms_Cucumber[[#This Row],[Shoot_Bearing_m2]]*CropNorms_Cucumber[[#This Row],[Leaf_Area_Per_Shoot_m2]],2)</f>
        <v>0.68</v>
      </c>
      <c r="BG139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39" s="3">
        <f>IF(CropNorms_Cucumber[[#This Row],[Max_LAI]]&gt;=1.2, 0.85*CropNorms_Cucumber[[#This Row],[Max_LAI]], 1)</f>
        <v>1</v>
      </c>
      <c r="BI139" s="41">
        <f>_xlfn.XLOOKUP(CropNorms_Cucumber[[#This Row],[LAI_End_BBCH]], CropPhenology_Cucumber[Sub_Stage], CropPhenology_Cucumber[End_GDD], "Not Found")</f>
        <v>900</v>
      </c>
      <c r="BJ139" s="3" cm="1">
        <f t="array" ref="BJ139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39" s="3" cm="1">
        <f t="array" ref="BK13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39" s="3" cm="1">
        <f t="array" ref="BL139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39" s="3" cm="1">
        <f t="array" ref="BM13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39" s="42">
        <v>0.15</v>
      </c>
      <c r="BO139" s="43">
        <v>0.85</v>
      </c>
      <c r="BP139" s="42">
        <v>14.28</v>
      </c>
      <c r="BQ139" s="43" t="s">
        <v>1741</v>
      </c>
      <c r="BR139" s="3" t="str" cm="1">
        <f t="array" ref="BR13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39" s="3" t="str" cm="1">
        <f t="array" ref="BS13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39" s="3" t="str" cm="1">
        <f t="array" ref="BT139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39" s="3" t="str" cm="1">
        <f t="array" ref="BU139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39" s="48">
        <v>80</v>
      </c>
      <c r="BW139" s="1">
        <v>60</v>
      </c>
      <c r="BX139" s="44">
        <v>60</v>
      </c>
      <c r="BY139" s="51">
        <v>45703</v>
      </c>
      <c r="BZ139" s="5">
        <v>45731</v>
      </c>
      <c r="CA139" s="85">
        <v>0</v>
      </c>
      <c r="CB139" s="2">
        <v>0</v>
      </c>
      <c r="CC139" s="2">
        <v>1</v>
      </c>
      <c r="CD139" s="2">
        <v>1</v>
      </c>
      <c r="CE139" s="2">
        <v>1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O139" s="103"/>
      <c r="CP139" s="9"/>
      <c r="CQ139" s="10"/>
    </row>
    <row r="140" spans="2:95" x14ac:dyDescent="0.15">
      <c r="B140" s="36" t="s">
        <v>99</v>
      </c>
      <c r="C140" s="1" t="s">
        <v>116</v>
      </c>
      <c r="K140" s="1" t="s">
        <v>1763</v>
      </c>
      <c r="L140" s="1" t="s">
        <v>1750</v>
      </c>
      <c r="M140" s="1" t="s">
        <v>362</v>
      </c>
      <c r="N140" s="6">
        <v>14</v>
      </c>
      <c r="O140" s="1" t="s">
        <v>4</v>
      </c>
      <c r="P140" s="1">
        <v>2</v>
      </c>
      <c r="Q140" s="1">
        <v>10</v>
      </c>
      <c r="R140" s="1">
        <v>10</v>
      </c>
      <c r="S140" s="1">
        <v>26</v>
      </c>
      <c r="T140" s="1">
        <v>32</v>
      </c>
      <c r="U140" s="253">
        <v>4</v>
      </c>
      <c r="V140" s="1">
        <v>45</v>
      </c>
      <c r="W140" s="44">
        <v>80</v>
      </c>
      <c r="X140" s="40">
        <f>_xlfn.XLOOKUP("Ripening", CropPhenology_Cucumber[Main_Stage], CropPhenology_Cucumber[Start_GDD], "Not Found")</f>
        <v>901</v>
      </c>
      <c r="Y140" s="4" cm="1">
        <f t="array" ref="Y140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40" s="3">
        <f t="shared" si="59"/>
        <v>18.40902777777778</v>
      </c>
      <c r="AA140" s="41">
        <f t="shared" si="60"/>
        <v>62.469350032064575</v>
      </c>
      <c r="AB140" s="1">
        <v>6</v>
      </c>
      <c r="AC140" s="1">
        <v>12</v>
      </c>
      <c r="AD140" s="1">
        <v>3</v>
      </c>
      <c r="AE140" s="1">
        <v>85</v>
      </c>
      <c r="AF140" s="1">
        <v>10</v>
      </c>
      <c r="AG140" s="1">
        <v>5</v>
      </c>
      <c r="AH140" s="3">
        <f t="shared" si="48"/>
        <v>3.9859547101449277</v>
      </c>
      <c r="AI140" s="1">
        <v>6</v>
      </c>
      <c r="AJ140" s="1">
        <v>7.5</v>
      </c>
      <c r="AK140" s="159">
        <v>2.5</v>
      </c>
      <c r="AL140" s="150">
        <v>0.09</v>
      </c>
      <c r="AM140" s="1">
        <v>400</v>
      </c>
      <c r="AN140" s="1">
        <v>500</v>
      </c>
      <c r="AO140" s="48">
        <v>2</v>
      </c>
      <c r="AP140" s="44">
        <v>20</v>
      </c>
      <c r="AQ140" s="42">
        <v>0.86</v>
      </c>
      <c r="AR140" s="1">
        <v>150</v>
      </c>
      <c r="AS140" s="1">
        <v>30</v>
      </c>
      <c r="AT140" s="1">
        <v>2</v>
      </c>
      <c r="AU140" s="4">
        <f t="shared" si="44"/>
        <v>4.4444444444444446</v>
      </c>
      <c r="AV140" s="3">
        <f t="shared" si="61"/>
        <v>0.09</v>
      </c>
      <c r="AW140" s="1">
        <v>85</v>
      </c>
      <c r="AX140" s="3">
        <f t="shared" si="57"/>
        <v>3.7777777777777777</v>
      </c>
      <c r="AY140" s="1">
        <v>1</v>
      </c>
      <c r="AZ140" s="4">
        <f t="shared" si="62"/>
        <v>3.7777777777777777</v>
      </c>
      <c r="BA140" s="49">
        <v>0.9</v>
      </c>
      <c r="BB140" s="4">
        <f t="shared" si="47"/>
        <v>3.4</v>
      </c>
      <c r="BC140" s="50">
        <v>0.2</v>
      </c>
      <c r="BD140" s="69">
        <f>IFERROR(
  MAX(0.05, MIN(0.5, CropNorms_Cucumber[[#This Row],[Leaf_Area_Per_Shoot_m2]] * CropNorms_Cucumber[[#This Row],[Shoot_Bearing_m2]] )),
  0.2
)</f>
        <v>0.5</v>
      </c>
      <c r="BE140" s="4">
        <f>_xlfn.XLOOKUP(CropNorms_Cucumber[[#This Row],[LAI_Start_BBCH]], CropPhenology_Cucumber[Sub_Stage], CropPhenology_Cucumber[Start_GDD], "Not Found")</f>
        <v>121</v>
      </c>
      <c r="BF140" s="3">
        <f>ROUND(CropNorms_Cucumber[[#This Row],[Shoot_Bearing_m2]]*CropNorms_Cucumber[[#This Row],[Leaf_Area_Per_Shoot_m2]],2)</f>
        <v>0.68</v>
      </c>
      <c r="BG140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40" s="3">
        <f>IF(CropNorms_Cucumber[[#This Row],[Max_LAI]]&gt;=1.2, 0.85*CropNorms_Cucumber[[#This Row],[Max_LAI]], 1)</f>
        <v>1</v>
      </c>
      <c r="BI140" s="41">
        <f>_xlfn.XLOOKUP(CropNorms_Cucumber[[#This Row],[LAI_End_BBCH]], CropPhenology_Cucumber[Sub_Stage], CropPhenology_Cucumber[End_GDD], "Not Found")</f>
        <v>900</v>
      </c>
      <c r="BJ140" s="3" cm="1">
        <f t="array" ref="BJ140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40" s="3" cm="1">
        <f t="array" ref="BK14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40" s="3" cm="1">
        <f t="array" ref="BL140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40" s="3" cm="1">
        <f t="array" ref="BM14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0" s="42">
        <v>0.15</v>
      </c>
      <c r="BO140" s="43">
        <v>0.85</v>
      </c>
      <c r="BP140" s="42">
        <v>14.28</v>
      </c>
      <c r="BQ140" s="43" t="s">
        <v>1741</v>
      </c>
      <c r="BR140" s="3" t="str" cm="1">
        <f t="array" ref="BR14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40" s="3" t="str" cm="1">
        <f t="array" ref="BS14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40" s="3" t="str" cm="1">
        <f t="array" ref="BT140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40" s="3" t="str" cm="1">
        <f t="array" ref="BU140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40" s="48">
        <v>80</v>
      </c>
      <c r="BW140" s="1">
        <v>60</v>
      </c>
      <c r="BX140" s="44">
        <v>60</v>
      </c>
      <c r="BY140" s="51">
        <v>45703</v>
      </c>
      <c r="BZ140" s="5">
        <v>45731</v>
      </c>
      <c r="CA140" s="85">
        <v>0</v>
      </c>
      <c r="CB140" s="2">
        <v>0</v>
      </c>
      <c r="CC140" s="2">
        <v>1</v>
      </c>
      <c r="CD140" s="2">
        <v>1</v>
      </c>
      <c r="CE140" s="2">
        <v>1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O140" s="103"/>
      <c r="CP140" s="9"/>
      <c r="CQ140" s="10"/>
    </row>
    <row r="141" spans="2:95" ht="11.25" thickBot="1" x14ac:dyDescent="0.2">
      <c r="B141" s="36" t="s">
        <v>99</v>
      </c>
      <c r="C141" s="1" t="s">
        <v>117</v>
      </c>
      <c r="K141" s="1" t="s">
        <v>1763</v>
      </c>
      <c r="L141" s="1" t="s">
        <v>1750</v>
      </c>
      <c r="M141" s="1" t="s">
        <v>362</v>
      </c>
      <c r="N141" s="6">
        <v>14</v>
      </c>
      <c r="O141" s="1" t="s">
        <v>4</v>
      </c>
      <c r="P141" s="1">
        <v>2</v>
      </c>
      <c r="Q141" s="1">
        <v>10</v>
      </c>
      <c r="R141" s="1">
        <v>10</v>
      </c>
      <c r="S141" s="1">
        <v>26</v>
      </c>
      <c r="T141" s="1">
        <v>32</v>
      </c>
      <c r="U141" s="254">
        <v>4</v>
      </c>
      <c r="V141" s="1">
        <v>45</v>
      </c>
      <c r="W141" s="44">
        <v>80</v>
      </c>
      <c r="X141" s="40">
        <f>_xlfn.XLOOKUP("Ripening", CropPhenology_Cucumber[Main_Stage], CropPhenology_Cucumber[Start_GDD], "Not Found")</f>
        <v>901</v>
      </c>
      <c r="Y141" s="4" cm="1">
        <f t="array" ref="Y14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Z141" s="3">
        <f t="shared" si="59"/>
        <v>18.40902777777778</v>
      </c>
      <c r="AA141" s="41">
        <f t="shared" si="60"/>
        <v>62.469350032064575</v>
      </c>
      <c r="AB141" s="1">
        <v>6</v>
      </c>
      <c r="AC141" s="1">
        <v>12</v>
      </c>
      <c r="AD141" s="1">
        <v>3</v>
      </c>
      <c r="AE141" s="1">
        <v>85</v>
      </c>
      <c r="AF141" s="1">
        <v>10</v>
      </c>
      <c r="AG141" s="1">
        <v>5</v>
      </c>
      <c r="AH141" s="3">
        <f t="shared" si="48"/>
        <v>3.9859547101449277</v>
      </c>
      <c r="AI141" s="1">
        <v>6</v>
      </c>
      <c r="AJ141" s="1">
        <v>7.5</v>
      </c>
      <c r="AK141" s="160">
        <v>2.5</v>
      </c>
      <c r="AL141" s="161">
        <v>0.09</v>
      </c>
      <c r="AM141" s="1">
        <v>400</v>
      </c>
      <c r="AN141" s="1">
        <v>500</v>
      </c>
      <c r="AO141" s="48">
        <v>2</v>
      </c>
      <c r="AP141" s="44">
        <v>20</v>
      </c>
      <c r="AQ141" s="42">
        <v>0.88</v>
      </c>
      <c r="AR141" s="1">
        <v>150</v>
      </c>
      <c r="AS141" s="1">
        <v>30</v>
      </c>
      <c r="AT141" s="1">
        <v>2</v>
      </c>
      <c r="AU141" s="4">
        <f t="shared" si="44"/>
        <v>4.4444444444444446</v>
      </c>
      <c r="AV141" s="3">
        <f t="shared" si="61"/>
        <v>0.09</v>
      </c>
      <c r="AW141" s="1">
        <v>85</v>
      </c>
      <c r="AX141" s="3">
        <f t="shared" si="57"/>
        <v>3.7777777777777777</v>
      </c>
      <c r="AY141" s="1">
        <v>1</v>
      </c>
      <c r="AZ141" s="4">
        <f t="shared" si="62"/>
        <v>3.7777777777777777</v>
      </c>
      <c r="BA141" s="49">
        <v>0.9</v>
      </c>
      <c r="BB141" s="4">
        <f t="shared" si="47"/>
        <v>3.4</v>
      </c>
      <c r="BC141" s="50">
        <v>0.2</v>
      </c>
      <c r="BD141" s="69">
        <f>IFERROR(
  MAX(0.05, MIN(0.5, CropNorms_Cucumber[[#This Row],[Leaf_Area_Per_Shoot_m2]] * CropNorms_Cucumber[[#This Row],[Shoot_Bearing_m2]] )),
  0.2
)</f>
        <v>0.5</v>
      </c>
      <c r="BE141" s="4">
        <f>_xlfn.XLOOKUP(CropNorms_Cucumber[[#This Row],[LAI_Start_BBCH]], CropPhenology_Cucumber[Sub_Stage], CropPhenology_Cucumber[Start_GDD], "Not Found")</f>
        <v>121</v>
      </c>
      <c r="BF141" s="3">
        <f>ROUND(CropNorms_Cucumber[[#This Row],[Shoot_Bearing_m2]]*CropNorms_Cucumber[[#This Row],[Leaf_Area_Per_Shoot_m2]],2)</f>
        <v>0.68</v>
      </c>
      <c r="BG141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H141" s="3">
        <f>IF(CropNorms_Cucumber[[#This Row],[Max_LAI]]&gt;=1.2, 0.85*CropNorms_Cucumber[[#This Row],[Max_LAI]], 1)</f>
        <v>1</v>
      </c>
      <c r="BI141" s="41">
        <f>_xlfn.XLOOKUP(CropNorms_Cucumber[[#This Row],[LAI_End_BBCH]], CropPhenology_Cucumber[Sub_Stage], CropPhenology_Cucumber[End_GDD], "Not Found")</f>
        <v>900</v>
      </c>
      <c r="BJ141" s="3" cm="1">
        <f t="array" ref="BJ14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K141" s="3" cm="1">
        <f t="array" ref="BK14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L141" s="3" cm="1">
        <f t="array" ref="BL14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41" s="3" cm="1">
        <f t="array" ref="BM14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1" s="42">
        <v>0.15</v>
      </c>
      <c r="BO141" s="43">
        <v>0.85</v>
      </c>
      <c r="BP141" s="42">
        <v>14.28</v>
      </c>
      <c r="BQ141" s="43" t="s">
        <v>1741</v>
      </c>
      <c r="BR141" s="3" t="str" cm="1">
        <f t="array" ref="BR14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41" s="3" t="str" cm="1">
        <f t="array" ref="BS14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141" s="3" t="str" cm="1">
        <f t="array" ref="BT14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141" s="3" t="str" cm="1">
        <f t="array" ref="BU14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141" s="48">
        <v>80</v>
      </c>
      <c r="BW141" s="1">
        <v>60</v>
      </c>
      <c r="BX141" s="44">
        <v>60</v>
      </c>
      <c r="BY141" s="51">
        <v>45703</v>
      </c>
      <c r="BZ141" s="5">
        <v>45731</v>
      </c>
      <c r="CA141" s="85">
        <v>0</v>
      </c>
      <c r="CB141" s="2">
        <v>0</v>
      </c>
      <c r="CC141" s="2">
        <v>1</v>
      </c>
      <c r="CD141" s="2">
        <v>1</v>
      </c>
      <c r="CE141" s="2">
        <v>1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O141" s="103"/>
      <c r="CP141" s="9"/>
      <c r="CQ141" s="10"/>
    </row>
    <row r="142" spans="2:95" ht="11.25" thickBot="1" x14ac:dyDescent="0.2">
      <c r="Y142" s="3"/>
      <c r="Z142" s="4"/>
      <c r="AG142" s="3"/>
      <c r="AR142" s="4"/>
      <c r="AS142" s="3"/>
      <c r="AU142" s="3"/>
      <c r="AW142" s="4"/>
      <c r="AX142" s="49"/>
      <c r="AY142" s="4"/>
      <c r="BV142" s="51"/>
      <c r="BW142" s="51"/>
      <c r="CO142" s="103"/>
      <c r="CP142" s="9"/>
      <c r="CQ142" s="10"/>
    </row>
    <row r="143" spans="2:95" ht="11.25" thickBot="1" x14ac:dyDescent="0.2">
      <c r="B143" s="54" t="s">
        <v>1753</v>
      </c>
      <c r="C143" s="53" t="s">
        <v>1754</v>
      </c>
      <c r="D143" s="53" t="s">
        <v>1804</v>
      </c>
      <c r="E143" s="53" t="s">
        <v>1805</v>
      </c>
      <c r="F143" s="53" t="s">
        <v>1806</v>
      </c>
      <c r="G143" s="53" t="s">
        <v>1807</v>
      </c>
      <c r="H143" s="53" t="s">
        <v>1808</v>
      </c>
      <c r="I143" s="53" t="s">
        <v>1809</v>
      </c>
      <c r="J143" s="53" t="s">
        <v>1810</v>
      </c>
      <c r="K143" s="53" t="s">
        <v>1747</v>
      </c>
      <c r="L143" s="54" t="s">
        <v>1749</v>
      </c>
      <c r="M143" s="53" t="s">
        <v>357</v>
      </c>
      <c r="N143" s="55" t="s">
        <v>692</v>
      </c>
      <c r="O143" s="53" t="s">
        <v>325</v>
      </c>
      <c r="P143" s="53" t="s">
        <v>356</v>
      </c>
      <c r="Q143" s="53" t="s">
        <v>326</v>
      </c>
      <c r="R143" s="53" t="s">
        <v>327</v>
      </c>
      <c r="S143" s="53" t="s">
        <v>328</v>
      </c>
      <c r="T143" s="53" t="s">
        <v>329</v>
      </c>
      <c r="U143" s="250" t="s">
        <v>2349</v>
      </c>
      <c r="V143" s="53" t="s">
        <v>330</v>
      </c>
      <c r="W143" s="53" t="s">
        <v>331</v>
      </c>
      <c r="X143" s="56" t="s">
        <v>354</v>
      </c>
      <c r="Y143" s="57" t="s">
        <v>355</v>
      </c>
      <c r="Z143" s="58" t="s">
        <v>413</v>
      </c>
      <c r="AA143" s="59" t="s">
        <v>583</v>
      </c>
      <c r="AB143" s="53" t="s">
        <v>324</v>
      </c>
      <c r="AC143" s="53" t="s">
        <v>332</v>
      </c>
      <c r="AD143" s="53" t="s">
        <v>333</v>
      </c>
      <c r="AE143" s="53" t="s">
        <v>334</v>
      </c>
      <c r="AF143" s="53" t="s">
        <v>335</v>
      </c>
      <c r="AG143" s="53" t="s">
        <v>336</v>
      </c>
      <c r="AH143" s="60" t="s">
        <v>337</v>
      </c>
      <c r="AI143" s="53" t="s">
        <v>338</v>
      </c>
      <c r="AJ143" s="53" t="s">
        <v>339</v>
      </c>
      <c r="AK143" s="157" t="s">
        <v>2346</v>
      </c>
      <c r="AL143" s="158" t="s">
        <v>2347</v>
      </c>
      <c r="AM143" s="53" t="s">
        <v>340</v>
      </c>
      <c r="AN143" s="53" t="s">
        <v>341</v>
      </c>
      <c r="AO143" s="61" t="s">
        <v>342</v>
      </c>
      <c r="AP143" s="62" t="s">
        <v>343</v>
      </c>
      <c r="AQ143" s="55" t="s">
        <v>344</v>
      </c>
      <c r="AR143" s="53" t="s">
        <v>345</v>
      </c>
      <c r="AS143" s="53" t="s">
        <v>346</v>
      </c>
      <c r="AT143" s="53" t="s">
        <v>364</v>
      </c>
      <c r="AU143" s="60" t="s">
        <v>347</v>
      </c>
      <c r="AV143" s="58" t="s">
        <v>363</v>
      </c>
      <c r="AW143" s="53" t="s">
        <v>348</v>
      </c>
      <c r="AX143" s="58" t="s">
        <v>349</v>
      </c>
      <c r="AY143" s="53" t="s">
        <v>366</v>
      </c>
      <c r="AZ143" s="60" t="s">
        <v>350</v>
      </c>
      <c r="BA143" s="53" t="s">
        <v>365</v>
      </c>
      <c r="BB143" s="60" t="s">
        <v>1827</v>
      </c>
      <c r="BC143" s="63" t="s">
        <v>351</v>
      </c>
      <c r="BD143" s="71" t="s">
        <v>1811</v>
      </c>
      <c r="BE143" s="57" t="s">
        <v>352</v>
      </c>
      <c r="BF143" s="58" t="s">
        <v>1812</v>
      </c>
      <c r="BG143" s="57" t="s">
        <v>1752</v>
      </c>
      <c r="BH143" s="60" t="s">
        <v>1813</v>
      </c>
      <c r="BI143" s="59" t="s">
        <v>353</v>
      </c>
      <c r="BJ143" s="71" t="s">
        <v>1828</v>
      </c>
      <c r="BK143" s="58" t="s">
        <v>1829</v>
      </c>
      <c r="BL143" s="58" t="s">
        <v>1830</v>
      </c>
      <c r="BM143" s="72" t="s">
        <v>1831</v>
      </c>
      <c r="BN143" s="64" t="s">
        <v>1154</v>
      </c>
      <c r="BO143" s="65" t="s">
        <v>1742</v>
      </c>
      <c r="BP143" s="64" t="s">
        <v>1155</v>
      </c>
      <c r="BQ143" s="65" t="s">
        <v>1755</v>
      </c>
      <c r="BR143" s="58" t="s">
        <v>367</v>
      </c>
      <c r="BS143" s="58" t="s">
        <v>1751</v>
      </c>
      <c r="BT143" s="58" t="s">
        <v>368</v>
      </c>
      <c r="BU143" s="60" t="s">
        <v>1814</v>
      </c>
      <c r="BV143" s="61" t="s">
        <v>369</v>
      </c>
      <c r="BW143" s="53" t="s">
        <v>370</v>
      </c>
      <c r="BX143" s="62" t="s">
        <v>371</v>
      </c>
      <c r="BY143" s="53" t="s">
        <v>359</v>
      </c>
      <c r="BZ143" s="53" t="s">
        <v>361</v>
      </c>
      <c r="CA143" s="61" t="s">
        <v>1815</v>
      </c>
      <c r="CB143" s="53" t="s">
        <v>1816</v>
      </c>
      <c r="CC143" s="53" t="s">
        <v>1817</v>
      </c>
      <c r="CD143" s="53" t="s">
        <v>1818</v>
      </c>
      <c r="CE143" s="53" t="s">
        <v>1819</v>
      </c>
      <c r="CF143" s="53" t="s">
        <v>1820</v>
      </c>
      <c r="CG143" s="53" t="s">
        <v>1821</v>
      </c>
      <c r="CH143" s="53" t="s">
        <v>1822</v>
      </c>
      <c r="CI143" s="53" t="s">
        <v>1823</v>
      </c>
      <c r="CJ143" s="53" t="s">
        <v>1824</v>
      </c>
      <c r="CK143" s="53" t="s">
        <v>1825</v>
      </c>
      <c r="CL143" s="53" t="s">
        <v>1826</v>
      </c>
      <c r="CO143" s="103"/>
      <c r="CP143" s="9"/>
      <c r="CQ143" s="10"/>
    </row>
    <row r="144" spans="2:95" x14ac:dyDescent="0.15">
      <c r="B144" s="36" t="s">
        <v>118</v>
      </c>
      <c r="C144" s="1" t="s">
        <v>119</v>
      </c>
      <c r="K144" s="1" t="s">
        <v>1769</v>
      </c>
      <c r="L144" s="1" t="s">
        <v>1750</v>
      </c>
      <c r="M144" s="1" t="s">
        <v>358</v>
      </c>
      <c r="N144" s="6">
        <v>10.5</v>
      </c>
      <c r="O144" s="1" t="s">
        <v>4</v>
      </c>
      <c r="P144" s="1">
        <v>5</v>
      </c>
      <c r="Q144" s="1">
        <v>3</v>
      </c>
      <c r="R144" s="1">
        <v>3</v>
      </c>
      <c r="S144" s="1">
        <v>18</v>
      </c>
      <c r="T144" s="1">
        <v>28</v>
      </c>
      <c r="U144" s="253">
        <v>4</v>
      </c>
      <c r="V144" s="1">
        <v>90</v>
      </c>
      <c r="W144" s="44">
        <v>130</v>
      </c>
      <c r="X144" s="40">
        <f>_xlfn.XLOOKUP("Ripening", CropPhenology_FlaxSeed[Main_Stage], CropPhenology_FlaxSeed[Start_GDD], "Not Found")</f>
        <v>1451</v>
      </c>
      <c r="Y144" s="4" cm="1">
        <f t="array" ref="Y144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f>
        <v>1700</v>
      </c>
      <c r="Z144" s="3">
        <f>MIN(Y144/V144,MAX(X144/W144,R144,(X144/W144+Y144/V144)/2))</f>
        <v>15.025213675213674</v>
      </c>
      <c r="AA144" s="41">
        <f t="shared" ref="AA144:AA145" si="63">Y144/Z144</f>
        <v>113.14314969140193</v>
      </c>
      <c r="AB144" s="1">
        <v>6</v>
      </c>
      <c r="AC144" s="1">
        <v>10</v>
      </c>
      <c r="AD144" s="1">
        <v>2</v>
      </c>
      <c r="AE144" s="1">
        <v>90</v>
      </c>
      <c r="AF144" s="1">
        <v>5</v>
      </c>
      <c r="AG144" s="1">
        <v>5</v>
      </c>
      <c r="AH144" s="3">
        <f t="shared" si="48"/>
        <v>2.2007518853695323</v>
      </c>
      <c r="AI144" s="1">
        <v>5.5</v>
      </c>
      <c r="AJ144" s="1">
        <v>7.5</v>
      </c>
      <c r="AK144" s="159">
        <v>3.5</v>
      </c>
      <c r="AL144" s="150">
        <v>0.06</v>
      </c>
      <c r="AM144" s="1">
        <v>350</v>
      </c>
      <c r="AN144" s="1">
        <v>450</v>
      </c>
      <c r="AO144" s="48">
        <v>2</v>
      </c>
      <c r="AP144" s="44">
        <v>50</v>
      </c>
      <c r="AQ144" s="42">
        <v>0.8</v>
      </c>
      <c r="AR144" s="1">
        <v>20</v>
      </c>
      <c r="AS144" s="1">
        <v>1</v>
      </c>
      <c r="AT144" s="1">
        <v>2</v>
      </c>
      <c r="AU144" s="4">
        <f t="shared" si="44"/>
        <v>1000</v>
      </c>
      <c r="AV144" s="3">
        <f>ROUND((P144/1000000)*AU144*10000,2)</f>
        <v>50</v>
      </c>
      <c r="AW144" s="1">
        <v>85</v>
      </c>
      <c r="AX144" s="3">
        <f t="shared" ref="AX144:AX145" si="64">IFERROR((AU144*AW144/100),0)</f>
        <v>850</v>
      </c>
      <c r="AY144" s="1">
        <v>3</v>
      </c>
      <c r="AZ144" s="4">
        <f t="shared" ref="AZ144:AZ145" si="65">IFERROR(AX144*AY144,0)</f>
        <v>2550</v>
      </c>
      <c r="BA144" s="49">
        <v>0.9</v>
      </c>
      <c r="BB144" s="4">
        <f t="shared" si="47"/>
        <v>2295</v>
      </c>
      <c r="BC144" s="50">
        <v>1.5E-3</v>
      </c>
      <c r="BD144" s="69">
        <f>IFERROR(
  MAX(0.05, MIN(0.5, CropNorms_FlaxSeed[[#This Row],[Leaf_Area_Per_Shoot_m2]] * CropNorms_FlaxSeed[[#This Row],[Shoot_Bearing_m2]] )),
  0.2
)</f>
        <v>0.5</v>
      </c>
      <c r="BE144" s="4">
        <f>_xlfn.XLOOKUP(CropNorms_FlaxSeed[[#This Row],[LAI_Start_BBCH]], CropPhenology_FlaxSeed[Sub_Stage], CropPhenology_FlaxSeed[Start_GDD], "Not Found")</f>
        <v>141</v>
      </c>
      <c r="BF144" s="3">
        <f>ROUND(CropNorms_FlaxSeed[[#This Row],[Shoot_Bearing_m2]]*CropNorms_FlaxSeed[[#This Row],[Leaf_Area_Per_Shoot_m2]],2)</f>
        <v>3.44</v>
      </c>
      <c r="BG144" s="4">
        <f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f>
        <v>690.5</v>
      </c>
      <c r="BH144" s="3">
        <f>IF(CropNorms_FlaxSeed[[#This Row],[Max_LAI]]&gt;=1.2, 0.85*CropNorms_FlaxSeed[[#This Row],[Max_LAI]], 1)</f>
        <v>2.9239999999999999</v>
      </c>
      <c r="BI144" s="41">
        <f>_xlfn.XLOOKUP(CropNorms_FlaxSeed[[#This Row],[LAI_End_BBCH]], CropPhenology_FlaxSeed[Sub_Stage], CropPhenology_FlaxSeed[End_GDD], "Not Found")</f>
        <v>1450</v>
      </c>
      <c r="BJ144" s="3" cm="1">
        <f t="array" ref="BJ144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2.267016055503845</v>
      </c>
      <c r="BK144" s="3" cm="1">
        <f t="array" ref="BK144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0.93398182076156344</v>
      </c>
      <c r="BL144" s="3" cm="1">
        <f t="array" ref="BL144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1.6910470072616635</v>
      </c>
      <c r="BM144" s="3" cm="1">
        <f t="array" ref="BM144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4" s="42">
        <v>0.25</v>
      </c>
      <c r="BO144" s="43">
        <v>0</v>
      </c>
      <c r="BP144" s="42">
        <v>2.52</v>
      </c>
      <c r="BQ144" s="43" t="s">
        <v>1745</v>
      </c>
      <c r="BR144" s="3" t="str" cm="1">
        <f t="array" ref="BR144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44" s="3" t="str" cm="1">
        <f t="array" ref="BS144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144" s="3" t="str" cm="1">
        <f t="array" ref="BT144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144" s="3" t="str" cm="1">
        <f t="array" ref="BU144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144" s="48">
        <v>60</v>
      </c>
      <c r="BW144" s="1">
        <v>20</v>
      </c>
      <c r="BX144" s="44">
        <v>20</v>
      </c>
      <c r="BY144" s="51">
        <v>45931</v>
      </c>
      <c r="BZ144" s="5">
        <v>45991</v>
      </c>
      <c r="CA144" s="85">
        <v>0</v>
      </c>
      <c r="CB144" s="2">
        <v>0</v>
      </c>
      <c r="CC144" s="2">
        <v>1</v>
      </c>
      <c r="CD144" s="2">
        <v>1</v>
      </c>
      <c r="CE144" s="2">
        <v>1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O144" s="103"/>
      <c r="CP144" s="9"/>
      <c r="CQ144" s="10"/>
    </row>
    <row r="145" spans="2:95" ht="11.25" thickBot="1" x14ac:dyDescent="0.2">
      <c r="B145" s="36" t="s">
        <v>118</v>
      </c>
      <c r="C145" s="1" t="s">
        <v>120</v>
      </c>
      <c r="K145" s="1" t="s">
        <v>1769</v>
      </c>
      <c r="L145" s="1" t="s">
        <v>1750</v>
      </c>
      <c r="M145" s="1" t="s">
        <v>358</v>
      </c>
      <c r="N145" s="6">
        <v>10.5</v>
      </c>
      <c r="O145" s="1" t="s">
        <v>4</v>
      </c>
      <c r="P145" s="1">
        <v>5</v>
      </c>
      <c r="Q145" s="1">
        <v>3</v>
      </c>
      <c r="R145" s="1">
        <v>3</v>
      </c>
      <c r="S145" s="1">
        <v>18</v>
      </c>
      <c r="T145" s="1">
        <v>28</v>
      </c>
      <c r="U145" s="254">
        <v>4</v>
      </c>
      <c r="V145" s="1">
        <v>90</v>
      </c>
      <c r="W145" s="44">
        <v>130</v>
      </c>
      <c r="X145" s="40">
        <f>_xlfn.XLOOKUP("Ripening", CropPhenology_FlaxSeed[Main_Stage], CropPhenology_FlaxSeed[Start_GDD], "Not Found")</f>
        <v>1451</v>
      </c>
      <c r="Y145" s="4" cm="1">
        <f t="array" ref="Y145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f>
        <v>1700</v>
      </c>
      <c r="Z145" s="3">
        <f>MIN(Y145/V145,MAX(X145/W145,R145,(X145/W145+Y145/V145)/2))</f>
        <v>15.025213675213674</v>
      </c>
      <c r="AA145" s="41">
        <f t="shared" si="63"/>
        <v>113.14314969140193</v>
      </c>
      <c r="AB145" s="1">
        <v>6</v>
      </c>
      <c r="AC145" s="1">
        <v>10</v>
      </c>
      <c r="AD145" s="1">
        <v>2</v>
      </c>
      <c r="AE145" s="1">
        <v>90</v>
      </c>
      <c r="AF145" s="1">
        <v>5</v>
      </c>
      <c r="AG145" s="1">
        <v>5</v>
      </c>
      <c r="AH145" s="3">
        <f t="shared" si="48"/>
        <v>2.2007518853695323</v>
      </c>
      <c r="AI145" s="1">
        <v>5.5</v>
      </c>
      <c r="AJ145" s="1">
        <v>7.5</v>
      </c>
      <c r="AK145" s="160">
        <v>3.5</v>
      </c>
      <c r="AL145" s="161">
        <v>0.06</v>
      </c>
      <c r="AM145" s="1">
        <v>350</v>
      </c>
      <c r="AN145" s="1">
        <v>450</v>
      </c>
      <c r="AO145" s="48">
        <v>2</v>
      </c>
      <c r="AP145" s="44">
        <v>50</v>
      </c>
      <c r="AQ145" s="42">
        <v>0.75</v>
      </c>
      <c r="AR145" s="1">
        <v>20</v>
      </c>
      <c r="AS145" s="1">
        <v>1</v>
      </c>
      <c r="AT145" s="1">
        <v>2</v>
      </c>
      <c r="AU145" s="4">
        <f t="shared" si="44"/>
        <v>1000</v>
      </c>
      <c r="AV145" s="3">
        <f>ROUND((P145/1000000)*AU145*10000,2)</f>
        <v>50</v>
      </c>
      <c r="AW145" s="1">
        <v>85</v>
      </c>
      <c r="AX145" s="3">
        <f t="shared" si="64"/>
        <v>850</v>
      </c>
      <c r="AY145" s="1">
        <v>3</v>
      </c>
      <c r="AZ145" s="4">
        <f t="shared" si="65"/>
        <v>2550</v>
      </c>
      <c r="BA145" s="49">
        <v>0.9</v>
      </c>
      <c r="BB145" s="4">
        <f t="shared" si="47"/>
        <v>2295</v>
      </c>
      <c r="BC145" s="50">
        <v>1.5E-3</v>
      </c>
      <c r="BD145" s="69">
        <f>IFERROR(
  MAX(0.05, MIN(0.5, CropNorms_FlaxSeed[[#This Row],[Leaf_Area_Per_Shoot_m2]] * CropNorms_FlaxSeed[[#This Row],[Shoot_Bearing_m2]] )),
  0.2
)</f>
        <v>0.5</v>
      </c>
      <c r="BE145" s="4">
        <f>_xlfn.XLOOKUP(CropNorms_FlaxSeed[[#This Row],[LAI_Start_BBCH]], CropPhenology_FlaxSeed[Sub_Stage], CropPhenology_FlaxSeed[Start_GDD], "Not Found")</f>
        <v>141</v>
      </c>
      <c r="BF145" s="3">
        <f>ROUND(CropNorms_FlaxSeed[[#This Row],[Shoot_Bearing_m2]]*CropNorms_FlaxSeed[[#This Row],[Leaf_Area_Per_Shoot_m2]],2)</f>
        <v>3.44</v>
      </c>
      <c r="BG145" s="4">
        <f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f>
        <v>690.5</v>
      </c>
      <c r="BH145" s="3">
        <f>IF(CropNorms_FlaxSeed[[#This Row],[Max_LAI]]&gt;=1.2, 0.85*CropNorms_FlaxSeed[[#This Row],[Max_LAI]], 1)</f>
        <v>2.9239999999999999</v>
      </c>
      <c r="BI145" s="41">
        <f>_xlfn.XLOOKUP(CropNorms_FlaxSeed[[#This Row],[LAI_End_BBCH]], CropPhenology_FlaxSeed[Sub_Stage], CropPhenology_FlaxSeed[End_GDD], "Not Found")</f>
        <v>1450</v>
      </c>
      <c r="BJ145" s="3" cm="1">
        <f t="array" ref="BJ145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2.267016055503845</v>
      </c>
      <c r="BK145" s="3" cm="1">
        <f t="array" ref="BK145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0.93398182076156344</v>
      </c>
      <c r="BL145" s="3" cm="1">
        <f t="array" ref="BL145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1.6910470072616635</v>
      </c>
      <c r="BM145" s="3" cm="1">
        <f t="array" ref="BM145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5" s="42">
        <v>0.25</v>
      </c>
      <c r="BO145" s="43">
        <v>0</v>
      </c>
      <c r="BP145" s="42">
        <v>2.52</v>
      </c>
      <c r="BQ145" s="43" t="s">
        <v>1745</v>
      </c>
      <c r="BR145" s="3" t="str" cm="1">
        <f t="array" ref="BR145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45" s="3" t="str" cm="1">
        <f t="array" ref="BS145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145" s="3" t="str" cm="1">
        <f t="array" ref="BT145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145" s="3" t="str" cm="1">
        <f t="array" ref="BU145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145" s="48">
        <v>60</v>
      </c>
      <c r="BW145" s="1">
        <v>20</v>
      </c>
      <c r="BX145" s="44">
        <v>20</v>
      </c>
      <c r="BY145" s="51">
        <v>45931</v>
      </c>
      <c r="BZ145" s="5">
        <v>45991</v>
      </c>
      <c r="CA145" s="85">
        <v>0</v>
      </c>
      <c r="CB145" s="2">
        <v>0</v>
      </c>
      <c r="CC145" s="2">
        <v>1</v>
      </c>
      <c r="CD145" s="2">
        <v>1</v>
      </c>
      <c r="CE145" s="2">
        <v>1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O145" s="103"/>
      <c r="CP145" s="9"/>
      <c r="CQ145" s="10"/>
    </row>
    <row r="146" spans="2:95" ht="11.25" thickBot="1" x14ac:dyDescent="0.2">
      <c r="Y146" s="3"/>
      <c r="Z146" s="4"/>
      <c r="AG146" s="3"/>
      <c r="AR146" s="4"/>
      <c r="AS146" s="3"/>
      <c r="AU146" s="3"/>
      <c r="AW146" s="4"/>
      <c r="AX146" s="49"/>
      <c r="AY146" s="4"/>
      <c r="BV146" s="51"/>
      <c r="BW146" s="51"/>
      <c r="CO146" s="103"/>
      <c r="CP146" s="9"/>
      <c r="CQ146" s="10"/>
    </row>
    <row r="147" spans="2:95" ht="11.25" thickBot="1" x14ac:dyDescent="0.2">
      <c r="B147" s="54" t="s">
        <v>1753</v>
      </c>
      <c r="C147" s="53" t="s">
        <v>1754</v>
      </c>
      <c r="D147" s="53" t="s">
        <v>1804</v>
      </c>
      <c r="E147" s="53" t="s">
        <v>1805</v>
      </c>
      <c r="F147" s="53" t="s">
        <v>1806</v>
      </c>
      <c r="G147" s="53" t="s">
        <v>1807</v>
      </c>
      <c r="H147" s="53" t="s">
        <v>1808</v>
      </c>
      <c r="I147" s="53" t="s">
        <v>1809</v>
      </c>
      <c r="J147" s="53" t="s">
        <v>1810</v>
      </c>
      <c r="K147" s="53" t="s">
        <v>1747</v>
      </c>
      <c r="L147" s="54" t="s">
        <v>1749</v>
      </c>
      <c r="M147" s="53" t="s">
        <v>357</v>
      </c>
      <c r="N147" s="55" t="s">
        <v>692</v>
      </c>
      <c r="O147" s="53" t="s">
        <v>325</v>
      </c>
      <c r="P147" s="53" t="s">
        <v>356</v>
      </c>
      <c r="Q147" s="53" t="s">
        <v>326</v>
      </c>
      <c r="R147" s="53" t="s">
        <v>327</v>
      </c>
      <c r="S147" s="53" t="s">
        <v>328</v>
      </c>
      <c r="T147" s="53" t="s">
        <v>329</v>
      </c>
      <c r="U147" s="250" t="s">
        <v>2349</v>
      </c>
      <c r="V147" s="53" t="s">
        <v>330</v>
      </c>
      <c r="W147" s="53" t="s">
        <v>331</v>
      </c>
      <c r="X147" s="56" t="s">
        <v>354</v>
      </c>
      <c r="Y147" s="57" t="s">
        <v>355</v>
      </c>
      <c r="Z147" s="58" t="s">
        <v>413</v>
      </c>
      <c r="AA147" s="59" t="s">
        <v>583</v>
      </c>
      <c r="AB147" s="53" t="s">
        <v>324</v>
      </c>
      <c r="AC147" s="53" t="s">
        <v>332</v>
      </c>
      <c r="AD147" s="53" t="s">
        <v>333</v>
      </c>
      <c r="AE147" s="53" t="s">
        <v>334</v>
      </c>
      <c r="AF147" s="53" t="s">
        <v>335</v>
      </c>
      <c r="AG147" s="53" t="s">
        <v>336</v>
      </c>
      <c r="AH147" s="60" t="s">
        <v>337</v>
      </c>
      <c r="AI147" s="53" t="s">
        <v>338</v>
      </c>
      <c r="AJ147" s="53" t="s">
        <v>339</v>
      </c>
      <c r="AK147" s="157" t="s">
        <v>2346</v>
      </c>
      <c r="AL147" s="158" t="s">
        <v>2347</v>
      </c>
      <c r="AM147" s="53" t="s">
        <v>340</v>
      </c>
      <c r="AN147" s="53" t="s">
        <v>341</v>
      </c>
      <c r="AO147" s="61" t="s">
        <v>342</v>
      </c>
      <c r="AP147" s="62" t="s">
        <v>343</v>
      </c>
      <c r="AQ147" s="55" t="s">
        <v>344</v>
      </c>
      <c r="AR147" s="53" t="s">
        <v>345</v>
      </c>
      <c r="AS147" s="53" t="s">
        <v>346</v>
      </c>
      <c r="AT147" s="53" t="s">
        <v>364</v>
      </c>
      <c r="AU147" s="60" t="s">
        <v>347</v>
      </c>
      <c r="AV147" s="58" t="s">
        <v>363</v>
      </c>
      <c r="AW147" s="53" t="s">
        <v>348</v>
      </c>
      <c r="AX147" s="58" t="s">
        <v>349</v>
      </c>
      <c r="AY147" s="53" t="s">
        <v>366</v>
      </c>
      <c r="AZ147" s="60" t="s">
        <v>350</v>
      </c>
      <c r="BA147" s="53" t="s">
        <v>365</v>
      </c>
      <c r="BB147" s="60" t="s">
        <v>1827</v>
      </c>
      <c r="BC147" s="63" t="s">
        <v>351</v>
      </c>
      <c r="BD147" s="71" t="s">
        <v>1811</v>
      </c>
      <c r="BE147" s="57" t="s">
        <v>352</v>
      </c>
      <c r="BF147" s="58" t="s">
        <v>1812</v>
      </c>
      <c r="BG147" s="57" t="s">
        <v>1752</v>
      </c>
      <c r="BH147" s="60" t="s">
        <v>1813</v>
      </c>
      <c r="BI147" s="59" t="s">
        <v>353</v>
      </c>
      <c r="BJ147" s="71" t="s">
        <v>1828</v>
      </c>
      <c r="BK147" s="58" t="s">
        <v>1829</v>
      </c>
      <c r="BL147" s="58" t="s">
        <v>1830</v>
      </c>
      <c r="BM147" s="72" t="s">
        <v>1831</v>
      </c>
      <c r="BN147" s="64" t="s">
        <v>1154</v>
      </c>
      <c r="BO147" s="65" t="s">
        <v>1742</v>
      </c>
      <c r="BP147" s="64" t="s">
        <v>1155</v>
      </c>
      <c r="BQ147" s="65" t="s">
        <v>1755</v>
      </c>
      <c r="BR147" s="58" t="s">
        <v>367</v>
      </c>
      <c r="BS147" s="58" t="s">
        <v>1751</v>
      </c>
      <c r="BT147" s="58" t="s">
        <v>368</v>
      </c>
      <c r="BU147" s="60" t="s">
        <v>1814</v>
      </c>
      <c r="BV147" s="61" t="s">
        <v>369</v>
      </c>
      <c r="BW147" s="53" t="s">
        <v>370</v>
      </c>
      <c r="BX147" s="62" t="s">
        <v>371</v>
      </c>
      <c r="BY147" s="53" t="s">
        <v>359</v>
      </c>
      <c r="BZ147" s="53" t="s">
        <v>361</v>
      </c>
      <c r="CA147" s="61" t="s">
        <v>1815</v>
      </c>
      <c r="CB147" s="53" t="s">
        <v>1816</v>
      </c>
      <c r="CC147" s="53" t="s">
        <v>1817</v>
      </c>
      <c r="CD147" s="53" t="s">
        <v>1818</v>
      </c>
      <c r="CE147" s="53" t="s">
        <v>1819</v>
      </c>
      <c r="CF147" s="53" t="s">
        <v>1820</v>
      </c>
      <c r="CG147" s="53" t="s">
        <v>1821</v>
      </c>
      <c r="CH147" s="53" t="s">
        <v>1822</v>
      </c>
      <c r="CI147" s="53" t="s">
        <v>1823</v>
      </c>
      <c r="CJ147" s="53" t="s">
        <v>1824</v>
      </c>
      <c r="CK147" s="53" t="s">
        <v>1825</v>
      </c>
      <c r="CL147" s="53" t="s">
        <v>1826</v>
      </c>
      <c r="CO147" s="103"/>
      <c r="CP147" s="9"/>
      <c r="CQ147" s="10"/>
    </row>
    <row r="148" spans="2:95" x14ac:dyDescent="0.15">
      <c r="B148" s="36" t="s">
        <v>121</v>
      </c>
      <c r="C148" s="1" t="s">
        <v>122</v>
      </c>
      <c r="K148" s="1" t="s">
        <v>1765</v>
      </c>
      <c r="L148" s="1" t="s">
        <v>1750</v>
      </c>
      <c r="M148" s="1" t="s">
        <v>358</v>
      </c>
      <c r="N148" s="6">
        <v>10.5</v>
      </c>
      <c r="O148" s="1" t="s">
        <v>4</v>
      </c>
      <c r="P148" s="1">
        <v>200</v>
      </c>
      <c r="Q148" s="1">
        <v>10</v>
      </c>
      <c r="R148" s="1">
        <v>10</v>
      </c>
      <c r="S148" s="1">
        <v>25</v>
      </c>
      <c r="T148" s="1">
        <v>32</v>
      </c>
      <c r="U148" s="253">
        <v>4</v>
      </c>
      <c r="V148" s="1">
        <v>70</v>
      </c>
      <c r="W148" s="44">
        <v>125</v>
      </c>
      <c r="X148" s="40">
        <f>_xlfn.XLOOKUP("Ripening", CropPhenology_FrenchBeans[Main_Stage], CropPhenology_FrenchBeans[Start_GDD], "Not Found")</f>
        <v>1251</v>
      </c>
      <c r="Y148" s="4" cm="1">
        <f t="array" ref="Y148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Z148" s="3">
        <f t="shared" ref="Z148:Z153" si="66">MIN(Y148/V148,MAX(X148/W148,R148,(X148/W148+Y148/V148)/2))</f>
        <v>15.375428571428571</v>
      </c>
      <c r="AA148" s="41">
        <f t="shared" ref="AA148:AA153" si="67">Y148/Z148</f>
        <v>94.436392016947266</v>
      </c>
      <c r="AB148" s="1">
        <v>8</v>
      </c>
      <c r="AC148" s="1">
        <v>15</v>
      </c>
      <c r="AD148" s="1">
        <v>3</v>
      </c>
      <c r="AE148" s="1">
        <v>90</v>
      </c>
      <c r="AF148" s="1">
        <v>10</v>
      </c>
      <c r="AG148" s="1">
        <v>5</v>
      </c>
      <c r="AH148" s="3">
        <f t="shared" ref="AH148:AH153" si="68">IFERROR((Y148-X148)/AA148,0)</f>
        <v>2.1284167650531285</v>
      </c>
      <c r="AI148" s="1">
        <v>6</v>
      </c>
      <c r="AJ148" s="1">
        <v>7.5</v>
      </c>
      <c r="AK148" s="159">
        <v>1</v>
      </c>
      <c r="AL148" s="150">
        <v>0.19</v>
      </c>
      <c r="AM148" s="1">
        <v>400</v>
      </c>
      <c r="AN148" s="1">
        <v>450</v>
      </c>
      <c r="AO148" s="48">
        <v>4</v>
      </c>
      <c r="AP148" s="44">
        <v>40</v>
      </c>
      <c r="AQ148" s="42">
        <v>0.8</v>
      </c>
      <c r="AR148" s="1">
        <v>50</v>
      </c>
      <c r="AS148" s="1">
        <v>10</v>
      </c>
      <c r="AT148" s="1">
        <v>1</v>
      </c>
      <c r="AU148" s="4">
        <f t="shared" ref="AU148:AU153" si="69">IFERROR(10000/(AS148*AR148),0)*AT148</f>
        <v>20</v>
      </c>
      <c r="AV148" s="3">
        <f t="shared" ref="AV148:AV153" si="70">ROUND((P148/1000000)*AU148*10000,2)</f>
        <v>40</v>
      </c>
      <c r="AW148" s="1">
        <v>85</v>
      </c>
      <c r="AX148" s="3">
        <f t="shared" ref="AX148:AX153" si="71">IFERROR((AU148*AW148/100),0)</f>
        <v>17</v>
      </c>
      <c r="AY148" s="1">
        <v>3</v>
      </c>
      <c r="AZ148" s="4">
        <f t="shared" ref="AZ148:AZ153" si="72">IFERROR(AX148*AY148,0)</f>
        <v>51</v>
      </c>
      <c r="BA148" s="49">
        <v>0.9</v>
      </c>
      <c r="BB148" s="4">
        <f t="shared" ref="BB148:BB153" si="73">IFERROR(AZ148*BA148,0)</f>
        <v>45.9</v>
      </c>
      <c r="BC148" s="50">
        <v>0.06</v>
      </c>
      <c r="BD148" s="69">
        <f>IFERROR(
  MAX(0.05, MIN(0.5, CropNorms_FrenchBeans[[#This Row],[Leaf_Area_Per_Shoot_m2]] * CropNorms_FrenchBeans[[#This Row],[Shoot_Bearing_m2]] )),
  0.2
)</f>
        <v>0.5</v>
      </c>
      <c r="BE148" s="4">
        <f>_xlfn.XLOOKUP(CropNorms_FrenchBeans[[#This Row],[LAI_Start_BBCH]], CropPhenology_FrenchBeans[Sub_Stage], CropPhenology_FrenchBeans[Start_GDD], "Not Found")</f>
        <v>131</v>
      </c>
      <c r="BF148" s="3">
        <f>ROUND(CropNorms_FrenchBeans[[#This Row],[Shoot_Bearing_m2]]*CropNorms_FrenchBeans[[#This Row],[Leaf_Area_Per_Shoot_m2]],2)</f>
        <v>2.75</v>
      </c>
      <c r="BG148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H148" s="3">
        <f>IF(CropNorms_FrenchBeans[[#This Row],[Max_LAI]]&gt;=1.2, 0.85*CropNorms_FrenchBeans[[#This Row],[Max_LAI]], 1)</f>
        <v>2.3374999999999999</v>
      </c>
      <c r="BI148" s="41">
        <f>_xlfn.XLOOKUP(CropNorms_FrenchBeans[[#This Row],[LAI_End_BBCH]], CropPhenology_FrenchBeans[Sub_Stage], CropPhenology_FrenchBeans[End_GDD], "Not Found")</f>
        <v>1250</v>
      </c>
      <c r="BJ148" s="3" cm="1">
        <f t="array" ref="BJ148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K148" s="3" cm="1">
        <f t="array" ref="BK148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L148" s="3" cm="1">
        <f t="array" ref="BL148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M148" s="3" cm="1">
        <f t="array" ref="BM148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8" s="42">
        <v>0.35</v>
      </c>
      <c r="BO148" s="43">
        <v>0</v>
      </c>
      <c r="BP148" s="42">
        <v>2.29</v>
      </c>
      <c r="BQ148" s="43" t="s">
        <v>1798</v>
      </c>
      <c r="BR148" s="3" t="str" cm="1">
        <f t="array" ref="BR148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48" s="3" t="str" cm="1">
        <f t="array" ref="BS148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T148" s="3" t="str" cm="1">
        <f t="array" ref="BT148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48" s="3" t="str" cm="1">
        <f t="array" ref="BU148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48" s="48">
        <v>80</v>
      </c>
      <c r="BW148" s="1">
        <v>20</v>
      </c>
      <c r="BX148" s="44">
        <v>40</v>
      </c>
      <c r="BY148" s="51">
        <v>45945</v>
      </c>
      <c r="BZ148" s="5">
        <v>45976</v>
      </c>
      <c r="CA148" s="85">
        <v>0</v>
      </c>
      <c r="CB148" s="2">
        <v>0</v>
      </c>
      <c r="CC148" s="2">
        <v>1</v>
      </c>
      <c r="CD148" s="2">
        <v>1</v>
      </c>
      <c r="CE148" s="2">
        <v>1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O148" s="103"/>
      <c r="CP148" s="9"/>
      <c r="CQ148" s="10"/>
    </row>
    <row r="149" spans="2:95" x14ac:dyDescent="0.15">
      <c r="B149" s="36" t="s">
        <v>121</v>
      </c>
      <c r="C149" s="1" t="s">
        <v>124</v>
      </c>
      <c r="K149" s="1" t="s">
        <v>1765</v>
      </c>
      <c r="L149" s="1" t="s">
        <v>1750</v>
      </c>
      <c r="M149" s="1" t="s">
        <v>358</v>
      </c>
      <c r="N149" s="6">
        <v>10.5</v>
      </c>
      <c r="O149" s="1" t="s">
        <v>4</v>
      </c>
      <c r="P149" s="1">
        <v>200</v>
      </c>
      <c r="Q149" s="1">
        <v>10</v>
      </c>
      <c r="R149" s="1">
        <v>10</v>
      </c>
      <c r="S149" s="1">
        <v>25</v>
      </c>
      <c r="T149" s="1">
        <v>32</v>
      </c>
      <c r="U149" s="253">
        <v>4</v>
      </c>
      <c r="V149" s="1">
        <v>70</v>
      </c>
      <c r="W149" s="44">
        <v>125</v>
      </c>
      <c r="X149" s="40">
        <f>_xlfn.XLOOKUP("Ripening", CropPhenology_FrenchBeans[Main_Stage], CropPhenology_FrenchBeans[Start_GDD], "Not Found")</f>
        <v>1251</v>
      </c>
      <c r="Y149" s="4" cm="1">
        <f t="array" ref="Y149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Z149" s="3">
        <f t="shared" si="66"/>
        <v>15.375428571428571</v>
      </c>
      <c r="AA149" s="41">
        <f t="shared" si="67"/>
        <v>94.436392016947266</v>
      </c>
      <c r="AB149" s="1">
        <v>8</v>
      </c>
      <c r="AC149" s="1">
        <v>15</v>
      </c>
      <c r="AD149" s="1">
        <v>3</v>
      </c>
      <c r="AE149" s="1">
        <v>90</v>
      </c>
      <c r="AF149" s="1">
        <v>10</v>
      </c>
      <c r="AG149" s="1">
        <v>5</v>
      </c>
      <c r="AH149" s="3">
        <f t="shared" si="68"/>
        <v>2.1284167650531285</v>
      </c>
      <c r="AI149" s="1">
        <v>6</v>
      </c>
      <c r="AJ149" s="1">
        <v>7.5</v>
      </c>
      <c r="AK149" s="159">
        <v>1</v>
      </c>
      <c r="AL149" s="150">
        <v>0.19</v>
      </c>
      <c r="AM149" s="1">
        <v>400</v>
      </c>
      <c r="AN149" s="1">
        <v>450</v>
      </c>
      <c r="AO149" s="48">
        <v>4</v>
      </c>
      <c r="AP149" s="44">
        <v>40</v>
      </c>
      <c r="AQ149" s="42">
        <v>0.78</v>
      </c>
      <c r="AR149" s="1">
        <v>50</v>
      </c>
      <c r="AS149" s="1">
        <v>10</v>
      </c>
      <c r="AT149" s="1">
        <v>1</v>
      </c>
      <c r="AU149" s="4">
        <f t="shared" si="69"/>
        <v>20</v>
      </c>
      <c r="AV149" s="3">
        <f t="shared" si="70"/>
        <v>40</v>
      </c>
      <c r="AW149" s="1">
        <v>85</v>
      </c>
      <c r="AX149" s="3">
        <f t="shared" si="71"/>
        <v>17</v>
      </c>
      <c r="AY149" s="1">
        <v>3</v>
      </c>
      <c r="AZ149" s="4">
        <f t="shared" si="72"/>
        <v>51</v>
      </c>
      <c r="BA149" s="49">
        <v>0.9</v>
      </c>
      <c r="BB149" s="4">
        <f t="shared" si="73"/>
        <v>45.9</v>
      </c>
      <c r="BC149" s="50">
        <v>0.06</v>
      </c>
      <c r="BD149" s="69">
        <f>IFERROR(
  MAX(0.05, MIN(0.5, CropNorms_FrenchBeans[[#This Row],[Leaf_Area_Per_Shoot_m2]] * CropNorms_FrenchBeans[[#This Row],[Shoot_Bearing_m2]] )),
  0.2
)</f>
        <v>0.5</v>
      </c>
      <c r="BE149" s="4">
        <f>_xlfn.XLOOKUP(CropNorms_FrenchBeans[[#This Row],[LAI_Start_BBCH]], CropPhenology_FrenchBeans[Sub_Stage], CropPhenology_FrenchBeans[Start_GDD], "Not Found")</f>
        <v>131</v>
      </c>
      <c r="BF149" s="3">
        <f>ROUND(CropNorms_FrenchBeans[[#This Row],[Shoot_Bearing_m2]]*CropNorms_FrenchBeans[[#This Row],[Leaf_Area_Per_Shoot_m2]],2)</f>
        <v>2.75</v>
      </c>
      <c r="BG149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H149" s="3">
        <f>IF(CropNorms_FrenchBeans[[#This Row],[Max_LAI]]&gt;=1.2, 0.85*CropNorms_FrenchBeans[[#This Row],[Max_LAI]], 1)</f>
        <v>2.3374999999999999</v>
      </c>
      <c r="BI149" s="41">
        <f>_xlfn.XLOOKUP(CropNorms_FrenchBeans[[#This Row],[LAI_End_BBCH]], CropPhenology_FrenchBeans[Sub_Stage], CropPhenology_FrenchBeans[End_GDD], "Not Found")</f>
        <v>1250</v>
      </c>
      <c r="BJ149" s="3" cm="1">
        <f t="array" ref="BJ149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K149" s="3" cm="1">
        <f t="array" ref="BK149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L149" s="3" cm="1">
        <f t="array" ref="BL149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M149" s="3" cm="1">
        <f t="array" ref="BM149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49" s="42">
        <v>0.35</v>
      </c>
      <c r="BO149" s="43">
        <v>0</v>
      </c>
      <c r="BP149" s="42">
        <v>2.29</v>
      </c>
      <c r="BQ149" s="43" t="s">
        <v>1798</v>
      </c>
      <c r="BR149" s="3" t="str" cm="1">
        <f t="array" ref="BR149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49" s="3" t="str" cm="1">
        <f t="array" ref="BS149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T149" s="3" t="str" cm="1">
        <f t="array" ref="BT149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49" s="3" t="str" cm="1">
        <f t="array" ref="BU149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49" s="48">
        <v>80</v>
      </c>
      <c r="BW149" s="1">
        <v>20</v>
      </c>
      <c r="BX149" s="44">
        <v>40</v>
      </c>
      <c r="BY149" s="51">
        <v>45945</v>
      </c>
      <c r="BZ149" s="5">
        <v>45976</v>
      </c>
      <c r="CA149" s="85">
        <v>0</v>
      </c>
      <c r="CB149" s="2">
        <v>0</v>
      </c>
      <c r="CC149" s="2">
        <v>1</v>
      </c>
      <c r="CD149" s="2">
        <v>1</v>
      </c>
      <c r="CE149" s="2">
        <v>1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O149" s="103"/>
      <c r="CP149" s="9"/>
      <c r="CQ149" s="10"/>
    </row>
    <row r="150" spans="2:95" x14ac:dyDescent="0.15">
      <c r="B150" s="36" t="s">
        <v>121</v>
      </c>
      <c r="C150" s="1" t="s">
        <v>126</v>
      </c>
      <c r="K150" s="1" t="s">
        <v>1765</v>
      </c>
      <c r="L150" s="1" t="s">
        <v>1750</v>
      </c>
      <c r="M150" s="1" t="s">
        <v>358</v>
      </c>
      <c r="N150" s="6">
        <v>10.5</v>
      </c>
      <c r="O150" s="1" t="s">
        <v>4</v>
      </c>
      <c r="P150" s="1">
        <v>200</v>
      </c>
      <c r="Q150" s="1">
        <v>10</v>
      </c>
      <c r="R150" s="1">
        <v>10</v>
      </c>
      <c r="S150" s="1">
        <v>25</v>
      </c>
      <c r="T150" s="1">
        <v>32</v>
      </c>
      <c r="U150" s="253">
        <v>4</v>
      </c>
      <c r="V150" s="1">
        <v>70</v>
      </c>
      <c r="W150" s="44">
        <v>125</v>
      </c>
      <c r="X150" s="40">
        <f>_xlfn.XLOOKUP("Ripening", CropPhenology_FrenchBeans[Main_Stage], CropPhenology_FrenchBeans[Start_GDD], "Not Found")</f>
        <v>1251</v>
      </c>
      <c r="Y150" s="4" cm="1">
        <f t="array" ref="Y150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Z150" s="3">
        <f t="shared" si="66"/>
        <v>15.375428571428571</v>
      </c>
      <c r="AA150" s="41">
        <f t="shared" si="67"/>
        <v>94.436392016947266</v>
      </c>
      <c r="AB150" s="1">
        <v>8</v>
      </c>
      <c r="AC150" s="1">
        <v>15</v>
      </c>
      <c r="AD150" s="1">
        <v>3</v>
      </c>
      <c r="AE150" s="1">
        <v>90</v>
      </c>
      <c r="AF150" s="1">
        <v>10</v>
      </c>
      <c r="AG150" s="1">
        <v>5</v>
      </c>
      <c r="AH150" s="3">
        <f t="shared" si="68"/>
        <v>2.1284167650531285</v>
      </c>
      <c r="AI150" s="1">
        <v>6</v>
      </c>
      <c r="AJ150" s="1">
        <v>7.5</v>
      </c>
      <c r="AK150" s="159">
        <v>1</v>
      </c>
      <c r="AL150" s="150">
        <v>0.19</v>
      </c>
      <c r="AM150" s="1">
        <v>400</v>
      </c>
      <c r="AN150" s="1">
        <v>450</v>
      </c>
      <c r="AO150" s="48">
        <v>4</v>
      </c>
      <c r="AP150" s="44">
        <v>40</v>
      </c>
      <c r="AQ150" s="42">
        <v>0.82</v>
      </c>
      <c r="AR150" s="1">
        <v>50</v>
      </c>
      <c r="AS150" s="1">
        <v>10</v>
      </c>
      <c r="AT150" s="1">
        <v>1</v>
      </c>
      <c r="AU150" s="4">
        <f t="shared" si="69"/>
        <v>20</v>
      </c>
      <c r="AV150" s="3">
        <f t="shared" si="70"/>
        <v>40</v>
      </c>
      <c r="AW150" s="1">
        <v>85</v>
      </c>
      <c r="AX150" s="3">
        <f t="shared" si="71"/>
        <v>17</v>
      </c>
      <c r="AY150" s="1">
        <v>3</v>
      </c>
      <c r="AZ150" s="4">
        <f t="shared" si="72"/>
        <v>51</v>
      </c>
      <c r="BA150" s="49">
        <v>0.9</v>
      </c>
      <c r="BB150" s="4">
        <f t="shared" si="73"/>
        <v>45.9</v>
      </c>
      <c r="BC150" s="50">
        <v>0.06</v>
      </c>
      <c r="BD150" s="69">
        <f>IFERROR(
  MAX(0.05, MIN(0.5, CropNorms_FrenchBeans[[#This Row],[Leaf_Area_Per_Shoot_m2]] * CropNorms_FrenchBeans[[#This Row],[Shoot_Bearing_m2]] )),
  0.2
)</f>
        <v>0.5</v>
      </c>
      <c r="BE150" s="4">
        <f>_xlfn.XLOOKUP(CropNorms_FrenchBeans[[#This Row],[LAI_Start_BBCH]], CropPhenology_FrenchBeans[Sub_Stage], CropPhenology_FrenchBeans[Start_GDD], "Not Found")</f>
        <v>131</v>
      </c>
      <c r="BF150" s="3">
        <f>ROUND(CropNorms_FrenchBeans[[#This Row],[Shoot_Bearing_m2]]*CropNorms_FrenchBeans[[#This Row],[Leaf_Area_Per_Shoot_m2]],2)</f>
        <v>2.75</v>
      </c>
      <c r="BG150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H150" s="3">
        <f>IF(CropNorms_FrenchBeans[[#This Row],[Max_LAI]]&gt;=1.2, 0.85*CropNorms_FrenchBeans[[#This Row],[Max_LAI]], 1)</f>
        <v>2.3374999999999999</v>
      </c>
      <c r="BI150" s="41">
        <f>_xlfn.XLOOKUP(CropNorms_FrenchBeans[[#This Row],[LAI_End_BBCH]], CropPhenology_FrenchBeans[Sub_Stage], CropPhenology_FrenchBeans[End_GDD], "Not Found")</f>
        <v>1250</v>
      </c>
      <c r="BJ150" s="3" cm="1">
        <f t="array" ref="BJ150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K150" s="3" cm="1">
        <f t="array" ref="BK150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L150" s="3" cm="1">
        <f t="array" ref="BL150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M150" s="3" cm="1">
        <f t="array" ref="BM150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0" s="42">
        <v>0.35</v>
      </c>
      <c r="BO150" s="43">
        <v>0</v>
      </c>
      <c r="BP150" s="42">
        <v>2.29</v>
      </c>
      <c r="BQ150" s="43" t="s">
        <v>1798</v>
      </c>
      <c r="BR150" s="3" t="str" cm="1">
        <f t="array" ref="BR150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0" s="3" t="str" cm="1">
        <f t="array" ref="BS150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T150" s="3" t="str" cm="1">
        <f t="array" ref="BT150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0" s="3" t="str" cm="1">
        <f t="array" ref="BU150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0" s="48">
        <v>80</v>
      </c>
      <c r="BW150" s="1">
        <v>20</v>
      </c>
      <c r="BX150" s="44">
        <v>40</v>
      </c>
      <c r="BY150" s="51">
        <v>45945</v>
      </c>
      <c r="BZ150" s="5">
        <v>45976</v>
      </c>
      <c r="CA150" s="85">
        <v>0</v>
      </c>
      <c r="CB150" s="2">
        <v>0</v>
      </c>
      <c r="CC150" s="2">
        <v>1</v>
      </c>
      <c r="CD150" s="2">
        <v>1</v>
      </c>
      <c r="CE150" s="2">
        <v>1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O150" s="103"/>
      <c r="CP150" s="9"/>
      <c r="CQ150" s="10"/>
    </row>
    <row r="151" spans="2:95" x14ac:dyDescent="0.15">
      <c r="B151" s="36" t="s">
        <v>121</v>
      </c>
      <c r="C151" s="1" t="s">
        <v>123</v>
      </c>
      <c r="K151" s="1" t="s">
        <v>1765</v>
      </c>
      <c r="L151" s="1" t="s">
        <v>1750</v>
      </c>
      <c r="M151" s="1" t="s">
        <v>358</v>
      </c>
      <c r="N151" s="6">
        <v>10.5</v>
      </c>
      <c r="O151" s="1" t="s">
        <v>2</v>
      </c>
      <c r="P151" s="1">
        <v>200</v>
      </c>
      <c r="Q151" s="1">
        <v>10</v>
      </c>
      <c r="R151" s="1">
        <v>10</v>
      </c>
      <c r="S151" s="1">
        <v>25</v>
      </c>
      <c r="T151" s="1">
        <v>32</v>
      </c>
      <c r="U151" s="253">
        <v>4</v>
      </c>
      <c r="V151" s="1">
        <v>70</v>
      </c>
      <c r="W151" s="44">
        <v>125</v>
      </c>
      <c r="X151" s="40">
        <f>_xlfn.XLOOKUP("Ripening", CropPhenology_FrenchBeans[Main_Stage], CropPhenology_FrenchBeans[Start_GDD], "Not Found")</f>
        <v>1251</v>
      </c>
      <c r="Y151" s="4" cm="1">
        <f t="array" ref="Y151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Z151" s="3">
        <f t="shared" si="66"/>
        <v>15.375428571428571</v>
      </c>
      <c r="AA151" s="41">
        <f t="shared" si="67"/>
        <v>94.436392016947266</v>
      </c>
      <c r="AB151" s="1">
        <v>8</v>
      </c>
      <c r="AC151" s="1">
        <v>15</v>
      </c>
      <c r="AD151" s="1">
        <v>3</v>
      </c>
      <c r="AE151" s="1">
        <v>90</v>
      </c>
      <c r="AF151" s="1">
        <v>10</v>
      </c>
      <c r="AG151" s="1">
        <v>5</v>
      </c>
      <c r="AH151" s="3">
        <f t="shared" si="68"/>
        <v>2.1284167650531285</v>
      </c>
      <c r="AI151" s="1">
        <v>6</v>
      </c>
      <c r="AJ151" s="1">
        <v>7.5</v>
      </c>
      <c r="AK151" s="159">
        <v>1</v>
      </c>
      <c r="AL151" s="150">
        <v>0.19</v>
      </c>
      <c r="AM151" s="1">
        <v>350</v>
      </c>
      <c r="AN151" s="1">
        <v>450</v>
      </c>
      <c r="AO151" s="48">
        <v>4</v>
      </c>
      <c r="AP151" s="44">
        <v>40</v>
      </c>
      <c r="AQ151" s="42">
        <v>0.7</v>
      </c>
      <c r="AR151" s="1">
        <v>50</v>
      </c>
      <c r="AS151" s="1">
        <v>10</v>
      </c>
      <c r="AT151" s="1">
        <v>1</v>
      </c>
      <c r="AU151" s="4">
        <f t="shared" si="69"/>
        <v>20</v>
      </c>
      <c r="AV151" s="3">
        <f t="shared" si="70"/>
        <v>40</v>
      </c>
      <c r="AW151" s="1">
        <v>85</v>
      </c>
      <c r="AX151" s="3">
        <f t="shared" si="71"/>
        <v>17</v>
      </c>
      <c r="AY151" s="1">
        <v>3</v>
      </c>
      <c r="AZ151" s="4">
        <f t="shared" si="72"/>
        <v>51</v>
      </c>
      <c r="BA151" s="49">
        <v>0.9</v>
      </c>
      <c r="BB151" s="4">
        <f t="shared" si="73"/>
        <v>45.9</v>
      </c>
      <c r="BC151" s="50">
        <v>0.06</v>
      </c>
      <c r="BD151" s="69">
        <f>IFERROR(
  MAX(0.05, MIN(0.5, CropNorms_FrenchBeans[[#This Row],[Leaf_Area_Per_Shoot_m2]] * CropNorms_FrenchBeans[[#This Row],[Shoot_Bearing_m2]] )),
  0.2
)</f>
        <v>0.5</v>
      </c>
      <c r="BE151" s="4">
        <f>_xlfn.XLOOKUP(CropNorms_FrenchBeans[[#This Row],[LAI_Start_BBCH]], CropPhenology_FrenchBeans[Sub_Stage], CropPhenology_FrenchBeans[Start_GDD], "Not Found")</f>
        <v>131</v>
      </c>
      <c r="BF151" s="3">
        <f>ROUND(CropNorms_FrenchBeans[[#This Row],[Shoot_Bearing_m2]]*CropNorms_FrenchBeans[[#This Row],[Leaf_Area_Per_Shoot_m2]],2)</f>
        <v>2.75</v>
      </c>
      <c r="BG151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H151" s="3">
        <f>IF(CropNorms_FrenchBeans[[#This Row],[Max_LAI]]&gt;=1.2, 0.85*CropNorms_FrenchBeans[[#This Row],[Max_LAI]], 1)</f>
        <v>2.3374999999999999</v>
      </c>
      <c r="BI151" s="41">
        <f>_xlfn.XLOOKUP(CropNorms_FrenchBeans[[#This Row],[LAI_End_BBCH]], CropPhenology_FrenchBeans[Sub_Stage], CropPhenology_FrenchBeans[End_GDD], "Not Found")</f>
        <v>1250</v>
      </c>
      <c r="BJ151" s="3" cm="1">
        <f t="array" ref="BJ151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K151" s="3" cm="1">
        <f t="array" ref="BK15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L151" s="3" cm="1">
        <f t="array" ref="BL151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M151" s="3" cm="1">
        <f t="array" ref="BM15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1" s="42">
        <v>0.35</v>
      </c>
      <c r="BO151" s="43">
        <v>0</v>
      </c>
      <c r="BP151" s="42">
        <v>1.51</v>
      </c>
      <c r="BQ151" s="43" t="s">
        <v>1798</v>
      </c>
      <c r="BR151" s="3" t="str" cm="1">
        <f t="array" ref="BR15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1" s="3" t="str" cm="1">
        <f t="array" ref="BS15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T151" s="3" t="str" cm="1">
        <f t="array" ref="BT151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1" s="3" t="str" cm="1">
        <f t="array" ref="BU151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1" s="48">
        <v>80</v>
      </c>
      <c r="BW151" s="1">
        <v>20</v>
      </c>
      <c r="BX151" s="44">
        <v>40</v>
      </c>
      <c r="BY151" s="51">
        <v>45945</v>
      </c>
      <c r="BZ151" s="5">
        <v>45976</v>
      </c>
      <c r="CA151" s="85">
        <v>0</v>
      </c>
      <c r="CB151" s="2">
        <v>0</v>
      </c>
      <c r="CC151" s="2">
        <v>1</v>
      </c>
      <c r="CD151" s="2">
        <v>1</v>
      </c>
      <c r="CE151" s="2">
        <v>1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O151" s="103"/>
      <c r="CP151" s="9"/>
      <c r="CQ151" s="10"/>
    </row>
    <row r="152" spans="2:95" x14ac:dyDescent="0.15">
      <c r="B152" s="36" t="s">
        <v>121</v>
      </c>
      <c r="C152" s="1" t="s">
        <v>125</v>
      </c>
      <c r="K152" s="1" t="s">
        <v>1765</v>
      </c>
      <c r="L152" s="1" t="s">
        <v>1750</v>
      </c>
      <c r="M152" s="1" t="s">
        <v>358</v>
      </c>
      <c r="N152" s="6">
        <v>10.5</v>
      </c>
      <c r="O152" s="1" t="s">
        <v>2</v>
      </c>
      <c r="P152" s="1">
        <v>200</v>
      </c>
      <c r="Q152" s="1">
        <v>10</v>
      </c>
      <c r="R152" s="1">
        <v>10</v>
      </c>
      <c r="S152" s="1">
        <v>25</v>
      </c>
      <c r="T152" s="1">
        <v>32</v>
      </c>
      <c r="U152" s="253">
        <v>4</v>
      </c>
      <c r="V152" s="1">
        <v>70</v>
      </c>
      <c r="W152" s="44">
        <v>125</v>
      </c>
      <c r="X152" s="40">
        <f>_xlfn.XLOOKUP("Ripening", CropPhenology_FrenchBeans[Main_Stage], CropPhenology_FrenchBeans[Start_GDD], "Not Found")</f>
        <v>1251</v>
      </c>
      <c r="Y152" s="4" cm="1">
        <f t="array" ref="Y152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Z152" s="3">
        <f t="shared" si="66"/>
        <v>15.375428571428571</v>
      </c>
      <c r="AA152" s="41">
        <f t="shared" si="67"/>
        <v>94.436392016947266</v>
      </c>
      <c r="AB152" s="1">
        <v>8</v>
      </c>
      <c r="AC152" s="1">
        <v>15</v>
      </c>
      <c r="AD152" s="1">
        <v>3</v>
      </c>
      <c r="AE152" s="1">
        <v>90</v>
      </c>
      <c r="AF152" s="1">
        <v>10</v>
      </c>
      <c r="AG152" s="1">
        <v>5</v>
      </c>
      <c r="AH152" s="3">
        <f t="shared" si="68"/>
        <v>2.1284167650531285</v>
      </c>
      <c r="AI152" s="1">
        <v>6</v>
      </c>
      <c r="AJ152" s="1">
        <v>7.5</v>
      </c>
      <c r="AK152" s="159">
        <v>1</v>
      </c>
      <c r="AL152" s="150">
        <v>0.19</v>
      </c>
      <c r="AM152" s="1">
        <v>350</v>
      </c>
      <c r="AN152" s="1">
        <v>450</v>
      </c>
      <c r="AO152" s="48">
        <v>4</v>
      </c>
      <c r="AP152" s="44">
        <v>40</v>
      </c>
      <c r="AQ152" s="42">
        <v>0.68</v>
      </c>
      <c r="AR152" s="1">
        <v>50</v>
      </c>
      <c r="AS152" s="1">
        <v>10</v>
      </c>
      <c r="AT152" s="1">
        <v>1</v>
      </c>
      <c r="AU152" s="4">
        <f t="shared" si="69"/>
        <v>20</v>
      </c>
      <c r="AV152" s="3">
        <f t="shared" si="70"/>
        <v>40</v>
      </c>
      <c r="AW152" s="1">
        <v>85</v>
      </c>
      <c r="AX152" s="3">
        <f t="shared" si="71"/>
        <v>17</v>
      </c>
      <c r="AY152" s="1">
        <v>3</v>
      </c>
      <c r="AZ152" s="4">
        <f t="shared" si="72"/>
        <v>51</v>
      </c>
      <c r="BA152" s="49">
        <v>0.9</v>
      </c>
      <c r="BB152" s="4">
        <f t="shared" si="73"/>
        <v>45.9</v>
      </c>
      <c r="BC152" s="50">
        <v>0.06</v>
      </c>
      <c r="BD152" s="69">
        <f>IFERROR(
  MAX(0.05, MIN(0.5, CropNorms_FrenchBeans[[#This Row],[Leaf_Area_Per_Shoot_m2]] * CropNorms_FrenchBeans[[#This Row],[Shoot_Bearing_m2]] )),
  0.2
)</f>
        <v>0.5</v>
      </c>
      <c r="BE152" s="4">
        <f>_xlfn.XLOOKUP(CropNorms_FrenchBeans[[#This Row],[LAI_Start_BBCH]], CropPhenology_FrenchBeans[Sub_Stage], CropPhenology_FrenchBeans[Start_GDD], "Not Found")</f>
        <v>131</v>
      </c>
      <c r="BF152" s="3">
        <f>ROUND(CropNorms_FrenchBeans[[#This Row],[Shoot_Bearing_m2]]*CropNorms_FrenchBeans[[#This Row],[Leaf_Area_Per_Shoot_m2]],2)</f>
        <v>2.75</v>
      </c>
      <c r="BG152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H152" s="3">
        <f>IF(CropNorms_FrenchBeans[[#This Row],[Max_LAI]]&gt;=1.2, 0.85*CropNorms_FrenchBeans[[#This Row],[Max_LAI]], 1)</f>
        <v>2.3374999999999999</v>
      </c>
      <c r="BI152" s="41">
        <f>_xlfn.XLOOKUP(CropNorms_FrenchBeans[[#This Row],[LAI_End_BBCH]], CropPhenology_FrenchBeans[Sub_Stage], CropPhenology_FrenchBeans[End_GDD], "Not Found")</f>
        <v>1250</v>
      </c>
      <c r="BJ152" s="3" cm="1">
        <f t="array" ref="BJ152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K152" s="3" cm="1">
        <f t="array" ref="BK152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L152" s="3" cm="1">
        <f t="array" ref="BL152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M152" s="3" cm="1">
        <f t="array" ref="BM152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2" s="42">
        <v>0.35</v>
      </c>
      <c r="BO152" s="43">
        <v>0</v>
      </c>
      <c r="BP152" s="42">
        <v>1.51</v>
      </c>
      <c r="BQ152" s="43" t="s">
        <v>1798</v>
      </c>
      <c r="BR152" s="3" t="str" cm="1">
        <f t="array" ref="BR152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2" s="3" t="str" cm="1">
        <f t="array" ref="BS152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T152" s="3" t="str" cm="1">
        <f t="array" ref="BT152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2" s="3" t="str" cm="1">
        <f t="array" ref="BU152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2" s="48">
        <v>80</v>
      </c>
      <c r="BW152" s="1">
        <v>20</v>
      </c>
      <c r="BX152" s="44">
        <v>40</v>
      </c>
      <c r="BY152" s="51">
        <v>45945</v>
      </c>
      <c r="BZ152" s="5">
        <v>45976</v>
      </c>
      <c r="CA152" s="85">
        <v>0</v>
      </c>
      <c r="CB152" s="2">
        <v>0</v>
      </c>
      <c r="CC152" s="2">
        <v>1</v>
      </c>
      <c r="CD152" s="2">
        <v>1</v>
      </c>
      <c r="CE152" s="2">
        <v>1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O152" s="103"/>
      <c r="CP152" s="9"/>
      <c r="CQ152" s="10"/>
    </row>
    <row r="153" spans="2:95" ht="11.25" thickBot="1" x14ac:dyDescent="0.2">
      <c r="B153" s="36" t="s">
        <v>121</v>
      </c>
      <c r="C153" s="1" t="s">
        <v>127</v>
      </c>
      <c r="K153" s="1" t="s">
        <v>1765</v>
      </c>
      <c r="L153" s="1" t="s">
        <v>1750</v>
      </c>
      <c r="M153" s="1" t="s">
        <v>358</v>
      </c>
      <c r="N153" s="6">
        <v>10.5</v>
      </c>
      <c r="O153" s="1" t="s">
        <v>2</v>
      </c>
      <c r="P153" s="1">
        <v>200</v>
      </c>
      <c r="Q153" s="1">
        <v>10</v>
      </c>
      <c r="R153" s="1">
        <v>10</v>
      </c>
      <c r="S153" s="1">
        <v>25</v>
      </c>
      <c r="T153" s="1">
        <v>32</v>
      </c>
      <c r="U153" s="254">
        <v>4</v>
      </c>
      <c r="V153" s="1">
        <v>70</v>
      </c>
      <c r="W153" s="44">
        <v>125</v>
      </c>
      <c r="X153" s="40">
        <f>_xlfn.XLOOKUP("Ripening", CropPhenology_FrenchBeans[Main_Stage], CropPhenology_FrenchBeans[Start_GDD], "Not Found")</f>
        <v>1251</v>
      </c>
      <c r="Y153" s="4" cm="1">
        <f t="array" ref="Y153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Z153" s="3">
        <f t="shared" si="66"/>
        <v>15.375428571428571</v>
      </c>
      <c r="AA153" s="41">
        <f t="shared" si="67"/>
        <v>94.436392016947266</v>
      </c>
      <c r="AB153" s="1">
        <v>8</v>
      </c>
      <c r="AC153" s="1">
        <v>15</v>
      </c>
      <c r="AD153" s="1">
        <v>3</v>
      </c>
      <c r="AE153" s="1">
        <v>90</v>
      </c>
      <c r="AF153" s="1">
        <v>10</v>
      </c>
      <c r="AG153" s="1">
        <v>5</v>
      </c>
      <c r="AH153" s="3">
        <f t="shared" si="68"/>
        <v>2.1284167650531285</v>
      </c>
      <c r="AI153" s="1">
        <v>6</v>
      </c>
      <c r="AJ153" s="1">
        <v>7.5</v>
      </c>
      <c r="AK153" s="160">
        <v>1</v>
      </c>
      <c r="AL153" s="161">
        <v>0.19</v>
      </c>
      <c r="AM153" s="1">
        <v>350</v>
      </c>
      <c r="AN153" s="1">
        <v>450</v>
      </c>
      <c r="AO153" s="48">
        <v>4</v>
      </c>
      <c r="AP153" s="44">
        <v>40</v>
      </c>
      <c r="AQ153" s="42">
        <v>0.72</v>
      </c>
      <c r="AR153" s="1">
        <v>50</v>
      </c>
      <c r="AS153" s="1">
        <v>10</v>
      </c>
      <c r="AT153" s="1">
        <v>1</v>
      </c>
      <c r="AU153" s="4">
        <f t="shared" si="69"/>
        <v>20</v>
      </c>
      <c r="AV153" s="3">
        <f t="shared" si="70"/>
        <v>40</v>
      </c>
      <c r="AW153" s="1">
        <v>85</v>
      </c>
      <c r="AX153" s="3">
        <f t="shared" si="71"/>
        <v>17</v>
      </c>
      <c r="AY153" s="1">
        <v>3</v>
      </c>
      <c r="AZ153" s="4">
        <f t="shared" si="72"/>
        <v>51</v>
      </c>
      <c r="BA153" s="49">
        <v>0.9</v>
      </c>
      <c r="BB153" s="4">
        <f t="shared" si="73"/>
        <v>45.9</v>
      </c>
      <c r="BC153" s="50">
        <v>0.06</v>
      </c>
      <c r="BD153" s="69">
        <f>IFERROR(
  MAX(0.05, MIN(0.5, CropNorms_FrenchBeans[[#This Row],[Leaf_Area_Per_Shoot_m2]] * CropNorms_FrenchBeans[[#This Row],[Shoot_Bearing_m2]] )),
  0.2
)</f>
        <v>0.5</v>
      </c>
      <c r="BE153" s="4">
        <f>_xlfn.XLOOKUP(CropNorms_FrenchBeans[[#This Row],[LAI_Start_BBCH]], CropPhenology_FrenchBeans[Sub_Stage], CropPhenology_FrenchBeans[Start_GDD], "Not Found")</f>
        <v>131</v>
      </c>
      <c r="BF153" s="3">
        <f>ROUND(CropNorms_FrenchBeans[[#This Row],[Shoot_Bearing_m2]]*CropNorms_FrenchBeans[[#This Row],[Leaf_Area_Per_Shoot_m2]],2)</f>
        <v>2.75</v>
      </c>
      <c r="BG153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H153" s="3">
        <f>IF(CropNorms_FrenchBeans[[#This Row],[Max_LAI]]&gt;=1.2, 0.85*CropNorms_FrenchBeans[[#This Row],[Max_LAI]], 1)</f>
        <v>2.3374999999999999</v>
      </c>
      <c r="BI153" s="41">
        <f>_xlfn.XLOOKUP(CropNorms_FrenchBeans[[#This Row],[LAI_End_BBCH]], CropPhenology_FrenchBeans[Sub_Stage], CropPhenology_FrenchBeans[End_GDD], "Not Found")</f>
        <v>1250</v>
      </c>
      <c r="BJ153" s="3" cm="1">
        <f t="array" ref="BJ153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K153" s="3" cm="1">
        <f t="array" ref="BK153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L153" s="3" cm="1">
        <f t="array" ref="BL153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M153" s="3" cm="1">
        <f t="array" ref="BM153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3" s="42">
        <v>0.35</v>
      </c>
      <c r="BO153" s="43">
        <v>0</v>
      </c>
      <c r="BP153" s="42">
        <v>1.51</v>
      </c>
      <c r="BQ153" s="43" t="s">
        <v>1798</v>
      </c>
      <c r="BR153" s="3" t="str" cm="1">
        <f t="array" ref="BR153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3" s="3" t="str" cm="1">
        <f t="array" ref="BS153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T153" s="3" t="str" cm="1">
        <f t="array" ref="BT153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3" s="3" t="str" cm="1">
        <f t="array" ref="BU153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3" s="48">
        <v>80</v>
      </c>
      <c r="BW153" s="1">
        <v>20</v>
      </c>
      <c r="BX153" s="44">
        <v>40</v>
      </c>
      <c r="BY153" s="51">
        <v>45945</v>
      </c>
      <c r="BZ153" s="5">
        <v>45976</v>
      </c>
      <c r="CA153" s="85">
        <v>0</v>
      </c>
      <c r="CB153" s="2">
        <v>0</v>
      </c>
      <c r="CC153" s="2">
        <v>1</v>
      </c>
      <c r="CD153" s="2">
        <v>1</v>
      </c>
      <c r="CE153" s="2">
        <v>1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O153" s="103"/>
      <c r="CP153" s="9"/>
      <c r="CQ153" s="10"/>
    </row>
    <row r="154" spans="2:95" ht="11.25" thickBot="1" x14ac:dyDescent="0.2">
      <c r="Y154" s="3"/>
      <c r="Z154" s="4"/>
      <c r="AG154" s="3"/>
      <c r="AR154" s="4"/>
      <c r="AS154" s="3"/>
      <c r="AU154" s="3"/>
      <c r="AW154" s="4"/>
      <c r="AX154" s="49"/>
      <c r="AY154" s="4"/>
      <c r="BV154" s="51"/>
      <c r="BW154" s="51"/>
      <c r="CO154" s="103"/>
      <c r="CP154" s="9"/>
      <c r="CQ154" s="10"/>
    </row>
    <row r="155" spans="2:95" ht="11.25" thickBot="1" x14ac:dyDescent="0.2">
      <c r="B155" s="54" t="s">
        <v>1753</v>
      </c>
      <c r="C155" s="53" t="s">
        <v>1754</v>
      </c>
      <c r="D155" s="53" t="s">
        <v>1804</v>
      </c>
      <c r="E155" s="53" t="s">
        <v>1805</v>
      </c>
      <c r="F155" s="53" t="s">
        <v>1806</v>
      </c>
      <c r="G155" s="53" t="s">
        <v>1807</v>
      </c>
      <c r="H155" s="53" t="s">
        <v>1808</v>
      </c>
      <c r="I155" s="53" t="s">
        <v>1809</v>
      </c>
      <c r="J155" s="53" t="s">
        <v>1810</v>
      </c>
      <c r="K155" s="53" t="s">
        <v>1747</v>
      </c>
      <c r="L155" s="54" t="s">
        <v>1749</v>
      </c>
      <c r="M155" s="53" t="s">
        <v>357</v>
      </c>
      <c r="N155" s="55" t="s">
        <v>692</v>
      </c>
      <c r="O155" s="53" t="s">
        <v>325</v>
      </c>
      <c r="P155" s="53" t="s">
        <v>356</v>
      </c>
      <c r="Q155" s="53" t="s">
        <v>326</v>
      </c>
      <c r="R155" s="53" t="s">
        <v>327</v>
      </c>
      <c r="S155" s="53" t="s">
        <v>328</v>
      </c>
      <c r="T155" s="53" t="s">
        <v>329</v>
      </c>
      <c r="U155" s="250" t="s">
        <v>2349</v>
      </c>
      <c r="V155" s="53" t="s">
        <v>330</v>
      </c>
      <c r="W155" s="53" t="s">
        <v>331</v>
      </c>
      <c r="X155" s="56" t="s">
        <v>354</v>
      </c>
      <c r="Y155" s="57" t="s">
        <v>355</v>
      </c>
      <c r="Z155" s="58" t="s">
        <v>413</v>
      </c>
      <c r="AA155" s="59" t="s">
        <v>583</v>
      </c>
      <c r="AB155" s="53" t="s">
        <v>324</v>
      </c>
      <c r="AC155" s="53" t="s">
        <v>332</v>
      </c>
      <c r="AD155" s="53" t="s">
        <v>333</v>
      </c>
      <c r="AE155" s="53" t="s">
        <v>334</v>
      </c>
      <c r="AF155" s="53" t="s">
        <v>335</v>
      </c>
      <c r="AG155" s="53" t="s">
        <v>336</v>
      </c>
      <c r="AH155" s="60" t="s">
        <v>337</v>
      </c>
      <c r="AI155" s="53" t="s">
        <v>338</v>
      </c>
      <c r="AJ155" s="53" t="s">
        <v>339</v>
      </c>
      <c r="AK155" s="157" t="s">
        <v>2346</v>
      </c>
      <c r="AL155" s="158" t="s">
        <v>2347</v>
      </c>
      <c r="AM155" s="53" t="s">
        <v>340</v>
      </c>
      <c r="AN155" s="53" t="s">
        <v>341</v>
      </c>
      <c r="AO155" s="61" t="s">
        <v>342</v>
      </c>
      <c r="AP155" s="62" t="s">
        <v>343</v>
      </c>
      <c r="AQ155" s="55" t="s">
        <v>344</v>
      </c>
      <c r="AR155" s="53" t="s">
        <v>345</v>
      </c>
      <c r="AS155" s="53" t="s">
        <v>346</v>
      </c>
      <c r="AT155" s="53" t="s">
        <v>364</v>
      </c>
      <c r="AU155" s="60" t="s">
        <v>347</v>
      </c>
      <c r="AV155" s="58" t="s">
        <v>363</v>
      </c>
      <c r="AW155" s="53" t="s">
        <v>348</v>
      </c>
      <c r="AX155" s="58" t="s">
        <v>349</v>
      </c>
      <c r="AY155" s="53" t="s">
        <v>366</v>
      </c>
      <c r="AZ155" s="60" t="s">
        <v>350</v>
      </c>
      <c r="BA155" s="53" t="s">
        <v>365</v>
      </c>
      <c r="BB155" s="60" t="s">
        <v>1827</v>
      </c>
      <c r="BC155" s="63" t="s">
        <v>351</v>
      </c>
      <c r="BD155" s="71" t="s">
        <v>1811</v>
      </c>
      <c r="BE155" s="57" t="s">
        <v>352</v>
      </c>
      <c r="BF155" s="58" t="s">
        <v>1812</v>
      </c>
      <c r="BG155" s="57" t="s">
        <v>1752</v>
      </c>
      <c r="BH155" s="60" t="s">
        <v>1813</v>
      </c>
      <c r="BI155" s="59" t="s">
        <v>353</v>
      </c>
      <c r="BJ155" s="71" t="s">
        <v>1828</v>
      </c>
      <c r="BK155" s="58" t="s">
        <v>1829</v>
      </c>
      <c r="BL155" s="58" t="s">
        <v>1830</v>
      </c>
      <c r="BM155" s="72" t="s">
        <v>1831</v>
      </c>
      <c r="BN155" s="64" t="s">
        <v>1154</v>
      </c>
      <c r="BO155" s="65" t="s">
        <v>1742</v>
      </c>
      <c r="BP155" s="64" t="s">
        <v>1155</v>
      </c>
      <c r="BQ155" s="65" t="s">
        <v>1755</v>
      </c>
      <c r="BR155" s="58" t="s">
        <v>367</v>
      </c>
      <c r="BS155" s="58" t="s">
        <v>1751</v>
      </c>
      <c r="BT155" s="58" t="s">
        <v>368</v>
      </c>
      <c r="BU155" s="60" t="s">
        <v>1814</v>
      </c>
      <c r="BV155" s="61" t="s">
        <v>369</v>
      </c>
      <c r="BW155" s="53" t="s">
        <v>370</v>
      </c>
      <c r="BX155" s="62" t="s">
        <v>371</v>
      </c>
      <c r="BY155" s="53" t="s">
        <v>359</v>
      </c>
      <c r="BZ155" s="53" t="s">
        <v>361</v>
      </c>
      <c r="CA155" s="61" t="s">
        <v>1815</v>
      </c>
      <c r="CB155" s="53" t="s">
        <v>1816</v>
      </c>
      <c r="CC155" s="53" t="s">
        <v>1817</v>
      </c>
      <c r="CD155" s="53" t="s">
        <v>1818</v>
      </c>
      <c r="CE155" s="53" t="s">
        <v>1819</v>
      </c>
      <c r="CF155" s="53" t="s">
        <v>1820</v>
      </c>
      <c r="CG155" s="53" t="s">
        <v>1821</v>
      </c>
      <c r="CH155" s="53" t="s">
        <v>1822</v>
      </c>
      <c r="CI155" s="53" t="s">
        <v>1823</v>
      </c>
      <c r="CJ155" s="53" t="s">
        <v>1824</v>
      </c>
      <c r="CK155" s="53" t="s">
        <v>1825</v>
      </c>
      <c r="CL155" s="53" t="s">
        <v>1826</v>
      </c>
      <c r="CO155" s="103"/>
      <c r="CP155" s="9"/>
      <c r="CQ155" s="10"/>
    </row>
    <row r="156" spans="2:95" x14ac:dyDescent="0.15">
      <c r="B156" s="36" t="s">
        <v>128</v>
      </c>
      <c r="C156" s="1" t="s">
        <v>129</v>
      </c>
      <c r="K156" s="1" t="s">
        <v>1765</v>
      </c>
      <c r="L156" s="1" t="s">
        <v>1750</v>
      </c>
      <c r="M156" s="1" t="s">
        <v>358</v>
      </c>
      <c r="N156" s="6">
        <v>10.5</v>
      </c>
      <c r="O156" s="1" t="s">
        <v>4</v>
      </c>
      <c r="P156" s="1">
        <v>200</v>
      </c>
      <c r="Q156" s="1">
        <v>10</v>
      </c>
      <c r="R156" s="1">
        <v>10</v>
      </c>
      <c r="S156" s="1">
        <v>25</v>
      </c>
      <c r="T156" s="1">
        <v>32</v>
      </c>
      <c r="U156" s="253">
        <v>5</v>
      </c>
      <c r="V156" s="1">
        <v>85</v>
      </c>
      <c r="W156" s="44">
        <v>130</v>
      </c>
      <c r="X156" s="40">
        <f>_xlfn.XLOOKUP("Ripening", CropPhenology_KidneyBeans[Main_Stage], CropPhenology_KidneyBeans[Start_GDD], "Not Found")</f>
        <v>1181</v>
      </c>
      <c r="Y156" s="4" cm="1">
        <f t="array" ref="Y156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56" s="3">
        <f t="shared" ref="Z156:Z163" si="74">MIN(Y156/V156,MAX(X156/W156,R156,(X156/W156+Y156/V156)/2))</f>
        <v>13.13054298642534</v>
      </c>
      <c r="AA156" s="41">
        <f t="shared" ref="AA156:AA163" si="75">Y156/Z156</f>
        <v>111.19113668866413</v>
      </c>
      <c r="AB156" s="1">
        <v>8</v>
      </c>
      <c r="AC156" s="1">
        <v>15</v>
      </c>
      <c r="AD156" s="1">
        <v>4</v>
      </c>
      <c r="AE156" s="1">
        <v>90</v>
      </c>
      <c r="AF156" s="1">
        <v>5</v>
      </c>
      <c r="AG156" s="1">
        <v>5</v>
      </c>
      <c r="AH156" s="3">
        <f t="shared" ref="AH156:AH163" si="76">IFERROR((Y156-X156)/AA156,0)</f>
        <v>2.5091928035703215</v>
      </c>
      <c r="AI156" s="1">
        <v>6</v>
      </c>
      <c r="AJ156" s="1">
        <v>7</v>
      </c>
      <c r="AK156" s="159">
        <v>1</v>
      </c>
      <c r="AL156" s="150">
        <v>0.19</v>
      </c>
      <c r="AM156" s="1">
        <v>300</v>
      </c>
      <c r="AN156" s="1">
        <v>450</v>
      </c>
      <c r="AO156" s="48">
        <v>4</v>
      </c>
      <c r="AP156" s="44">
        <v>450</v>
      </c>
      <c r="AQ156" s="42">
        <v>0.8</v>
      </c>
      <c r="AR156" s="1">
        <v>45</v>
      </c>
      <c r="AS156" s="1">
        <v>10</v>
      </c>
      <c r="AT156" s="1">
        <v>1</v>
      </c>
      <c r="AU156" s="4">
        <f t="shared" ref="AU156:AU163" si="77">IFERROR(10000/(AS156*AR156),0)*AT156</f>
        <v>22.222222222222221</v>
      </c>
      <c r="AV156" s="3">
        <f t="shared" ref="AV156:AV163" si="78">ROUND((P156/1000000)*AU156*10000,2)</f>
        <v>44.44</v>
      </c>
      <c r="AW156" s="1">
        <v>85</v>
      </c>
      <c r="AX156" s="3">
        <f t="shared" ref="AX156:AX163" si="79">IFERROR((AU156*AW156/100),0)</f>
        <v>18.888888888888889</v>
      </c>
      <c r="AY156" s="1">
        <v>3</v>
      </c>
      <c r="AZ156" s="4">
        <f t="shared" ref="AZ156:AZ163" si="80">IFERROR(AX156*AY156,0)</f>
        <v>56.666666666666671</v>
      </c>
      <c r="BA156" s="49">
        <v>0.9</v>
      </c>
      <c r="BB156" s="4">
        <f t="shared" ref="BB156:BB163" si="81">IFERROR(AZ156*BA156,0)</f>
        <v>51.000000000000007</v>
      </c>
      <c r="BC156" s="50">
        <v>0.06</v>
      </c>
      <c r="BD156" s="69">
        <f>IFERROR(
  MAX(0.05, MIN(0.5, CropNorms_KidneyBeans[[#This Row],[Leaf_Area_Per_Shoot_m2]] * CropNorms_KidneyBeans[[#This Row],[Shoot_Bearing_m2]] )),
  0.2
)</f>
        <v>0.5</v>
      </c>
      <c r="BE156" s="4">
        <f>_xlfn.XLOOKUP(CropNorms_KidneyBeans[[#This Row],[LAI_Start_BBCH]], CropPhenology_KidneyBeans[Sub_Stage], CropPhenology_KidneyBeans[Start_GDD], "Not Found")</f>
        <v>141</v>
      </c>
      <c r="BF156" s="3">
        <f>ROUND(CropNorms_KidneyBeans[[#This Row],[Shoot_Bearing_m2]]*CropNorms_KidneyBeans[[#This Row],[Leaf_Area_Per_Shoot_m2]],2)</f>
        <v>3.06</v>
      </c>
      <c r="BG156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56" s="3">
        <f>IF(CropNorms_KidneyBeans[[#This Row],[Max_LAI]]&gt;=1.2, 0.85*CropNorms_KidneyBeans[[#This Row],[Max_LAI]], 1)</f>
        <v>2.601</v>
      </c>
      <c r="BI156" s="41">
        <f>_xlfn.XLOOKUP(CropNorms_KidneyBeans[[#This Row],[LAI_End_BBCH]], CropPhenology_KidneyBeans[Sub_Stage], CropPhenology_KidneyBeans[End_GDD], "Not Found")</f>
        <v>1180</v>
      </c>
      <c r="BJ156" s="3" cm="1">
        <f t="array" ref="BJ156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56" s="3" cm="1">
        <f t="array" ref="BK156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56" s="3" cm="1">
        <f t="array" ref="BL156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56" s="3" cm="1">
        <f t="array" ref="BM156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6" s="42">
        <v>0.4</v>
      </c>
      <c r="BO156" s="43">
        <v>0</v>
      </c>
      <c r="BP156" s="42">
        <v>3.76</v>
      </c>
      <c r="BQ156" s="43" t="s">
        <v>1795</v>
      </c>
      <c r="BR156" s="3" t="str" cm="1">
        <f t="array" ref="BR156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6" s="3" t="str" cm="1">
        <f t="array" ref="BS156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56" s="3" t="str" cm="1">
        <f t="array" ref="BT156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6" s="3" t="str" cm="1">
        <f t="array" ref="BU156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6" s="48">
        <v>20</v>
      </c>
      <c r="BW156" s="1">
        <v>40</v>
      </c>
      <c r="BX156" s="44">
        <v>30</v>
      </c>
      <c r="BY156" s="51">
        <v>45945</v>
      </c>
      <c r="BZ156" s="5">
        <v>45976</v>
      </c>
      <c r="CA156" s="85">
        <v>0</v>
      </c>
      <c r="CB156" s="2">
        <v>0</v>
      </c>
      <c r="CC156" s="2">
        <v>1</v>
      </c>
      <c r="CD156" s="2">
        <v>1</v>
      </c>
      <c r="CE156" s="2">
        <v>1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O156" s="103"/>
      <c r="CP156" s="9"/>
      <c r="CQ156" s="10"/>
    </row>
    <row r="157" spans="2:95" x14ac:dyDescent="0.15">
      <c r="B157" s="36" t="s">
        <v>128</v>
      </c>
      <c r="C157" s="1" t="s">
        <v>131</v>
      </c>
      <c r="K157" s="1" t="s">
        <v>1765</v>
      </c>
      <c r="L157" s="1" t="s">
        <v>1750</v>
      </c>
      <c r="M157" s="1" t="s">
        <v>358</v>
      </c>
      <c r="N157" s="6">
        <v>10.5</v>
      </c>
      <c r="O157" s="1" t="s">
        <v>4</v>
      </c>
      <c r="P157" s="1">
        <v>200</v>
      </c>
      <c r="Q157" s="1">
        <v>10</v>
      </c>
      <c r="R157" s="1">
        <v>10</v>
      </c>
      <c r="S157" s="1">
        <v>25</v>
      </c>
      <c r="T157" s="1">
        <v>32</v>
      </c>
      <c r="U157" s="253">
        <v>5</v>
      </c>
      <c r="V157" s="1">
        <v>85</v>
      </c>
      <c r="W157" s="44">
        <v>130</v>
      </c>
      <c r="X157" s="40">
        <f>_xlfn.XLOOKUP("Ripening", CropPhenology_KidneyBeans[Main_Stage], CropPhenology_KidneyBeans[Start_GDD], "Not Found")</f>
        <v>1181</v>
      </c>
      <c r="Y157" s="4" cm="1">
        <f t="array" ref="Y157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57" s="3">
        <f t="shared" si="74"/>
        <v>13.13054298642534</v>
      </c>
      <c r="AA157" s="41">
        <f t="shared" si="75"/>
        <v>111.19113668866413</v>
      </c>
      <c r="AB157" s="1">
        <v>8</v>
      </c>
      <c r="AC157" s="1">
        <v>15</v>
      </c>
      <c r="AD157" s="1">
        <v>4</v>
      </c>
      <c r="AE157" s="1">
        <v>90</v>
      </c>
      <c r="AF157" s="1">
        <v>5</v>
      </c>
      <c r="AG157" s="1">
        <v>5</v>
      </c>
      <c r="AH157" s="3">
        <f t="shared" si="76"/>
        <v>2.5091928035703215</v>
      </c>
      <c r="AI157" s="1">
        <v>6</v>
      </c>
      <c r="AJ157" s="1">
        <v>7</v>
      </c>
      <c r="AK157" s="159">
        <v>1</v>
      </c>
      <c r="AL157" s="150">
        <v>0.19</v>
      </c>
      <c r="AM157" s="1">
        <v>300</v>
      </c>
      <c r="AN157" s="1">
        <v>450</v>
      </c>
      <c r="AO157" s="48">
        <v>4</v>
      </c>
      <c r="AP157" s="44">
        <v>450</v>
      </c>
      <c r="AQ157" s="42">
        <v>0.85</v>
      </c>
      <c r="AR157" s="1">
        <v>45</v>
      </c>
      <c r="AS157" s="1">
        <v>10</v>
      </c>
      <c r="AT157" s="1">
        <v>1</v>
      </c>
      <c r="AU157" s="4">
        <f t="shared" si="77"/>
        <v>22.222222222222221</v>
      </c>
      <c r="AV157" s="3">
        <f t="shared" si="78"/>
        <v>44.44</v>
      </c>
      <c r="AW157" s="1">
        <v>85</v>
      </c>
      <c r="AX157" s="3">
        <f t="shared" si="79"/>
        <v>18.888888888888889</v>
      </c>
      <c r="AY157" s="1">
        <v>3</v>
      </c>
      <c r="AZ157" s="4">
        <f t="shared" si="80"/>
        <v>56.666666666666671</v>
      </c>
      <c r="BA157" s="49">
        <v>0.9</v>
      </c>
      <c r="BB157" s="4">
        <f t="shared" si="81"/>
        <v>51.000000000000007</v>
      </c>
      <c r="BC157" s="50">
        <v>0.06</v>
      </c>
      <c r="BD157" s="69">
        <f>IFERROR(
  MAX(0.05, MIN(0.5, CropNorms_KidneyBeans[[#This Row],[Leaf_Area_Per_Shoot_m2]] * CropNorms_KidneyBeans[[#This Row],[Shoot_Bearing_m2]] )),
  0.2
)</f>
        <v>0.5</v>
      </c>
      <c r="BE157" s="4">
        <f>_xlfn.XLOOKUP(CropNorms_KidneyBeans[[#This Row],[LAI_Start_BBCH]], CropPhenology_KidneyBeans[Sub_Stage], CropPhenology_KidneyBeans[Start_GDD], "Not Found")</f>
        <v>141</v>
      </c>
      <c r="BF157" s="3">
        <f>ROUND(CropNorms_KidneyBeans[[#This Row],[Shoot_Bearing_m2]]*CropNorms_KidneyBeans[[#This Row],[Leaf_Area_Per_Shoot_m2]],2)</f>
        <v>3.06</v>
      </c>
      <c r="BG157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57" s="3">
        <f>IF(CropNorms_KidneyBeans[[#This Row],[Max_LAI]]&gt;=1.2, 0.85*CropNorms_KidneyBeans[[#This Row],[Max_LAI]], 1)</f>
        <v>2.601</v>
      </c>
      <c r="BI157" s="41">
        <f>_xlfn.XLOOKUP(CropNorms_KidneyBeans[[#This Row],[LAI_End_BBCH]], CropPhenology_KidneyBeans[Sub_Stage], CropPhenology_KidneyBeans[End_GDD], "Not Found")</f>
        <v>1180</v>
      </c>
      <c r="BJ157" s="3" cm="1">
        <f t="array" ref="BJ157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57" s="3" cm="1">
        <f t="array" ref="BK157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57" s="3" cm="1">
        <f t="array" ref="BL157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57" s="3" cm="1">
        <f t="array" ref="BM157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7" s="42">
        <v>0.4</v>
      </c>
      <c r="BO157" s="43">
        <v>0</v>
      </c>
      <c r="BP157" s="42">
        <v>3.76</v>
      </c>
      <c r="BQ157" s="43" t="s">
        <v>1795</v>
      </c>
      <c r="BR157" s="3" t="str" cm="1">
        <f t="array" ref="BR157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7" s="3" t="str" cm="1">
        <f t="array" ref="BS157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57" s="3" t="str" cm="1">
        <f t="array" ref="BT157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7" s="3" t="str" cm="1">
        <f t="array" ref="BU157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7" s="48">
        <v>20</v>
      </c>
      <c r="BW157" s="1">
        <v>40</v>
      </c>
      <c r="BX157" s="44">
        <v>30</v>
      </c>
      <c r="BY157" s="51">
        <v>45945</v>
      </c>
      <c r="BZ157" s="5">
        <v>45976</v>
      </c>
      <c r="CA157" s="85">
        <v>0</v>
      </c>
      <c r="CB157" s="2">
        <v>0</v>
      </c>
      <c r="CC157" s="2">
        <v>1</v>
      </c>
      <c r="CD157" s="2">
        <v>1</v>
      </c>
      <c r="CE157" s="2">
        <v>1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O157" s="103"/>
      <c r="CP157" s="9"/>
      <c r="CQ157" s="10"/>
    </row>
    <row r="158" spans="2:95" x14ac:dyDescent="0.15">
      <c r="B158" s="36" t="s">
        <v>128</v>
      </c>
      <c r="C158" s="1" t="s">
        <v>133</v>
      </c>
      <c r="K158" s="1" t="s">
        <v>1765</v>
      </c>
      <c r="L158" s="1" t="s">
        <v>1750</v>
      </c>
      <c r="M158" s="1" t="s">
        <v>358</v>
      </c>
      <c r="N158" s="6">
        <v>10.5</v>
      </c>
      <c r="O158" s="1" t="s">
        <v>4</v>
      </c>
      <c r="P158" s="1">
        <v>200</v>
      </c>
      <c r="Q158" s="1">
        <v>10</v>
      </c>
      <c r="R158" s="1">
        <v>10</v>
      </c>
      <c r="S158" s="1">
        <v>25</v>
      </c>
      <c r="T158" s="1">
        <v>32</v>
      </c>
      <c r="U158" s="253">
        <v>5</v>
      </c>
      <c r="V158" s="1">
        <v>85</v>
      </c>
      <c r="W158" s="44">
        <v>130</v>
      </c>
      <c r="X158" s="40">
        <f>_xlfn.XLOOKUP("Ripening", CropPhenology_KidneyBeans[Main_Stage], CropPhenology_KidneyBeans[Start_GDD], "Not Found")</f>
        <v>1181</v>
      </c>
      <c r="Y158" s="4" cm="1">
        <f t="array" ref="Y158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58" s="3">
        <f t="shared" si="74"/>
        <v>13.13054298642534</v>
      </c>
      <c r="AA158" s="41">
        <f t="shared" si="75"/>
        <v>111.19113668866413</v>
      </c>
      <c r="AB158" s="1">
        <v>8</v>
      </c>
      <c r="AC158" s="1">
        <v>15</v>
      </c>
      <c r="AD158" s="1">
        <v>4</v>
      </c>
      <c r="AE158" s="1">
        <v>90</v>
      </c>
      <c r="AF158" s="1">
        <v>5</v>
      </c>
      <c r="AG158" s="1">
        <v>5</v>
      </c>
      <c r="AH158" s="3">
        <f t="shared" si="76"/>
        <v>2.5091928035703215</v>
      </c>
      <c r="AI158" s="1">
        <v>6</v>
      </c>
      <c r="AJ158" s="1">
        <v>7</v>
      </c>
      <c r="AK158" s="159">
        <v>1</v>
      </c>
      <c r="AL158" s="150">
        <v>0.19</v>
      </c>
      <c r="AM158" s="1">
        <v>300</v>
      </c>
      <c r="AN158" s="1">
        <v>450</v>
      </c>
      <c r="AO158" s="48">
        <v>4</v>
      </c>
      <c r="AP158" s="44">
        <v>450</v>
      </c>
      <c r="AQ158" s="42">
        <v>0.78</v>
      </c>
      <c r="AR158" s="1">
        <v>45</v>
      </c>
      <c r="AS158" s="1">
        <v>10</v>
      </c>
      <c r="AT158" s="1">
        <v>1</v>
      </c>
      <c r="AU158" s="4">
        <f t="shared" si="77"/>
        <v>22.222222222222221</v>
      </c>
      <c r="AV158" s="3">
        <f t="shared" si="78"/>
        <v>44.44</v>
      </c>
      <c r="AW158" s="1">
        <v>85</v>
      </c>
      <c r="AX158" s="3">
        <f t="shared" si="79"/>
        <v>18.888888888888889</v>
      </c>
      <c r="AY158" s="1">
        <v>3</v>
      </c>
      <c r="AZ158" s="4">
        <f t="shared" si="80"/>
        <v>56.666666666666671</v>
      </c>
      <c r="BA158" s="49">
        <v>0.9</v>
      </c>
      <c r="BB158" s="4">
        <f t="shared" si="81"/>
        <v>51.000000000000007</v>
      </c>
      <c r="BC158" s="50">
        <v>0.06</v>
      </c>
      <c r="BD158" s="69">
        <f>IFERROR(
  MAX(0.05, MIN(0.5, CropNorms_KidneyBeans[[#This Row],[Leaf_Area_Per_Shoot_m2]] * CropNorms_KidneyBeans[[#This Row],[Shoot_Bearing_m2]] )),
  0.2
)</f>
        <v>0.5</v>
      </c>
      <c r="BE158" s="4">
        <f>_xlfn.XLOOKUP(CropNorms_KidneyBeans[[#This Row],[LAI_Start_BBCH]], CropPhenology_KidneyBeans[Sub_Stage], CropPhenology_KidneyBeans[Start_GDD], "Not Found")</f>
        <v>141</v>
      </c>
      <c r="BF158" s="3">
        <f>ROUND(CropNorms_KidneyBeans[[#This Row],[Shoot_Bearing_m2]]*CropNorms_KidneyBeans[[#This Row],[Leaf_Area_Per_Shoot_m2]],2)</f>
        <v>3.06</v>
      </c>
      <c r="BG158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58" s="3">
        <f>IF(CropNorms_KidneyBeans[[#This Row],[Max_LAI]]&gt;=1.2, 0.85*CropNorms_KidneyBeans[[#This Row],[Max_LAI]], 1)</f>
        <v>2.601</v>
      </c>
      <c r="BI158" s="41">
        <f>_xlfn.XLOOKUP(CropNorms_KidneyBeans[[#This Row],[LAI_End_BBCH]], CropPhenology_KidneyBeans[Sub_Stage], CropPhenology_KidneyBeans[End_GDD], "Not Found")</f>
        <v>1180</v>
      </c>
      <c r="BJ158" s="3" cm="1">
        <f t="array" ref="BJ158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58" s="3" cm="1">
        <f t="array" ref="BK158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58" s="3" cm="1">
        <f t="array" ref="BL158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58" s="3" cm="1">
        <f t="array" ref="BM158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8" s="42">
        <v>0.4</v>
      </c>
      <c r="BO158" s="43">
        <v>0</v>
      </c>
      <c r="BP158" s="42">
        <v>3.76</v>
      </c>
      <c r="BQ158" s="43" t="s">
        <v>1795</v>
      </c>
      <c r="BR158" s="3" t="str" cm="1">
        <f t="array" ref="BR158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8" s="3" t="str" cm="1">
        <f t="array" ref="BS158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58" s="3" t="str" cm="1">
        <f t="array" ref="BT158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8" s="3" t="str" cm="1">
        <f t="array" ref="BU158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8" s="48">
        <v>20</v>
      </c>
      <c r="BW158" s="1">
        <v>40</v>
      </c>
      <c r="BX158" s="44">
        <v>30</v>
      </c>
      <c r="BY158" s="51">
        <v>45945</v>
      </c>
      <c r="BZ158" s="5">
        <v>45976</v>
      </c>
      <c r="CA158" s="85">
        <v>0</v>
      </c>
      <c r="CB158" s="2">
        <v>0</v>
      </c>
      <c r="CC158" s="2">
        <v>1</v>
      </c>
      <c r="CD158" s="2">
        <v>1</v>
      </c>
      <c r="CE158" s="2">
        <v>1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O158" s="103"/>
      <c r="CP158" s="9"/>
      <c r="CQ158" s="10"/>
    </row>
    <row r="159" spans="2:95" x14ac:dyDescent="0.15">
      <c r="B159" s="36" t="s">
        <v>128</v>
      </c>
      <c r="C159" s="1" t="s">
        <v>135</v>
      </c>
      <c r="K159" s="1" t="s">
        <v>1765</v>
      </c>
      <c r="L159" s="1" t="s">
        <v>1750</v>
      </c>
      <c r="M159" s="1" t="s">
        <v>358</v>
      </c>
      <c r="N159" s="6">
        <v>10.5</v>
      </c>
      <c r="O159" s="1" t="s">
        <v>4</v>
      </c>
      <c r="P159" s="1">
        <v>200</v>
      </c>
      <c r="Q159" s="1">
        <v>10</v>
      </c>
      <c r="R159" s="1">
        <v>10</v>
      </c>
      <c r="S159" s="1">
        <v>25</v>
      </c>
      <c r="T159" s="1">
        <v>32</v>
      </c>
      <c r="U159" s="253">
        <v>5</v>
      </c>
      <c r="V159" s="1">
        <v>85</v>
      </c>
      <c r="W159" s="44">
        <v>130</v>
      </c>
      <c r="X159" s="40">
        <f>_xlfn.XLOOKUP("Ripening", CropPhenology_KidneyBeans[Main_Stage], CropPhenology_KidneyBeans[Start_GDD], "Not Found")</f>
        <v>1181</v>
      </c>
      <c r="Y159" s="4" cm="1">
        <f t="array" ref="Y159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59" s="3">
        <f t="shared" si="74"/>
        <v>13.13054298642534</v>
      </c>
      <c r="AA159" s="41">
        <f t="shared" si="75"/>
        <v>111.19113668866413</v>
      </c>
      <c r="AB159" s="1">
        <v>8</v>
      </c>
      <c r="AC159" s="1">
        <v>15</v>
      </c>
      <c r="AD159" s="1">
        <v>4</v>
      </c>
      <c r="AE159" s="1">
        <v>90</v>
      </c>
      <c r="AF159" s="1">
        <v>5</v>
      </c>
      <c r="AG159" s="1">
        <v>5</v>
      </c>
      <c r="AH159" s="3">
        <f t="shared" si="76"/>
        <v>2.5091928035703215</v>
      </c>
      <c r="AI159" s="1">
        <v>6</v>
      </c>
      <c r="AJ159" s="1">
        <v>7</v>
      </c>
      <c r="AK159" s="159">
        <v>1</v>
      </c>
      <c r="AL159" s="150">
        <v>0.19</v>
      </c>
      <c r="AM159" s="1">
        <v>300</v>
      </c>
      <c r="AN159" s="1">
        <v>450</v>
      </c>
      <c r="AO159" s="48">
        <v>4</v>
      </c>
      <c r="AP159" s="44">
        <v>450</v>
      </c>
      <c r="AQ159" s="42">
        <v>0.82</v>
      </c>
      <c r="AR159" s="1">
        <v>45</v>
      </c>
      <c r="AS159" s="1">
        <v>10</v>
      </c>
      <c r="AT159" s="1">
        <v>1</v>
      </c>
      <c r="AU159" s="4">
        <f t="shared" si="77"/>
        <v>22.222222222222221</v>
      </c>
      <c r="AV159" s="3">
        <f t="shared" si="78"/>
        <v>44.44</v>
      </c>
      <c r="AW159" s="1">
        <v>85</v>
      </c>
      <c r="AX159" s="3">
        <f t="shared" si="79"/>
        <v>18.888888888888889</v>
      </c>
      <c r="AY159" s="1">
        <v>3</v>
      </c>
      <c r="AZ159" s="4">
        <f t="shared" si="80"/>
        <v>56.666666666666671</v>
      </c>
      <c r="BA159" s="49">
        <v>0.9</v>
      </c>
      <c r="BB159" s="4">
        <f t="shared" si="81"/>
        <v>51.000000000000007</v>
      </c>
      <c r="BC159" s="50">
        <v>0.06</v>
      </c>
      <c r="BD159" s="69">
        <f>IFERROR(
  MAX(0.05, MIN(0.5, CropNorms_KidneyBeans[[#This Row],[Leaf_Area_Per_Shoot_m2]] * CropNorms_KidneyBeans[[#This Row],[Shoot_Bearing_m2]] )),
  0.2
)</f>
        <v>0.5</v>
      </c>
      <c r="BE159" s="4">
        <f>_xlfn.XLOOKUP(CropNorms_KidneyBeans[[#This Row],[LAI_Start_BBCH]], CropPhenology_KidneyBeans[Sub_Stage], CropPhenology_KidneyBeans[Start_GDD], "Not Found")</f>
        <v>141</v>
      </c>
      <c r="BF159" s="3">
        <f>ROUND(CropNorms_KidneyBeans[[#This Row],[Shoot_Bearing_m2]]*CropNorms_KidneyBeans[[#This Row],[Leaf_Area_Per_Shoot_m2]],2)</f>
        <v>3.06</v>
      </c>
      <c r="BG159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59" s="3">
        <f>IF(CropNorms_KidneyBeans[[#This Row],[Max_LAI]]&gt;=1.2, 0.85*CropNorms_KidneyBeans[[#This Row],[Max_LAI]], 1)</f>
        <v>2.601</v>
      </c>
      <c r="BI159" s="41">
        <f>_xlfn.XLOOKUP(CropNorms_KidneyBeans[[#This Row],[LAI_End_BBCH]], CropPhenology_KidneyBeans[Sub_Stage], CropPhenology_KidneyBeans[End_GDD], "Not Found")</f>
        <v>1180</v>
      </c>
      <c r="BJ159" s="3" cm="1">
        <f t="array" ref="BJ159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59" s="3" cm="1">
        <f t="array" ref="BK159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59" s="3" cm="1">
        <f t="array" ref="BL159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59" s="3" cm="1">
        <f t="array" ref="BM159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59" s="42">
        <v>0.4</v>
      </c>
      <c r="BO159" s="43">
        <v>0</v>
      </c>
      <c r="BP159" s="42">
        <v>3.76</v>
      </c>
      <c r="BQ159" s="43" t="s">
        <v>1795</v>
      </c>
      <c r="BR159" s="3" t="str" cm="1">
        <f t="array" ref="BR159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59" s="3" t="str" cm="1">
        <f t="array" ref="BS159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59" s="3" t="str" cm="1">
        <f t="array" ref="BT159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59" s="3" t="str" cm="1">
        <f t="array" ref="BU159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59" s="48">
        <v>20</v>
      </c>
      <c r="BW159" s="1">
        <v>40</v>
      </c>
      <c r="BX159" s="44">
        <v>30</v>
      </c>
      <c r="BY159" s="51">
        <v>45945</v>
      </c>
      <c r="BZ159" s="5">
        <v>45976</v>
      </c>
      <c r="CA159" s="85">
        <v>0</v>
      </c>
      <c r="CB159" s="2">
        <v>0</v>
      </c>
      <c r="CC159" s="2">
        <v>1</v>
      </c>
      <c r="CD159" s="2">
        <v>1</v>
      </c>
      <c r="CE159" s="2">
        <v>1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O159" s="103"/>
      <c r="CP159" s="9"/>
      <c r="CQ159" s="10"/>
    </row>
    <row r="160" spans="2:95" x14ac:dyDescent="0.15">
      <c r="B160" s="36" t="s">
        <v>128</v>
      </c>
      <c r="C160" s="1" t="s">
        <v>130</v>
      </c>
      <c r="K160" s="1" t="s">
        <v>1765</v>
      </c>
      <c r="L160" s="1" t="s">
        <v>1750</v>
      </c>
      <c r="M160" s="1" t="s">
        <v>358</v>
      </c>
      <c r="N160" s="6">
        <v>10.5</v>
      </c>
      <c r="O160" s="1" t="s">
        <v>2</v>
      </c>
      <c r="P160" s="1">
        <v>200</v>
      </c>
      <c r="Q160" s="1">
        <v>10</v>
      </c>
      <c r="R160" s="1">
        <v>10</v>
      </c>
      <c r="S160" s="1">
        <v>25</v>
      </c>
      <c r="T160" s="1">
        <v>32</v>
      </c>
      <c r="U160" s="253">
        <v>5</v>
      </c>
      <c r="V160" s="1">
        <v>85</v>
      </c>
      <c r="W160" s="44">
        <v>130</v>
      </c>
      <c r="X160" s="40">
        <f>_xlfn.XLOOKUP("Ripening", CropPhenology_KidneyBeans[Main_Stage], CropPhenology_KidneyBeans[Start_GDD], "Not Found")</f>
        <v>1181</v>
      </c>
      <c r="Y160" s="4" cm="1">
        <f t="array" ref="Y160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60" s="3">
        <f t="shared" si="74"/>
        <v>13.13054298642534</v>
      </c>
      <c r="AA160" s="41">
        <f t="shared" si="75"/>
        <v>111.19113668866413</v>
      </c>
      <c r="AB160" s="1">
        <v>8</v>
      </c>
      <c r="AC160" s="1">
        <v>15</v>
      </c>
      <c r="AD160" s="1">
        <v>4</v>
      </c>
      <c r="AE160" s="1">
        <v>90</v>
      </c>
      <c r="AF160" s="1">
        <v>5</v>
      </c>
      <c r="AG160" s="1">
        <v>5</v>
      </c>
      <c r="AH160" s="3">
        <f t="shared" si="76"/>
        <v>2.5091928035703215</v>
      </c>
      <c r="AI160" s="1">
        <v>6</v>
      </c>
      <c r="AJ160" s="1">
        <v>7</v>
      </c>
      <c r="AK160" s="159">
        <v>1</v>
      </c>
      <c r="AL160" s="150">
        <v>0.19</v>
      </c>
      <c r="AM160" s="1">
        <v>200</v>
      </c>
      <c r="AN160" s="1">
        <v>350</v>
      </c>
      <c r="AO160" s="48">
        <v>4</v>
      </c>
      <c r="AP160" s="44">
        <v>450</v>
      </c>
      <c r="AQ160" s="42">
        <v>0.7</v>
      </c>
      <c r="AR160" s="1">
        <v>45</v>
      </c>
      <c r="AS160" s="1">
        <v>10</v>
      </c>
      <c r="AT160" s="1">
        <v>1</v>
      </c>
      <c r="AU160" s="4">
        <f t="shared" si="77"/>
        <v>22.222222222222221</v>
      </c>
      <c r="AV160" s="3">
        <f t="shared" si="78"/>
        <v>44.44</v>
      </c>
      <c r="AW160" s="1">
        <v>85</v>
      </c>
      <c r="AX160" s="3">
        <f t="shared" si="79"/>
        <v>18.888888888888889</v>
      </c>
      <c r="AY160" s="1">
        <v>3</v>
      </c>
      <c r="AZ160" s="4">
        <f t="shared" si="80"/>
        <v>56.666666666666671</v>
      </c>
      <c r="BA160" s="49">
        <v>0.9</v>
      </c>
      <c r="BB160" s="4">
        <f t="shared" si="81"/>
        <v>51.000000000000007</v>
      </c>
      <c r="BC160" s="50">
        <v>0.06</v>
      </c>
      <c r="BD160" s="69">
        <f>IFERROR(
  MAX(0.05, MIN(0.5, CropNorms_KidneyBeans[[#This Row],[Leaf_Area_Per_Shoot_m2]] * CropNorms_KidneyBeans[[#This Row],[Shoot_Bearing_m2]] )),
  0.2
)</f>
        <v>0.5</v>
      </c>
      <c r="BE160" s="4">
        <f>_xlfn.XLOOKUP(CropNorms_KidneyBeans[[#This Row],[LAI_Start_BBCH]], CropPhenology_KidneyBeans[Sub_Stage], CropPhenology_KidneyBeans[Start_GDD], "Not Found")</f>
        <v>141</v>
      </c>
      <c r="BF160" s="3">
        <f>ROUND(CropNorms_KidneyBeans[[#This Row],[Shoot_Bearing_m2]]*CropNorms_KidneyBeans[[#This Row],[Leaf_Area_Per_Shoot_m2]],2)</f>
        <v>3.06</v>
      </c>
      <c r="BG160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60" s="3">
        <f>IF(CropNorms_KidneyBeans[[#This Row],[Max_LAI]]&gt;=1.2, 0.85*CropNorms_KidneyBeans[[#This Row],[Max_LAI]], 1)</f>
        <v>2.601</v>
      </c>
      <c r="BI160" s="41">
        <f>_xlfn.XLOOKUP(CropNorms_KidneyBeans[[#This Row],[LAI_End_BBCH]], CropPhenology_KidneyBeans[Sub_Stage], CropPhenology_KidneyBeans[End_GDD], "Not Found")</f>
        <v>1180</v>
      </c>
      <c r="BJ160" s="3" cm="1">
        <f t="array" ref="BJ160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60" s="3" cm="1">
        <f t="array" ref="BK160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60" s="3" cm="1">
        <f t="array" ref="BL160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60" s="3" cm="1">
        <f t="array" ref="BM160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0" s="42">
        <v>0.4</v>
      </c>
      <c r="BO160" s="43">
        <v>0</v>
      </c>
      <c r="BP160" s="42">
        <v>2.4300000000000002</v>
      </c>
      <c r="BQ160" s="43" t="s">
        <v>1795</v>
      </c>
      <c r="BR160" s="3" t="str" cm="1">
        <f t="array" ref="BR160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0" s="3" t="str" cm="1">
        <f t="array" ref="BS160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60" s="3" t="str" cm="1">
        <f t="array" ref="BT160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0" s="3" t="str" cm="1">
        <f t="array" ref="BU160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0" s="48">
        <v>20</v>
      </c>
      <c r="BW160" s="1">
        <v>40</v>
      </c>
      <c r="BX160" s="44">
        <v>30</v>
      </c>
      <c r="BY160" s="51">
        <v>45945</v>
      </c>
      <c r="BZ160" s="5">
        <v>45976</v>
      </c>
      <c r="CA160" s="85">
        <v>0</v>
      </c>
      <c r="CB160" s="2">
        <v>0</v>
      </c>
      <c r="CC160" s="2">
        <v>1</v>
      </c>
      <c r="CD160" s="2">
        <v>1</v>
      </c>
      <c r="CE160" s="2">
        <v>1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O160" s="103"/>
      <c r="CP160" s="9"/>
      <c r="CQ160" s="10"/>
    </row>
    <row r="161" spans="2:95" x14ac:dyDescent="0.15">
      <c r="B161" s="36" t="s">
        <v>128</v>
      </c>
      <c r="C161" s="1" t="s">
        <v>132</v>
      </c>
      <c r="K161" s="1" t="s">
        <v>1765</v>
      </c>
      <c r="L161" s="1" t="s">
        <v>1750</v>
      </c>
      <c r="M161" s="1" t="s">
        <v>358</v>
      </c>
      <c r="N161" s="6">
        <v>10.5</v>
      </c>
      <c r="O161" s="1" t="s">
        <v>2</v>
      </c>
      <c r="P161" s="1">
        <v>200</v>
      </c>
      <c r="Q161" s="1">
        <v>10</v>
      </c>
      <c r="R161" s="1">
        <v>10</v>
      </c>
      <c r="S161" s="1">
        <v>25</v>
      </c>
      <c r="T161" s="1">
        <v>32</v>
      </c>
      <c r="U161" s="253">
        <v>5</v>
      </c>
      <c r="V161" s="1">
        <v>85</v>
      </c>
      <c r="W161" s="44">
        <v>130</v>
      </c>
      <c r="X161" s="40">
        <f>_xlfn.XLOOKUP("Ripening", CropPhenology_KidneyBeans[Main_Stage], CropPhenology_KidneyBeans[Start_GDD], "Not Found")</f>
        <v>1181</v>
      </c>
      <c r="Y161" s="4" cm="1">
        <f t="array" ref="Y161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61" s="3">
        <f t="shared" si="74"/>
        <v>13.13054298642534</v>
      </c>
      <c r="AA161" s="41">
        <f t="shared" si="75"/>
        <v>111.19113668866413</v>
      </c>
      <c r="AB161" s="1">
        <v>8</v>
      </c>
      <c r="AC161" s="1">
        <v>15</v>
      </c>
      <c r="AD161" s="1">
        <v>4</v>
      </c>
      <c r="AE161" s="1">
        <v>90</v>
      </c>
      <c r="AF161" s="1">
        <v>5</v>
      </c>
      <c r="AG161" s="1">
        <v>5</v>
      </c>
      <c r="AH161" s="3">
        <f t="shared" si="76"/>
        <v>2.5091928035703215</v>
      </c>
      <c r="AI161" s="1">
        <v>6</v>
      </c>
      <c r="AJ161" s="1">
        <v>7</v>
      </c>
      <c r="AK161" s="159">
        <v>1</v>
      </c>
      <c r="AL161" s="150">
        <v>0.19</v>
      </c>
      <c r="AM161" s="1">
        <v>200</v>
      </c>
      <c r="AN161" s="1">
        <v>350</v>
      </c>
      <c r="AO161" s="48">
        <v>4</v>
      </c>
      <c r="AP161" s="44">
        <v>450</v>
      </c>
      <c r="AQ161" s="42">
        <v>0.75</v>
      </c>
      <c r="AR161" s="1">
        <v>45</v>
      </c>
      <c r="AS161" s="1">
        <v>10</v>
      </c>
      <c r="AT161" s="1">
        <v>1</v>
      </c>
      <c r="AU161" s="4">
        <f t="shared" si="77"/>
        <v>22.222222222222221</v>
      </c>
      <c r="AV161" s="3">
        <f t="shared" si="78"/>
        <v>44.44</v>
      </c>
      <c r="AW161" s="1">
        <v>85</v>
      </c>
      <c r="AX161" s="3">
        <f t="shared" si="79"/>
        <v>18.888888888888889</v>
      </c>
      <c r="AY161" s="1">
        <v>3</v>
      </c>
      <c r="AZ161" s="4">
        <f t="shared" si="80"/>
        <v>56.666666666666671</v>
      </c>
      <c r="BA161" s="49">
        <v>0.9</v>
      </c>
      <c r="BB161" s="4">
        <f t="shared" si="81"/>
        <v>51.000000000000007</v>
      </c>
      <c r="BC161" s="50">
        <v>0.06</v>
      </c>
      <c r="BD161" s="69">
        <f>IFERROR(
  MAX(0.05, MIN(0.5, CropNorms_KidneyBeans[[#This Row],[Leaf_Area_Per_Shoot_m2]] * CropNorms_KidneyBeans[[#This Row],[Shoot_Bearing_m2]] )),
  0.2
)</f>
        <v>0.5</v>
      </c>
      <c r="BE161" s="4">
        <f>_xlfn.XLOOKUP(CropNorms_KidneyBeans[[#This Row],[LAI_Start_BBCH]], CropPhenology_KidneyBeans[Sub_Stage], CropPhenology_KidneyBeans[Start_GDD], "Not Found")</f>
        <v>141</v>
      </c>
      <c r="BF161" s="3">
        <f>ROUND(CropNorms_KidneyBeans[[#This Row],[Shoot_Bearing_m2]]*CropNorms_KidneyBeans[[#This Row],[Leaf_Area_Per_Shoot_m2]],2)</f>
        <v>3.06</v>
      </c>
      <c r="BG161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61" s="3">
        <f>IF(CropNorms_KidneyBeans[[#This Row],[Max_LAI]]&gt;=1.2, 0.85*CropNorms_KidneyBeans[[#This Row],[Max_LAI]], 1)</f>
        <v>2.601</v>
      </c>
      <c r="BI161" s="41">
        <f>_xlfn.XLOOKUP(CropNorms_KidneyBeans[[#This Row],[LAI_End_BBCH]], CropPhenology_KidneyBeans[Sub_Stage], CropPhenology_KidneyBeans[End_GDD], "Not Found")</f>
        <v>1180</v>
      </c>
      <c r="BJ161" s="3" cm="1">
        <f t="array" ref="BJ161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61" s="3" cm="1">
        <f t="array" ref="BK16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61" s="3" cm="1">
        <f t="array" ref="BL161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61" s="3" cm="1">
        <f t="array" ref="BM16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1" s="42">
        <v>0.4</v>
      </c>
      <c r="BO161" s="43">
        <v>0</v>
      </c>
      <c r="BP161" s="42">
        <v>2.4300000000000002</v>
      </c>
      <c r="BQ161" s="43" t="s">
        <v>1795</v>
      </c>
      <c r="BR161" s="3" t="str" cm="1">
        <f t="array" ref="BR16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1" s="3" t="str" cm="1">
        <f t="array" ref="BS16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61" s="3" t="str" cm="1">
        <f t="array" ref="BT161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1" s="3" t="str" cm="1">
        <f t="array" ref="BU161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1" s="48">
        <v>20</v>
      </c>
      <c r="BW161" s="1">
        <v>40</v>
      </c>
      <c r="BX161" s="44">
        <v>30</v>
      </c>
      <c r="BY161" s="51">
        <v>45945</v>
      </c>
      <c r="BZ161" s="5">
        <v>45976</v>
      </c>
      <c r="CA161" s="85">
        <v>0</v>
      </c>
      <c r="CB161" s="2">
        <v>0</v>
      </c>
      <c r="CC161" s="2">
        <v>1</v>
      </c>
      <c r="CD161" s="2">
        <v>1</v>
      </c>
      <c r="CE161" s="2">
        <v>1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O161" s="103"/>
      <c r="CP161" s="9"/>
      <c r="CQ161" s="10"/>
    </row>
    <row r="162" spans="2:95" x14ac:dyDescent="0.15">
      <c r="B162" s="36" t="s">
        <v>128</v>
      </c>
      <c r="C162" s="1" t="s">
        <v>134</v>
      </c>
      <c r="K162" s="1" t="s">
        <v>1765</v>
      </c>
      <c r="L162" s="1" t="s">
        <v>1750</v>
      </c>
      <c r="M162" s="1" t="s">
        <v>358</v>
      </c>
      <c r="N162" s="6">
        <v>10.5</v>
      </c>
      <c r="O162" s="1" t="s">
        <v>2</v>
      </c>
      <c r="P162" s="1">
        <v>200</v>
      </c>
      <c r="Q162" s="1">
        <v>10</v>
      </c>
      <c r="R162" s="1">
        <v>10</v>
      </c>
      <c r="S162" s="1">
        <v>25</v>
      </c>
      <c r="T162" s="1">
        <v>32</v>
      </c>
      <c r="U162" s="253">
        <v>5</v>
      </c>
      <c r="V162" s="1">
        <v>85</v>
      </c>
      <c r="W162" s="44">
        <v>130</v>
      </c>
      <c r="X162" s="40">
        <f>_xlfn.XLOOKUP("Ripening", CropPhenology_KidneyBeans[Main_Stage], CropPhenology_KidneyBeans[Start_GDD], "Not Found")</f>
        <v>1181</v>
      </c>
      <c r="Y162" s="4" cm="1">
        <f t="array" ref="Y162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62" s="3">
        <f t="shared" si="74"/>
        <v>13.13054298642534</v>
      </c>
      <c r="AA162" s="41">
        <f t="shared" si="75"/>
        <v>111.19113668866413</v>
      </c>
      <c r="AB162" s="1">
        <v>8</v>
      </c>
      <c r="AC162" s="1">
        <v>15</v>
      </c>
      <c r="AD162" s="1">
        <v>4</v>
      </c>
      <c r="AE162" s="1">
        <v>90</v>
      </c>
      <c r="AF162" s="1">
        <v>5</v>
      </c>
      <c r="AG162" s="1">
        <v>5</v>
      </c>
      <c r="AH162" s="3">
        <f t="shared" si="76"/>
        <v>2.5091928035703215</v>
      </c>
      <c r="AI162" s="1">
        <v>6</v>
      </c>
      <c r="AJ162" s="1">
        <v>7</v>
      </c>
      <c r="AK162" s="159">
        <v>1</v>
      </c>
      <c r="AL162" s="150">
        <v>0.19</v>
      </c>
      <c r="AM162" s="1">
        <v>200</v>
      </c>
      <c r="AN162" s="1">
        <v>350</v>
      </c>
      <c r="AO162" s="48">
        <v>4</v>
      </c>
      <c r="AP162" s="44">
        <v>450</v>
      </c>
      <c r="AQ162" s="42">
        <v>0.68</v>
      </c>
      <c r="AR162" s="1">
        <v>45</v>
      </c>
      <c r="AS162" s="1">
        <v>10</v>
      </c>
      <c r="AT162" s="1">
        <v>1</v>
      </c>
      <c r="AU162" s="4">
        <f t="shared" si="77"/>
        <v>22.222222222222221</v>
      </c>
      <c r="AV162" s="3">
        <f t="shared" si="78"/>
        <v>44.44</v>
      </c>
      <c r="AW162" s="1">
        <v>85</v>
      </c>
      <c r="AX162" s="3">
        <f t="shared" si="79"/>
        <v>18.888888888888889</v>
      </c>
      <c r="AY162" s="1">
        <v>3</v>
      </c>
      <c r="AZ162" s="4">
        <f t="shared" si="80"/>
        <v>56.666666666666671</v>
      </c>
      <c r="BA162" s="49">
        <v>0.9</v>
      </c>
      <c r="BB162" s="4">
        <f t="shared" si="81"/>
        <v>51.000000000000007</v>
      </c>
      <c r="BC162" s="50">
        <v>0.06</v>
      </c>
      <c r="BD162" s="69">
        <f>IFERROR(
  MAX(0.05, MIN(0.5, CropNorms_KidneyBeans[[#This Row],[Leaf_Area_Per_Shoot_m2]] * CropNorms_KidneyBeans[[#This Row],[Shoot_Bearing_m2]] )),
  0.2
)</f>
        <v>0.5</v>
      </c>
      <c r="BE162" s="4">
        <f>_xlfn.XLOOKUP(CropNorms_KidneyBeans[[#This Row],[LAI_Start_BBCH]], CropPhenology_KidneyBeans[Sub_Stage], CropPhenology_KidneyBeans[Start_GDD], "Not Found")</f>
        <v>141</v>
      </c>
      <c r="BF162" s="3">
        <f>ROUND(CropNorms_KidneyBeans[[#This Row],[Shoot_Bearing_m2]]*CropNorms_KidneyBeans[[#This Row],[Leaf_Area_Per_Shoot_m2]],2)</f>
        <v>3.06</v>
      </c>
      <c r="BG162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62" s="3">
        <f>IF(CropNorms_KidneyBeans[[#This Row],[Max_LAI]]&gt;=1.2, 0.85*CropNorms_KidneyBeans[[#This Row],[Max_LAI]], 1)</f>
        <v>2.601</v>
      </c>
      <c r="BI162" s="41">
        <f>_xlfn.XLOOKUP(CropNorms_KidneyBeans[[#This Row],[LAI_End_BBCH]], CropPhenology_KidneyBeans[Sub_Stage], CropPhenology_KidneyBeans[End_GDD], "Not Found")</f>
        <v>1180</v>
      </c>
      <c r="BJ162" s="3" cm="1">
        <f t="array" ref="BJ162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62" s="3" cm="1">
        <f t="array" ref="BK162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62" s="3" cm="1">
        <f t="array" ref="BL162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62" s="3" cm="1">
        <f t="array" ref="BM162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2" s="42">
        <v>0.4</v>
      </c>
      <c r="BO162" s="43">
        <v>0</v>
      </c>
      <c r="BP162" s="42">
        <v>2.4300000000000002</v>
      </c>
      <c r="BQ162" s="43" t="s">
        <v>1795</v>
      </c>
      <c r="BR162" s="3" t="str" cm="1">
        <f t="array" ref="BR162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2" s="3" t="str" cm="1">
        <f t="array" ref="BS162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62" s="3" t="str" cm="1">
        <f t="array" ref="BT162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2" s="3" t="str" cm="1">
        <f t="array" ref="BU162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2" s="48">
        <v>20</v>
      </c>
      <c r="BW162" s="1">
        <v>40</v>
      </c>
      <c r="BX162" s="44">
        <v>30</v>
      </c>
      <c r="BY162" s="51">
        <v>45945</v>
      </c>
      <c r="BZ162" s="5">
        <v>45976</v>
      </c>
      <c r="CA162" s="85">
        <v>0</v>
      </c>
      <c r="CB162" s="2">
        <v>0</v>
      </c>
      <c r="CC162" s="2">
        <v>1</v>
      </c>
      <c r="CD162" s="2">
        <v>1</v>
      </c>
      <c r="CE162" s="2">
        <v>1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O162" s="103"/>
      <c r="CP162" s="9"/>
      <c r="CQ162" s="10"/>
    </row>
    <row r="163" spans="2:95" ht="11.25" thickBot="1" x14ac:dyDescent="0.2">
      <c r="B163" s="36" t="s">
        <v>128</v>
      </c>
      <c r="C163" s="1" t="s">
        <v>136</v>
      </c>
      <c r="K163" s="1" t="s">
        <v>1765</v>
      </c>
      <c r="L163" s="1" t="s">
        <v>1750</v>
      </c>
      <c r="M163" s="1" t="s">
        <v>358</v>
      </c>
      <c r="N163" s="6">
        <v>10.5</v>
      </c>
      <c r="O163" s="1" t="s">
        <v>2</v>
      </c>
      <c r="P163" s="1">
        <v>200</v>
      </c>
      <c r="Q163" s="1">
        <v>10</v>
      </c>
      <c r="R163" s="1">
        <v>10</v>
      </c>
      <c r="S163" s="1">
        <v>25</v>
      </c>
      <c r="T163" s="1">
        <v>32</v>
      </c>
      <c r="U163" s="254">
        <v>5</v>
      </c>
      <c r="V163" s="1">
        <v>85</v>
      </c>
      <c r="W163" s="44">
        <v>130</v>
      </c>
      <c r="X163" s="40">
        <f>_xlfn.XLOOKUP("Ripening", CropPhenology_KidneyBeans[Main_Stage], CropPhenology_KidneyBeans[Start_GDD], "Not Found")</f>
        <v>1181</v>
      </c>
      <c r="Y163" s="4" cm="1">
        <f t="array" ref="Y163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Z163" s="3">
        <f t="shared" si="74"/>
        <v>13.13054298642534</v>
      </c>
      <c r="AA163" s="41">
        <f t="shared" si="75"/>
        <v>111.19113668866413</v>
      </c>
      <c r="AB163" s="1">
        <v>8</v>
      </c>
      <c r="AC163" s="1">
        <v>15</v>
      </c>
      <c r="AD163" s="1">
        <v>4</v>
      </c>
      <c r="AE163" s="1">
        <v>90</v>
      </c>
      <c r="AF163" s="1">
        <v>5</v>
      </c>
      <c r="AG163" s="1">
        <v>5</v>
      </c>
      <c r="AH163" s="3">
        <f t="shared" si="76"/>
        <v>2.5091928035703215</v>
      </c>
      <c r="AI163" s="1">
        <v>6</v>
      </c>
      <c r="AJ163" s="1">
        <v>7</v>
      </c>
      <c r="AK163" s="160">
        <v>1</v>
      </c>
      <c r="AL163" s="161">
        <v>0.19</v>
      </c>
      <c r="AM163" s="1">
        <v>200</v>
      </c>
      <c r="AN163" s="1">
        <v>350</v>
      </c>
      <c r="AO163" s="48">
        <v>4</v>
      </c>
      <c r="AP163" s="44">
        <v>450</v>
      </c>
      <c r="AQ163" s="42">
        <v>0.72</v>
      </c>
      <c r="AR163" s="1">
        <v>45</v>
      </c>
      <c r="AS163" s="1">
        <v>10</v>
      </c>
      <c r="AT163" s="1">
        <v>1</v>
      </c>
      <c r="AU163" s="4">
        <f t="shared" si="77"/>
        <v>22.222222222222221</v>
      </c>
      <c r="AV163" s="3">
        <f t="shared" si="78"/>
        <v>44.44</v>
      </c>
      <c r="AW163" s="1">
        <v>85</v>
      </c>
      <c r="AX163" s="3">
        <f t="shared" si="79"/>
        <v>18.888888888888889</v>
      </c>
      <c r="AY163" s="1">
        <v>3</v>
      </c>
      <c r="AZ163" s="4">
        <f t="shared" si="80"/>
        <v>56.666666666666671</v>
      </c>
      <c r="BA163" s="49">
        <v>0.9</v>
      </c>
      <c r="BB163" s="4">
        <f t="shared" si="81"/>
        <v>51.000000000000007</v>
      </c>
      <c r="BC163" s="50">
        <v>0.06</v>
      </c>
      <c r="BD163" s="69">
        <f>IFERROR(
  MAX(0.05, MIN(0.5, CropNorms_KidneyBeans[[#This Row],[Leaf_Area_Per_Shoot_m2]] * CropNorms_KidneyBeans[[#This Row],[Shoot_Bearing_m2]] )),
  0.2
)</f>
        <v>0.5</v>
      </c>
      <c r="BE163" s="4">
        <f>_xlfn.XLOOKUP(CropNorms_KidneyBeans[[#This Row],[LAI_Start_BBCH]], CropPhenology_KidneyBeans[Sub_Stage], CropPhenology_KidneyBeans[Start_GDD], "Not Found")</f>
        <v>141</v>
      </c>
      <c r="BF163" s="3">
        <f>ROUND(CropNorms_KidneyBeans[[#This Row],[Shoot_Bearing_m2]]*CropNorms_KidneyBeans[[#This Row],[Leaf_Area_Per_Shoot_m2]],2)</f>
        <v>3.06</v>
      </c>
      <c r="BG163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H163" s="3">
        <f>IF(CropNorms_KidneyBeans[[#This Row],[Max_LAI]]&gt;=1.2, 0.85*CropNorms_KidneyBeans[[#This Row],[Max_LAI]], 1)</f>
        <v>2.601</v>
      </c>
      <c r="BI163" s="41">
        <f>_xlfn.XLOOKUP(CropNorms_KidneyBeans[[#This Row],[LAI_End_BBCH]], CropPhenology_KidneyBeans[Sub_Stage], CropPhenology_KidneyBeans[End_GDD], "Not Found")</f>
        <v>1180</v>
      </c>
      <c r="BJ163" s="3" cm="1">
        <f t="array" ref="BJ163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K163" s="3" cm="1">
        <f t="array" ref="BK163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L163" s="3" cm="1">
        <f t="array" ref="BL163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M163" s="3" cm="1">
        <f t="array" ref="BM163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3" s="42">
        <v>0.4</v>
      </c>
      <c r="BO163" s="43">
        <v>0</v>
      </c>
      <c r="BP163" s="42">
        <v>2.4300000000000002</v>
      </c>
      <c r="BQ163" s="43" t="s">
        <v>1795</v>
      </c>
      <c r="BR163" s="3" t="str" cm="1">
        <f t="array" ref="BR163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3" s="3" t="str" cm="1">
        <f t="array" ref="BS163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T163" s="3" t="str" cm="1">
        <f t="array" ref="BT163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3" s="3" t="str" cm="1">
        <f t="array" ref="BU163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3" s="48">
        <v>20</v>
      </c>
      <c r="BW163" s="1">
        <v>40</v>
      </c>
      <c r="BX163" s="44">
        <v>30</v>
      </c>
      <c r="BY163" s="51">
        <v>45945</v>
      </c>
      <c r="BZ163" s="5">
        <v>45976</v>
      </c>
      <c r="CA163" s="85">
        <v>0</v>
      </c>
      <c r="CB163" s="2">
        <v>0</v>
      </c>
      <c r="CC163" s="2">
        <v>1</v>
      </c>
      <c r="CD163" s="2">
        <v>1</v>
      </c>
      <c r="CE163" s="2">
        <v>1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P163" s="9"/>
      <c r="CQ163" s="10"/>
    </row>
    <row r="164" spans="2:95" ht="11.25" thickBot="1" x14ac:dyDescent="0.2">
      <c r="Y164" s="3"/>
      <c r="Z164" s="4"/>
      <c r="AG164" s="3"/>
      <c r="AR164" s="4"/>
      <c r="AS164" s="3"/>
      <c r="AU164" s="3"/>
      <c r="AW164" s="4"/>
      <c r="AX164" s="49"/>
      <c r="AY164" s="4"/>
      <c r="BV164" s="51"/>
      <c r="BW164" s="51"/>
      <c r="CP164" s="9"/>
      <c r="CQ164" s="10"/>
    </row>
    <row r="165" spans="2:95" ht="11.25" thickBot="1" x14ac:dyDescent="0.2">
      <c r="B165" s="54" t="s">
        <v>1753</v>
      </c>
      <c r="C165" s="53" t="s">
        <v>1754</v>
      </c>
      <c r="D165" s="53" t="s">
        <v>1804</v>
      </c>
      <c r="E165" s="53" t="s">
        <v>1805</v>
      </c>
      <c r="F165" s="53" t="s">
        <v>1806</v>
      </c>
      <c r="G165" s="53" t="s">
        <v>1807</v>
      </c>
      <c r="H165" s="53" t="s">
        <v>1808</v>
      </c>
      <c r="I165" s="53" t="s">
        <v>1809</v>
      </c>
      <c r="J165" s="53" t="s">
        <v>1810</v>
      </c>
      <c r="K165" s="53" t="s">
        <v>1747</v>
      </c>
      <c r="L165" s="54" t="s">
        <v>1749</v>
      </c>
      <c r="M165" s="53" t="s">
        <v>357</v>
      </c>
      <c r="N165" s="55" t="s">
        <v>692</v>
      </c>
      <c r="O165" s="53" t="s">
        <v>325</v>
      </c>
      <c r="P165" s="53" t="s">
        <v>356</v>
      </c>
      <c r="Q165" s="53" t="s">
        <v>326</v>
      </c>
      <c r="R165" s="53" t="s">
        <v>327</v>
      </c>
      <c r="S165" s="53" t="s">
        <v>328</v>
      </c>
      <c r="T165" s="53" t="s">
        <v>329</v>
      </c>
      <c r="U165" s="250" t="s">
        <v>2349</v>
      </c>
      <c r="V165" s="53" t="s">
        <v>330</v>
      </c>
      <c r="W165" s="53" t="s">
        <v>331</v>
      </c>
      <c r="X165" s="56" t="s">
        <v>354</v>
      </c>
      <c r="Y165" s="57" t="s">
        <v>355</v>
      </c>
      <c r="Z165" s="58" t="s">
        <v>413</v>
      </c>
      <c r="AA165" s="59" t="s">
        <v>583</v>
      </c>
      <c r="AB165" s="53" t="s">
        <v>324</v>
      </c>
      <c r="AC165" s="53" t="s">
        <v>332</v>
      </c>
      <c r="AD165" s="53" t="s">
        <v>333</v>
      </c>
      <c r="AE165" s="53" t="s">
        <v>334</v>
      </c>
      <c r="AF165" s="53" t="s">
        <v>335</v>
      </c>
      <c r="AG165" s="53" t="s">
        <v>336</v>
      </c>
      <c r="AH165" s="60" t="s">
        <v>337</v>
      </c>
      <c r="AI165" s="53" t="s">
        <v>338</v>
      </c>
      <c r="AJ165" s="53" t="s">
        <v>339</v>
      </c>
      <c r="AK165" s="157" t="s">
        <v>2346</v>
      </c>
      <c r="AL165" s="158" t="s">
        <v>2347</v>
      </c>
      <c r="AM165" s="53" t="s">
        <v>340</v>
      </c>
      <c r="AN165" s="53" t="s">
        <v>341</v>
      </c>
      <c r="AO165" s="61" t="s">
        <v>342</v>
      </c>
      <c r="AP165" s="62" t="s">
        <v>343</v>
      </c>
      <c r="AQ165" s="55" t="s">
        <v>344</v>
      </c>
      <c r="AR165" s="53" t="s">
        <v>345</v>
      </c>
      <c r="AS165" s="53" t="s">
        <v>346</v>
      </c>
      <c r="AT165" s="53" t="s">
        <v>364</v>
      </c>
      <c r="AU165" s="60" t="s">
        <v>347</v>
      </c>
      <c r="AV165" s="58" t="s">
        <v>363</v>
      </c>
      <c r="AW165" s="53" t="s">
        <v>348</v>
      </c>
      <c r="AX165" s="58" t="s">
        <v>349</v>
      </c>
      <c r="AY165" s="53" t="s">
        <v>366</v>
      </c>
      <c r="AZ165" s="60" t="s">
        <v>350</v>
      </c>
      <c r="BA165" s="53" t="s">
        <v>365</v>
      </c>
      <c r="BB165" s="60" t="s">
        <v>1827</v>
      </c>
      <c r="BC165" s="63" t="s">
        <v>351</v>
      </c>
      <c r="BD165" s="71" t="s">
        <v>1811</v>
      </c>
      <c r="BE165" s="57" t="s">
        <v>352</v>
      </c>
      <c r="BF165" s="58" t="s">
        <v>1812</v>
      </c>
      <c r="BG165" s="57" t="s">
        <v>1752</v>
      </c>
      <c r="BH165" s="60" t="s">
        <v>1813</v>
      </c>
      <c r="BI165" s="59" t="s">
        <v>353</v>
      </c>
      <c r="BJ165" s="71" t="s">
        <v>1828</v>
      </c>
      <c r="BK165" s="58" t="s">
        <v>1829</v>
      </c>
      <c r="BL165" s="58" t="s">
        <v>1830</v>
      </c>
      <c r="BM165" s="72" t="s">
        <v>1831</v>
      </c>
      <c r="BN165" s="64" t="s">
        <v>1154</v>
      </c>
      <c r="BO165" s="65" t="s">
        <v>1742</v>
      </c>
      <c r="BP165" s="64" t="s">
        <v>1155</v>
      </c>
      <c r="BQ165" s="65" t="s">
        <v>1755</v>
      </c>
      <c r="BR165" s="58" t="s">
        <v>367</v>
      </c>
      <c r="BS165" s="58" t="s">
        <v>1751</v>
      </c>
      <c r="BT165" s="58" t="s">
        <v>368</v>
      </c>
      <c r="BU165" s="60" t="s">
        <v>1814</v>
      </c>
      <c r="BV165" s="61" t="s">
        <v>369</v>
      </c>
      <c r="BW165" s="53" t="s">
        <v>370</v>
      </c>
      <c r="BX165" s="62" t="s">
        <v>371</v>
      </c>
      <c r="BY165" s="53" t="s">
        <v>359</v>
      </c>
      <c r="BZ165" s="53" t="s">
        <v>361</v>
      </c>
      <c r="CA165" s="61" t="s">
        <v>1815</v>
      </c>
      <c r="CB165" s="53" t="s">
        <v>1816</v>
      </c>
      <c r="CC165" s="53" t="s">
        <v>1817</v>
      </c>
      <c r="CD165" s="53" t="s">
        <v>1818</v>
      </c>
      <c r="CE165" s="53" t="s">
        <v>1819</v>
      </c>
      <c r="CF165" s="53" t="s">
        <v>1820</v>
      </c>
      <c r="CG165" s="53" t="s">
        <v>1821</v>
      </c>
      <c r="CH165" s="53" t="s">
        <v>1822</v>
      </c>
      <c r="CI165" s="53" t="s">
        <v>1823</v>
      </c>
      <c r="CJ165" s="53" t="s">
        <v>1824</v>
      </c>
      <c r="CK165" s="53" t="s">
        <v>1825</v>
      </c>
      <c r="CL165" s="53" t="s">
        <v>1826</v>
      </c>
      <c r="CP165" s="9"/>
      <c r="CQ165" s="10"/>
    </row>
    <row r="166" spans="2:95" x14ac:dyDescent="0.15">
      <c r="B166" s="36" t="s">
        <v>137</v>
      </c>
      <c r="C166" s="1" t="s">
        <v>139</v>
      </c>
      <c r="K166" s="1" t="s">
        <v>1765</v>
      </c>
      <c r="L166" s="1" t="s">
        <v>1750</v>
      </c>
      <c r="M166" s="1" t="s">
        <v>358</v>
      </c>
      <c r="N166" s="6">
        <v>10.5</v>
      </c>
      <c r="O166" s="1" t="s">
        <v>4</v>
      </c>
      <c r="P166" s="1">
        <v>40</v>
      </c>
      <c r="Q166" s="1">
        <v>5</v>
      </c>
      <c r="R166" s="1">
        <v>5</v>
      </c>
      <c r="S166" s="1">
        <v>25</v>
      </c>
      <c r="T166" s="1">
        <v>32</v>
      </c>
      <c r="U166" s="253">
        <v>5</v>
      </c>
      <c r="V166" s="1">
        <v>85</v>
      </c>
      <c r="W166" s="44">
        <v>140</v>
      </c>
      <c r="X166" s="40">
        <f>_xlfn.XLOOKUP("Ripening", CropPhenology_Lentil[Main_Stage], CropPhenology_Lentil[Start_GDD], "Not Found")</f>
        <v>1251</v>
      </c>
      <c r="Y166" s="4" cm="1">
        <f t="array" ref="Y166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Z166" s="3">
        <f t="shared" ref="Z166:Z171" si="82">MIN(Y166/V166,MAX(X166/W166,R166,(X166/W166+Y166/V166)/2))</f>
        <v>13.291386554621848</v>
      </c>
      <c r="AA166" s="41">
        <f t="shared" ref="AA166:AA171" si="83">Y166/Z166</f>
        <v>112.85504291336716</v>
      </c>
      <c r="AB166" s="1">
        <v>8</v>
      </c>
      <c r="AC166" s="1">
        <v>8</v>
      </c>
      <c r="AD166" s="1">
        <v>3</v>
      </c>
      <c r="AE166" s="1">
        <v>90</v>
      </c>
      <c r="AF166" s="1">
        <v>5</v>
      </c>
      <c r="AG166" s="1">
        <v>5</v>
      </c>
      <c r="AH166" s="3">
        <f t="shared" ref="AH166:AH171" si="84">IFERROR((Y166-X166)/AA166,0)</f>
        <v>2.206370168067227</v>
      </c>
      <c r="AI166" s="1">
        <v>6</v>
      </c>
      <c r="AJ166" s="1">
        <v>8</v>
      </c>
      <c r="AK166" s="159">
        <v>1.2</v>
      </c>
      <c r="AL166" s="150">
        <v>0.12</v>
      </c>
      <c r="AM166" s="1">
        <v>250</v>
      </c>
      <c r="AN166" s="1">
        <v>350</v>
      </c>
      <c r="AO166" s="48">
        <v>5</v>
      </c>
      <c r="AP166" s="44">
        <v>50</v>
      </c>
      <c r="AQ166" s="42">
        <v>0.8</v>
      </c>
      <c r="AR166" s="1">
        <v>30</v>
      </c>
      <c r="AS166" s="1">
        <v>5</v>
      </c>
      <c r="AT166" s="1">
        <v>1</v>
      </c>
      <c r="AU166" s="4">
        <f t="shared" ref="AU166:AU171" si="85">IFERROR(10000/(AS166*AR166),0)*AT166</f>
        <v>66.666666666666671</v>
      </c>
      <c r="AV166" s="3">
        <f t="shared" ref="AV166:AV171" si="86">ROUND((P166/1000000)*AU166*10000,2)</f>
        <v>26.67</v>
      </c>
      <c r="AW166" s="1">
        <v>85</v>
      </c>
      <c r="AX166" s="3">
        <f t="shared" ref="AX166:AX171" si="87">IFERROR((AU166*AW166/100),0)</f>
        <v>56.666666666666671</v>
      </c>
      <c r="AY166" s="1">
        <v>3</v>
      </c>
      <c r="AZ166" s="4">
        <f t="shared" ref="AZ166:AZ171" si="88">IFERROR(AX166*AY166,0)</f>
        <v>170</v>
      </c>
      <c r="BA166" s="49">
        <v>0.9</v>
      </c>
      <c r="BB166" s="4">
        <f t="shared" ref="BB166:BB171" si="89">IFERROR(AZ166*BA166,0)</f>
        <v>153</v>
      </c>
      <c r="BC166" s="50">
        <v>0.03</v>
      </c>
      <c r="BD166" s="69">
        <f>IFERROR(
  MAX(0.05, MIN(0.5, CropNorms_Lentil[[#This Row],[Leaf_Area_Per_Shoot_m2]] * CropNorms_Lentil[[#This Row],[Shoot_Bearing_m2]] )),
  0.2
)</f>
        <v>0.5</v>
      </c>
      <c r="BE166" s="4">
        <f>_xlfn.XLOOKUP(CropNorms_Lentil[[#This Row],[LAI_Start_BBCH]], CropPhenology_Lentil[Sub_Stage], CropPhenology_Lentil[Start_GDD], "Not Found")</f>
        <v>181</v>
      </c>
      <c r="BF166" s="3">
        <f>ROUND(CropNorms_Lentil[[#This Row],[Shoot_Bearing_m2]]*CropNorms_Lentil[[#This Row],[Leaf_Area_Per_Shoot_m2]],2)</f>
        <v>4.59</v>
      </c>
      <c r="BG166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H166" s="3">
        <f>IF(CropNorms_Lentil[[#This Row],[Max_LAI]]&gt;=1.2, 0.85*CropNorms_Lentil[[#This Row],[Max_LAI]], 1)</f>
        <v>3.9015</v>
      </c>
      <c r="BI166" s="41">
        <f>_xlfn.XLOOKUP(CropNorms_Lentil[[#This Row],[LAI_End_BBCH]], CropPhenology_Lentil[Sub_Stage], CropPhenology_Lentil[End_GDD], "Not Found")</f>
        <v>1250</v>
      </c>
      <c r="BJ166" s="3" cm="1">
        <f t="array" ref="BJ166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K166" s="3" cm="1">
        <f t="array" ref="BK166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L166" s="3" cm="1">
        <f t="array" ref="BL166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M166" s="3" cm="1">
        <f t="array" ref="BM166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6" s="42">
        <v>0.4</v>
      </c>
      <c r="BO166" s="43">
        <v>0</v>
      </c>
      <c r="BP166" s="42">
        <v>3.6</v>
      </c>
      <c r="BQ166" s="43" t="s">
        <v>1795</v>
      </c>
      <c r="BR166" s="3" t="str" cm="1">
        <f t="array" ref="BR166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6" s="3" t="str" cm="1">
        <f t="array" ref="BS166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66" s="3" t="str" cm="1">
        <f t="array" ref="BT166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6" s="3" t="str" cm="1">
        <f t="array" ref="BU166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6" s="48">
        <v>15</v>
      </c>
      <c r="BW166" s="1">
        <v>30</v>
      </c>
      <c r="BX166" s="44">
        <v>30</v>
      </c>
      <c r="BY166" s="51">
        <v>45945</v>
      </c>
      <c r="BZ166" s="5">
        <v>45976</v>
      </c>
      <c r="CA166" s="85">
        <v>0</v>
      </c>
      <c r="CB166" s="2">
        <v>0</v>
      </c>
      <c r="CC166" s="2">
        <v>1</v>
      </c>
      <c r="CD166" s="2">
        <v>1</v>
      </c>
      <c r="CE166" s="2">
        <v>1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P166" s="9"/>
      <c r="CQ166" s="10"/>
    </row>
    <row r="167" spans="2:95" x14ac:dyDescent="0.15">
      <c r="B167" s="36" t="s">
        <v>137</v>
      </c>
      <c r="C167" s="1" t="s">
        <v>140</v>
      </c>
      <c r="K167" s="1" t="s">
        <v>1765</v>
      </c>
      <c r="L167" s="1" t="s">
        <v>1750</v>
      </c>
      <c r="M167" s="1" t="s">
        <v>358</v>
      </c>
      <c r="N167" s="6">
        <v>10.5</v>
      </c>
      <c r="O167" s="1" t="s">
        <v>4</v>
      </c>
      <c r="P167" s="1">
        <v>40</v>
      </c>
      <c r="Q167" s="1">
        <v>5</v>
      </c>
      <c r="R167" s="1">
        <v>5</v>
      </c>
      <c r="S167" s="1">
        <v>25</v>
      </c>
      <c r="T167" s="1">
        <v>32</v>
      </c>
      <c r="U167" s="253">
        <v>5</v>
      </c>
      <c r="V167" s="1">
        <v>85</v>
      </c>
      <c r="W167" s="44">
        <v>140</v>
      </c>
      <c r="X167" s="40">
        <f>_xlfn.XLOOKUP("Ripening", CropPhenology_Lentil[Main_Stage], CropPhenology_Lentil[Start_GDD], "Not Found")</f>
        <v>1251</v>
      </c>
      <c r="Y167" s="4" cm="1">
        <f t="array" ref="Y167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Z167" s="3">
        <f t="shared" si="82"/>
        <v>13.291386554621848</v>
      </c>
      <c r="AA167" s="41">
        <f t="shared" si="83"/>
        <v>112.85504291336716</v>
      </c>
      <c r="AB167" s="1">
        <v>8</v>
      </c>
      <c r="AC167" s="1">
        <v>8</v>
      </c>
      <c r="AD167" s="1">
        <v>3</v>
      </c>
      <c r="AE167" s="1">
        <v>90</v>
      </c>
      <c r="AF167" s="1">
        <v>5</v>
      </c>
      <c r="AG167" s="1">
        <v>5</v>
      </c>
      <c r="AH167" s="3">
        <f t="shared" si="84"/>
        <v>2.206370168067227</v>
      </c>
      <c r="AI167" s="1">
        <v>6</v>
      </c>
      <c r="AJ167" s="1">
        <v>8</v>
      </c>
      <c r="AK167" s="159">
        <v>1.2</v>
      </c>
      <c r="AL167" s="150">
        <v>0.12</v>
      </c>
      <c r="AM167" s="1">
        <v>250</v>
      </c>
      <c r="AN167" s="1">
        <v>350</v>
      </c>
      <c r="AO167" s="48">
        <v>5</v>
      </c>
      <c r="AP167" s="44">
        <v>50</v>
      </c>
      <c r="AQ167" s="42">
        <v>0.82</v>
      </c>
      <c r="AR167" s="1">
        <v>30</v>
      </c>
      <c r="AS167" s="1">
        <v>5</v>
      </c>
      <c r="AT167" s="1">
        <v>1</v>
      </c>
      <c r="AU167" s="4">
        <f t="shared" si="85"/>
        <v>66.666666666666671</v>
      </c>
      <c r="AV167" s="3">
        <f t="shared" si="86"/>
        <v>26.67</v>
      </c>
      <c r="AW167" s="1">
        <v>85</v>
      </c>
      <c r="AX167" s="3">
        <f t="shared" si="87"/>
        <v>56.666666666666671</v>
      </c>
      <c r="AY167" s="1">
        <v>3</v>
      </c>
      <c r="AZ167" s="4">
        <f t="shared" si="88"/>
        <v>170</v>
      </c>
      <c r="BA167" s="49">
        <v>0.9</v>
      </c>
      <c r="BB167" s="4">
        <f t="shared" si="89"/>
        <v>153</v>
      </c>
      <c r="BC167" s="50">
        <v>0.03</v>
      </c>
      <c r="BD167" s="69">
        <f>IFERROR(
  MAX(0.05, MIN(0.5, CropNorms_Lentil[[#This Row],[Leaf_Area_Per_Shoot_m2]] * CropNorms_Lentil[[#This Row],[Shoot_Bearing_m2]] )),
  0.2
)</f>
        <v>0.5</v>
      </c>
      <c r="BE167" s="4">
        <f>_xlfn.XLOOKUP(CropNorms_Lentil[[#This Row],[LAI_Start_BBCH]], CropPhenology_Lentil[Sub_Stage], CropPhenology_Lentil[Start_GDD], "Not Found")</f>
        <v>181</v>
      </c>
      <c r="BF167" s="3">
        <f>ROUND(CropNorms_Lentil[[#This Row],[Shoot_Bearing_m2]]*CropNorms_Lentil[[#This Row],[Leaf_Area_Per_Shoot_m2]],2)</f>
        <v>4.59</v>
      </c>
      <c r="BG167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H167" s="3">
        <f>IF(CropNorms_Lentil[[#This Row],[Max_LAI]]&gt;=1.2, 0.85*CropNorms_Lentil[[#This Row],[Max_LAI]], 1)</f>
        <v>3.9015</v>
      </c>
      <c r="BI167" s="41">
        <f>_xlfn.XLOOKUP(CropNorms_Lentil[[#This Row],[LAI_End_BBCH]], CropPhenology_Lentil[Sub_Stage], CropPhenology_Lentil[End_GDD], "Not Found")</f>
        <v>1250</v>
      </c>
      <c r="BJ167" s="3" cm="1">
        <f t="array" ref="BJ167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K167" s="3" cm="1">
        <f t="array" ref="BK167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L167" s="3" cm="1">
        <f t="array" ref="BL167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M167" s="3" cm="1">
        <f t="array" ref="BM167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7" s="42">
        <v>0.4</v>
      </c>
      <c r="BO167" s="43">
        <v>0</v>
      </c>
      <c r="BP167" s="42">
        <v>3.6</v>
      </c>
      <c r="BQ167" s="43" t="s">
        <v>1795</v>
      </c>
      <c r="BR167" s="3" t="str" cm="1">
        <f t="array" ref="BR167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7" s="3" t="str" cm="1">
        <f t="array" ref="BS167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67" s="3" t="str" cm="1">
        <f t="array" ref="BT167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7" s="3" t="str" cm="1">
        <f t="array" ref="BU167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7" s="48">
        <v>15</v>
      </c>
      <c r="BW167" s="1">
        <v>30</v>
      </c>
      <c r="BX167" s="44">
        <v>30</v>
      </c>
      <c r="BY167" s="51">
        <v>45945</v>
      </c>
      <c r="BZ167" s="5">
        <v>45976</v>
      </c>
      <c r="CA167" s="85">
        <v>0</v>
      </c>
      <c r="CB167" s="2">
        <v>0</v>
      </c>
      <c r="CC167" s="2">
        <v>1</v>
      </c>
      <c r="CD167" s="2">
        <v>1</v>
      </c>
      <c r="CE167" s="2">
        <v>1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P167" s="9"/>
      <c r="CQ167" s="10"/>
    </row>
    <row r="168" spans="2:95" x14ac:dyDescent="0.15">
      <c r="B168" s="36" t="s">
        <v>137</v>
      </c>
      <c r="C168" s="1" t="s">
        <v>141</v>
      </c>
      <c r="K168" s="1" t="s">
        <v>1765</v>
      </c>
      <c r="L168" s="1" t="s">
        <v>1750</v>
      </c>
      <c r="M168" s="1" t="s">
        <v>358</v>
      </c>
      <c r="N168" s="6">
        <v>10.5</v>
      </c>
      <c r="O168" s="1" t="s">
        <v>4</v>
      </c>
      <c r="P168" s="1">
        <v>40</v>
      </c>
      <c r="Q168" s="1">
        <v>5</v>
      </c>
      <c r="R168" s="1">
        <v>5</v>
      </c>
      <c r="S168" s="1">
        <v>25</v>
      </c>
      <c r="T168" s="1">
        <v>32</v>
      </c>
      <c r="U168" s="253">
        <v>5</v>
      </c>
      <c r="V168" s="1">
        <v>85</v>
      </c>
      <c r="W168" s="44">
        <v>140</v>
      </c>
      <c r="X168" s="40">
        <f>_xlfn.XLOOKUP("Ripening", CropPhenology_Lentil[Main_Stage], CropPhenology_Lentil[Start_GDD], "Not Found")</f>
        <v>1251</v>
      </c>
      <c r="Y168" s="4" cm="1">
        <f t="array" ref="Y168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Z168" s="3">
        <f t="shared" si="82"/>
        <v>13.291386554621848</v>
      </c>
      <c r="AA168" s="41">
        <f t="shared" si="83"/>
        <v>112.85504291336716</v>
      </c>
      <c r="AB168" s="1">
        <v>8</v>
      </c>
      <c r="AC168" s="1">
        <v>8</v>
      </c>
      <c r="AD168" s="1">
        <v>3</v>
      </c>
      <c r="AE168" s="1">
        <v>90</v>
      </c>
      <c r="AF168" s="1">
        <v>5</v>
      </c>
      <c r="AG168" s="1">
        <v>5</v>
      </c>
      <c r="AH168" s="3">
        <f t="shared" si="84"/>
        <v>2.206370168067227</v>
      </c>
      <c r="AI168" s="1">
        <v>6</v>
      </c>
      <c r="AJ168" s="1">
        <v>8</v>
      </c>
      <c r="AK168" s="159">
        <v>1.2</v>
      </c>
      <c r="AL168" s="150">
        <v>0.12</v>
      </c>
      <c r="AM168" s="1">
        <v>250</v>
      </c>
      <c r="AN168" s="1">
        <v>350</v>
      </c>
      <c r="AO168" s="48">
        <v>5</v>
      </c>
      <c r="AP168" s="44">
        <v>50</v>
      </c>
      <c r="AQ168" s="42">
        <v>0.78</v>
      </c>
      <c r="AR168" s="1">
        <v>30</v>
      </c>
      <c r="AS168" s="1">
        <v>5</v>
      </c>
      <c r="AT168" s="1">
        <v>1</v>
      </c>
      <c r="AU168" s="4">
        <f t="shared" si="85"/>
        <v>66.666666666666671</v>
      </c>
      <c r="AV168" s="3">
        <f t="shared" si="86"/>
        <v>26.67</v>
      </c>
      <c r="AW168" s="1">
        <v>85</v>
      </c>
      <c r="AX168" s="3">
        <f t="shared" si="87"/>
        <v>56.666666666666671</v>
      </c>
      <c r="AY168" s="1">
        <v>3</v>
      </c>
      <c r="AZ168" s="4">
        <f t="shared" si="88"/>
        <v>170</v>
      </c>
      <c r="BA168" s="49">
        <v>0.9</v>
      </c>
      <c r="BB168" s="4">
        <f t="shared" si="89"/>
        <v>153</v>
      </c>
      <c r="BC168" s="50">
        <v>0.03</v>
      </c>
      <c r="BD168" s="69">
        <f>IFERROR(
  MAX(0.05, MIN(0.5, CropNorms_Lentil[[#This Row],[Leaf_Area_Per_Shoot_m2]] * CropNorms_Lentil[[#This Row],[Shoot_Bearing_m2]] )),
  0.2
)</f>
        <v>0.5</v>
      </c>
      <c r="BE168" s="4">
        <f>_xlfn.XLOOKUP(CropNorms_Lentil[[#This Row],[LAI_Start_BBCH]], CropPhenology_Lentil[Sub_Stage], CropPhenology_Lentil[Start_GDD], "Not Found")</f>
        <v>181</v>
      </c>
      <c r="BF168" s="3">
        <f>ROUND(CropNorms_Lentil[[#This Row],[Shoot_Bearing_m2]]*CropNorms_Lentil[[#This Row],[Leaf_Area_Per_Shoot_m2]],2)</f>
        <v>4.59</v>
      </c>
      <c r="BG168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H168" s="3">
        <f>IF(CropNorms_Lentil[[#This Row],[Max_LAI]]&gt;=1.2, 0.85*CropNorms_Lentil[[#This Row],[Max_LAI]], 1)</f>
        <v>3.9015</v>
      </c>
      <c r="BI168" s="41">
        <f>_xlfn.XLOOKUP(CropNorms_Lentil[[#This Row],[LAI_End_BBCH]], CropPhenology_Lentil[Sub_Stage], CropPhenology_Lentil[End_GDD], "Not Found")</f>
        <v>1250</v>
      </c>
      <c r="BJ168" s="3" cm="1">
        <f t="array" ref="BJ168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K168" s="3" cm="1">
        <f t="array" ref="BK168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L168" s="3" cm="1">
        <f t="array" ref="BL168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M168" s="3" cm="1">
        <f t="array" ref="BM168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8" s="42">
        <v>0.4</v>
      </c>
      <c r="BO168" s="43">
        <v>0</v>
      </c>
      <c r="BP168" s="42">
        <v>3.6</v>
      </c>
      <c r="BQ168" s="43" t="s">
        <v>1795</v>
      </c>
      <c r="BR168" s="3" t="str" cm="1">
        <f t="array" ref="BR168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8" s="3" t="str" cm="1">
        <f t="array" ref="BS168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68" s="3" t="str" cm="1">
        <f t="array" ref="BT168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8" s="3" t="str" cm="1">
        <f t="array" ref="BU168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8" s="48">
        <v>15</v>
      </c>
      <c r="BW168" s="1">
        <v>30</v>
      </c>
      <c r="BX168" s="44">
        <v>30</v>
      </c>
      <c r="BY168" s="51">
        <v>45945</v>
      </c>
      <c r="BZ168" s="5">
        <v>45976</v>
      </c>
      <c r="CA168" s="85">
        <v>0</v>
      </c>
      <c r="CB168" s="2">
        <v>0</v>
      </c>
      <c r="CC168" s="2">
        <v>1</v>
      </c>
      <c r="CD168" s="2">
        <v>1</v>
      </c>
      <c r="CE168" s="2">
        <v>1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P168" s="9"/>
      <c r="CQ168" s="10"/>
    </row>
    <row r="169" spans="2:95" x14ac:dyDescent="0.15">
      <c r="B169" s="36" t="s">
        <v>137</v>
      </c>
      <c r="C169" s="1" t="s">
        <v>142</v>
      </c>
      <c r="K169" s="1" t="s">
        <v>1765</v>
      </c>
      <c r="L169" s="1" t="s">
        <v>1750</v>
      </c>
      <c r="M169" s="1" t="s">
        <v>358</v>
      </c>
      <c r="N169" s="6">
        <v>10.5</v>
      </c>
      <c r="O169" s="1" t="s">
        <v>4</v>
      </c>
      <c r="P169" s="1">
        <v>40</v>
      </c>
      <c r="Q169" s="1">
        <v>5</v>
      </c>
      <c r="R169" s="1">
        <v>5</v>
      </c>
      <c r="S169" s="1">
        <v>25</v>
      </c>
      <c r="T169" s="1">
        <v>32</v>
      </c>
      <c r="U169" s="253">
        <v>5</v>
      </c>
      <c r="V169" s="1">
        <v>85</v>
      </c>
      <c r="W169" s="44">
        <v>140</v>
      </c>
      <c r="X169" s="40">
        <f>_xlfn.XLOOKUP("Ripening", CropPhenology_Lentil[Main_Stage], CropPhenology_Lentil[Start_GDD], "Not Found")</f>
        <v>1251</v>
      </c>
      <c r="Y169" s="4" cm="1">
        <f t="array" ref="Y169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Z169" s="3">
        <f t="shared" si="82"/>
        <v>13.291386554621848</v>
      </c>
      <c r="AA169" s="41">
        <f t="shared" si="83"/>
        <v>112.85504291336716</v>
      </c>
      <c r="AB169" s="1">
        <v>8</v>
      </c>
      <c r="AC169" s="1">
        <v>8</v>
      </c>
      <c r="AD169" s="1">
        <v>3</v>
      </c>
      <c r="AE169" s="1">
        <v>90</v>
      </c>
      <c r="AF169" s="1">
        <v>5</v>
      </c>
      <c r="AG169" s="1">
        <v>5</v>
      </c>
      <c r="AH169" s="3">
        <f t="shared" si="84"/>
        <v>2.206370168067227</v>
      </c>
      <c r="AI169" s="1">
        <v>6</v>
      </c>
      <c r="AJ169" s="1">
        <v>8</v>
      </c>
      <c r="AK169" s="159">
        <v>1.2</v>
      </c>
      <c r="AL169" s="150">
        <v>0.12</v>
      </c>
      <c r="AM169" s="1">
        <v>250</v>
      </c>
      <c r="AN169" s="1">
        <v>350</v>
      </c>
      <c r="AO169" s="48">
        <v>5</v>
      </c>
      <c r="AP169" s="44">
        <v>50</v>
      </c>
      <c r="AQ169" s="42">
        <v>0.78</v>
      </c>
      <c r="AR169" s="1">
        <v>30</v>
      </c>
      <c r="AS169" s="1">
        <v>5</v>
      </c>
      <c r="AT169" s="1">
        <v>1</v>
      </c>
      <c r="AU169" s="4">
        <f t="shared" si="85"/>
        <v>66.666666666666671</v>
      </c>
      <c r="AV169" s="3">
        <f t="shared" si="86"/>
        <v>26.67</v>
      </c>
      <c r="AW169" s="1">
        <v>85</v>
      </c>
      <c r="AX169" s="3">
        <f t="shared" si="87"/>
        <v>56.666666666666671</v>
      </c>
      <c r="AY169" s="1">
        <v>3</v>
      </c>
      <c r="AZ169" s="4">
        <f t="shared" si="88"/>
        <v>170</v>
      </c>
      <c r="BA169" s="49">
        <v>0.9</v>
      </c>
      <c r="BB169" s="4">
        <f t="shared" si="89"/>
        <v>153</v>
      </c>
      <c r="BC169" s="50">
        <v>0.03</v>
      </c>
      <c r="BD169" s="69">
        <f>IFERROR(
  MAX(0.05, MIN(0.5, CropNorms_Lentil[[#This Row],[Leaf_Area_Per_Shoot_m2]] * CropNorms_Lentil[[#This Row],[Shoot_Bearing_m2]] )),
  0.2
)</f>
        <v>0.5</v>
      </c>
      <c r="BE169" s="4">
        <f>_xlfn.XLOOKUP(CropNorms_Lentil[[#This Row],[LAI_Start_BBCH]], CropPhenology_Lentil[Sub_Stage], CropPhenology_Lentil[Start_GDD], "Not Found")</f>
        <v>181</v>
      </c>
      <c r="BF169" s="3">
        <f>ROUND(CropNorms_Lentil[[#This Row],[Shoot_Bearing_m2]]*CropNorms_Lentil[[#This Row],[Leaf_Area_Per_Shoot_m2]],2)</f>
        <v>4.59</v>
      </c>
      <c r="BG169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H169" s="3">
        <f>IF(CropNorms_Lentil[[#This Row],[Max_LAI]]&gt;=1.2, 0.85*CropNorms_Lentil[[#This Row],[Max_LAI]], 1)</f>
        <v>3.9015</v>
      </c>
      <c r="BI169" s="41">
        <f>_xlfn.XLOOKUP(CropNorms_Lentil[[#This Row],[LAI_End_BBCH]], CropPhenology_Lentil[Sub_Stage], CropPhenology_Lentil[End_GDD], "Not Found")</f>
        <v>1250</v>
      </c>
      <c r="BJ169" s="3" cm="1">
        <f t="array" ref="BJ169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K169" s="3" cm="1">
        <f t="array" ref="BK169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L169" s="3" cm="1">
        <f t="array" ref="BL169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M169" s="3" cm="1">
        <f t="array" ref="BM169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69" s="42">
        <v>0.4</v>
      </c>
      <c r="BO169" s="43">
        <v>0</v>
      </c>
      <c r="BP169" s="42">
        <v>3.6</v>
      </c>
      <c r="BQ169" s="43" t="s">
        <v>1795</v>
      </c>
      <c r="BR169" s="3" t="str" cm="1">
        <f t="array" ref="BR169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69" s="3" t="str" cm="1">
        <f t="array" ref="BS169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69" s="3" t="str" cm="1">
        <f t="array" ref="BT169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69" s="3" t="str" cm="1">
        <f t="array" ref="BU169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69" s="48">
        <v>15</v>
      </c>
      <c r="BW169" s="1">
        <v>30</v>
      </c>
      <c r="BX169" s="44">
        <v>30</v>
      </c>
      <c r="BY169" s="51">
        <v>45945</v>
      </c>
      <c r="BZ169" s="5">
        <v>45976</v>
      </c>
      <c r="CA169" s="85">
        <v>0</v>
      </c>
      <c r="CB169" s="2">
        <v>0</v>
      </c>
      <c r="CC169" s="2">
        <v>1</v>
      </c>
      <c r="CD169" s="2">
        <v>1</v>
      </c>
      <c r="CE169" s="2">
        <v>1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P169" s="9"/>
      <c r="CQ169" s="10"/>
    </row>
    <row r="170" spans="2:95" x14ac:dyDescent="0.15">
      <c r="B170" s="36" t="s">
        <v>137</v>
      </c>
      <c r="C170" s="1" t="s">
        <v>143</v>
      </c>
      <c r="K170" s="1" t="s">
        <v>1765</v>
      </c>
      <c r="L170" s="1" t="s">
        <v>1750</v>
      </c>
      <c r="M170" s="1" t="s">
        <v>358</v>
      </c>
      <c r="N170" s="6">
        <v>10.5</v>
      </c>
      <c r="O170" s="1" t="s">
        <v>4</v>
      </c>
      <c r="P170" s="1">
        <v>40</v>
      </c>
      <c r="Q170" s="1">
        <v>5</v>
      </c>
      <c r="R170" s="1">
        <v>5</v>
      </c>
      <c r="S170" s="1">
        <v>25</v>
      </c>
      <c r="T170" s="1">
        <v>32</v>
      </c>
      <c r="U170" s="253">
        <v>5</v>
      </c>
      <c r="V170" s="1">
        <v>85</v>
      </c>
      <c r="W170" s="44">
        <v>140</v>
      </c>
      <c r="X170" s="40">
        <f>_xlfn.XLOOKUP("Ripening", CropPhenology_Lentil[Main_Stage], CropPhenology_Lentil[Start_GDD], "Not Found")</f>
        <v>1251</v>
      </c>
      <c r="Y170" s="4" cm="1">
        <f t="array" ref="Y170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Z170" s="3">
        <f t="shared" si="82"/>
        <v>13.291386554621848</v>
      </c>
      <c r="AA170" s="41">
        <f t="shared" si="83"/>
        <v>112.85504291336716</v>
      </c>
      <c r="AB170" s="1">
        <v>8</v>
      </c>
      <c r="AC170" s="1">
        <v>8</v>
      </c>
      <c r="AD170" s="1">
        <v>3</v>
      </c>
      <c r="AE170" s="1">
        <v>90</v>
      </c>
      <c r="AF170" s="1">
        <v>5</v>
      </c>
      <c r="AG170" s="1">
        <v>5</v>
      </c>
      <c r="AH170" s="3">
        <f t="shared" si="84"/>
        <v>2.206370168067227</v>
      </c>
      <c r="AI170" s="1">
        <v>6</v>
      </c>
      <c r="AJ170" s="1">
        <v>8</v>
      </c>
      <c r="AK170" s="159">
        <v>1.2</v>
      </c>
      <c r="AL170" s="150">
        <v>0.12</v>
      </c>
      <c r="AM170" s="1">
        <v>250</v>
      </c>
      <c r="AN170" s="1">
        <v>350</v>
      </c>
      <c r="AO170" s="48">
        <v>5</v>
      </c>
      <c r="AP170" s="44">
        <v>50</v>
      </c>
      <c r="AQ170" s="42">
        <v>0.77</v>
      </c>
      <c r="AR170" s="1">
        <v>30</v>
      </c>
      <c r="AS170" s="1">
        <v>5</v>
      </c>
      <c r="AT170" s="1">
        <v>1</v>
      </c>
      <c r="AU170" s="4">
        <f t="shared" si="85"/>
        <v>66.666666666666671</v>
      </c>
      <c r="AV170" s="3">
        <f t="shared" si="86"/>
        <v>26.67</v>
      </c>
      <c r="AW170" s="1">
        <v>85</v>
      </c>
      <c r="AX170" s="3">
        <f t="shared" si="87"/>
        <v>56.666666666666671</v>
      </c>
      <c r="AY170" s="1">
        <v>3</v>
      </c>
      <c r="AZ170" s="4">
        <f t="shared" si="88"/>
        <v>170</v>
      </c>
      <c r="BA170" s="49">
        <v>0.9</v>
      </c>
      <c r="BB170" s="4">
        <f t="shared" si="89"/>
        <v>153</v>
      </c>
      <c r="BC170" s="50">
        <v>0.03</v>
      </c>
      <c r="BD170" s="69">
        <f>IFERROR(
  MAX(0.05, MIN(0.5, CropNorms_Lentil[[#This Row],[Leaf_Area_Per_Shoot_m2]] * CropNorms_Lentil[[#This Row],[Shoot_Bearing_m2]] )),
  0.2
)</f>
        <v>0.5</v>
      </c>
      <c r="BE170" s="4">
        <f>_xlfn.XLOOKUP(CropNorms_Lentil[[#This Row],[LAI_Start_BBCH]], CropPhenology_Lentil[Sub_Stage], CropPhenology_Lentil[Start_GDD], "Not Found")</f>
        <v>181</v>
      </c>
      <c r="BF170" s="3">
        <f>ROUND(CropNorms_Lentil[[#This Row],[Shoot_Bearing_m2]]*CropNorms_Lentil[[#This Row],[Leaf_Area_Per_Shoot_m2]],2)</f>
        <v>4.59</v>
      </c>
      <c r="BG170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H170" s="3">
        <f>IF(CropNorms_Lentil[[#This Row],[Max_LAI]]&gt;=1.2, 0.85*CropNorms_Lentil[[#This Row],[Max_LAI]], 1)</f>
        <v>3.9015</v>
      </c>
      <c r="BI170" s="41">
        <f>_xlfn.XLOOKUP(CropNorms_Lentil[[#This Row],[LAI_End_BBCH]], CropPhenology_Lentil[Sub_Stage], CropPhenology_Lentil[End_GDD], "Not Found")</f>
        <v>1250</v>
      </c>
      <c r="BJ170" s="3" cm="1">
        <f t="array" ref="BJ170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K170" s="3" cm="1">
        <f t="array" ref="BK170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L170" s="3" cm="1">
        <f t="array" ref="BL170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M170" s="3" cm="1">
        <f t="array" ref="BM170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0" s="42">
        <v>0.4</v>
      </c>
      <c r="BO170" s="43">
        <v>0</v>
      </c>
      <c r="BP170" s="42">
        <v>3.6</v>
      </c>
      <c r="BQ170" s="43" t="s">
        <v>1795</v>
      </c>
      <c r="BR170" s="3" t="str" cm="1">
        <f t="array" ref="BR170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70" s="3" t="str" cm="1">
        <f t="array" ref="BS170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70" s="3" t="str" cm="1">
        <f t="array" ref="BT170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70" s="3" t="str" cm="1">
        <f t="array" ref="BU170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70" s="48">
        <v>15</v>
      </c>
      <c r="BW170" s="1">
        <v>30</v>
      </c>
      <c r="BX170" s="44">
        <v>30</v>
      </c>
      <c r="BY170" s="51">
        <v>45945</v>
      </c>
      <c r="BZ170" s="5">
        <v>45976</v>
      </c>
      <c r="CA170" s="85">
        <v>0</v>
      </c>
      <c r="CB170" s="2">
        <v>0</v>
      </c>
      <c r="CC170" s="2">
        <v>1</v>
      </c>
      <c r="CD170" s="2">
        <v>1</v>
      </c>
      <c r="CE170" s="2">
        <v>1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P170" s="9"/>
      <c r="CQ170" s="10"/>
    </row>
    <row r="171" spans="2:95" ht="11.25" thickBot="1" x14ac:dyDescent="0.2">
      <c r="B171" s="36" t="s">
        <v>137</v>
      </c>
      <c r="C171" s="1" t="s">
        <v>138</v>
      </c>
      <c r="K171" s="1" t="s">
        <v>1765</v>
      </c>
      <c r="L171" s="1" t="s">
        <v>1750</v>
      </c>
      <c r="M171" s="1" t="s">
        <v>358</v>
      </c>
      <c r="N171" s="6">
        <v>10.5</v>
      </c>
      <c r="O171" s="1" t="s">
        <v>2</v>
      </c>
      <c r="P171" s="1">
        <v>40</v>
      </c>
      <c r="Q171" s="1">
        <v>5</v>
      </c>
      <c r="R171" s="1">
        <v>5</v>
      </c>
      <c r="S171" s="1">
        <v>25</v>
      </c>
      <c r="T171" s="1">
        <v>32</v>
      </c>
      <c r="U171" s="254">
        <v>5</v>
      </c>
      <c r="V171" s="1">
        <v>85</v>
      </c>
      <c r="W171" s="44">
        <v>140</v>
      </c>
      <c r="X171" s="40">
        <f>_xlfn.XLOOKUP("Ripening", CropPhenology_Lentil[Main_Stage], CropPhenology_Lentil[Start_GDD], "Not Found")</f>
        <v>1251</v>
      </c>
      <c r="Y171" s="4" cm="1">
        <f t="array" ref="Y171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Z171" s="3">
        <f t="shared" si="82"/>
        <v>13.291386554621848</v>
      </c>
      <c r="AA171" s="41">
        <f t="shared" si="83"/>
        <v>112.85504291336716</v>
      </c>
      <c r="AB171" s="1">
        <v>8</v>
      </c>
      <c r="AC171" s="1">
        <v>8</v>
      </c>
      <c r="AD171" s="1">
        <v>3</v>
      </c>
      <c r="AE171" s="1">
        <v>90</v>
      </c>
      <c r="AF171" s="1">
        <v>5</v>
      </c>
      <c r="AG171" s="1">
        <v>5</v>
      </c>
      <c r="AH171" s="3">
        <f t="shared" si="84"/>
        <v>2.206370168067227</v>
      </c>
      <c r="AI171" s="1">
        <v>6</v>
      </c>
      <c r="AJ171" s="1">
        <v>8</v>
      </c>
      <c r="AK171" s="160">
        <v>1.2</v>
      </c>
      <c r="AL171" s="161">
        <v>0.12</v>
      </c>
      <c r="AM171" s="1">
        <v>200</v>
      </c>
      <c r="AN171" s="1">
        <v>300</v>
      </c>
      <c r="AO171" s="48">
        <v>5</v>
      </c>
      <c r="AP171" s="44">
        <v>50</v>
      </c>
      <c r="AQ171" s="42">
        <v>0.7</v>
      </c>
      <c r="AR171" s="1">
        <v>30</v>
      </c>
      <c r="AS171" s="1">
        <v>5</v>
      </c>
      <c r="AT171" s="1">
        <v>1</v>
      </c>
      <c r="AU171" s="4">
        <f t="shared" si="85"/>
        <v>66.666666666666671</v>
      </c>
      <c r="AV171" s="3">
        <f t="shared" si="86"/>
        <v>26.67</v>
      </c>
      <c r="AW171" s="1">
        <v>85</v>
      </c>
      <c r="AX171" s="3">
        <f t="shared" si="87"/>
        <v>56.666666666666671</v>
      </c>
      <c r="AY171" s="1">
        <v>3</v>
      </c>
      <c r="AZ171" s="4">
        <f t="shared" si="88"/>
        <v>170</v>
      </c>
      <c r="BA171" s="49">
        <v>0.9</v>
      </c>
      <c r="BB171" s="4">
        <f t="shared" si="89"/>
        <v>153</v>
      </c>
      <c r="BC171" s="50">
        <v>0.03</v>
      </c>
      <c r="BD171" s="69">
        <f>IFERROR(
  MAX(0.05, MIN(0.5, CropNorms_Lentil[[#This Row],[Leaf_Area_Per_Shoot_m2]] * CropNorms_Lentil[[#This Row],[Shoot_Bearing_m2]] )),
  0.2
)</f>
        <v>0.5</v>
      </c>
      <c r="BE171" s="4">
        <f>_xlfn.XLOOKUP(CropNorms_Lentil[[#This Row],[LAI_Start_BBCH]], CropPhenology_Lentil[Sub_Stage], CropPhenology_Lentil[Start_GDD], "Not Found")</f>
        <v>181</v>
      </c>
      <c r="BF171" s="3">
        <f>ROUND(CropNorms_Lentil[[#This Row],[Shoot_Bearing_m2]]*CropNorms_Lentil[[#This Row],[Leaf_Area_Per_Shoot_m2]],2)</f>
        <v>4.59</v>
      </c>
      <c r="BG171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H171" s="3">
        <f>IF(CropNorms_Lentil[[#This Row],[Max_LAI]]&gt;=1.2, 0.85*CropNorms_Lentil[[#This Row],[Max_LAI]], 1)</f>
        <v>3.9015</v>
      </c>
      <c r="BI171" s="41">
        <f>_xlfn.XLOOKUP(CropNorms_Lentil[[#This Row],[LAI_End_BBCH]], CropPhenology_Lentil[Sub_Stage], CropPhenology_Lentil[End_GDD], "Not Found")</f>
        <v>1250</v>
      </c>
      <c r="BJ171" s="3" cm="1">
        <f t="array" ref="BJ171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K171" s="3" cm="1">
        <f t="array" ref="BK17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L171" s="3" cm="1">
        <f t="array" ref="BL171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M171" s="3" cm="1">
        <f t="array" ref="BM17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1" s="42">
        <v>0.4</v>
      </c>
      <c r="BO171" s="43">
        <v>0</v>
      </c>
      <c r="BP171" s="42">
        <v>0.6</v>
      </c>
      <c r="BQ171" s="43" t="s">
        <v>1795</v>
      </c>
      <c r="BR171" s="3" t="str" cm="1">
        <f t="array" ref="BR17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71" s="3" t="str" cm="1">
        <f t="array" ref="BS17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71" s="3" t="str" cm="1">
        <f t="array" ref="BT171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71" s="3" t="str" cm="1">
        <f t="array" ref="BU171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71" s="48">
        <v>15</v>
      </c>
      <c r="BW171" s="1">
        <v>30</v>
      </c>
      <c r="BX171" s="44">
        <v>30</v>
      </c>
      <c r="BY171" s="51">
        <v>45945</v>
      </c>
      <c r="BZ171" s="5">
        <v>45976</v>
      </c>
      <c r="CA171" s="85">
        <v>0</v>
      </c>
      <c r="CB171" s="2">
        <v>0</v>
      </c>
      <c r="CC171" s="2">
        <v>1</v>
      </c>
      <c r="CD171" s="2">
        <v>1</v>
      </c>
      <c r="CE171" s="2">
        <v>1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P171" s="9"/>
      <c r="CQ171" s="10"/>
    </row>
    <row r="172" spans="2:95" ht="11.25" thickBot="1" x14ac:dyDescent="0.2">
      <c r="Y172" s="3"/>
      <c r="Z172" s="4"/>
      <c r="AG172" s="3"/>
      <c r="AR172" s="4"/>
      <c r="AS172" s="3"/>
      <c r="AU172" s="3"/>
      <c r="AW172" s="4"/>
      <c r="AX172" s="49"/>
      <c r="AY172" s="4"/>
      <c r="BV172" s="51"/>
      <c r="BW172" s="51"/>
      <c r="CP172" s="9"/>
      <c r="CQ172" s="10"/>
    </row>
    <row r="173" spans="2:95" ht="11.25" thickBot="1" x14ac:dyDescent="0.2">
      <c r="B173" s="54" t="s">
        <v>1753</v>
      </c>
      <c r="C173" s="53" t="s">
        <v>1754</v>
      </c>
      <c r="D173" s="53" t="s">
        <v>1804</v>
      </c>
      <c r="E173" s="53" t="s">
        <v>1805</v>
      </c>
      <c r="F173" s="53" t="s">
        <v>1806</v>
      </c>
      <c r="G173" s="53" t="s">
        <v>1807</v>
      </c>
      <c r="H173" s="53" t="s">
        <v>1808</v>
      </c>
      <c r="I173" s="53" t="s">
        <v>1809</v>
      </c>
      <c r="J173" s="53" t="s">
        <v>1810</v>
      </c>
      <c r="K173" s="53" t="s">
        <v>1747</v>
      </c>
      <c r="L173" s="54" t="s">
        <v>1749</v>
      </c>
      <c r="M173" s="53" t="s">
        <v>357</v>
      </c>
      <c r="N173" s="55" t="s">
        <v>692</v>
      </c>
      <c r="O173" s="53" t="s">
        <v>325</v>
      </c>
      <c r="P173" s="53" t="s">
        <v>356</v>
      </c>
      <c r="Q173" s="53" t="s">
        <v>326</v>
      </c>
      <c r="R173" s="53" t="s">
        <v>327</v>
      </c>
      <c r="S173" s="53" t="s">
        <v>328</v>
      </c>
      <c r="T173" s="53" t="s">
        <v>329</v>
      </c>
      <c r="U173" s="250" t="s">
        <v>2349</v>
      </c>
      <c r="V173" s="53" t="s">
        <v>330</v>
      </c>
      <c r="W173" s="53" t="s">
        <v>331</v>
      </c>
      <c r="X173" s="56" t="s">
        <v>354</v>
      </c>
      <c r="Y173" s="57" t="s">
        <v>355</v>
      </c>
      <c r="Z173" s="58" t="s">
        <v>413</v>
      </c>
      <c r="AA173" s="59" t="s">
        <v>583</v>
      </c>
      <c r="AB173" s="53" t="s">
        <v>324</v>
      </c>
      <c r="AC173" s="53" t="s">
        <v>332</v>
      </c>
      <c r="AD173" s="53" t="s">
        <v>333</v>
      </c>
      <c r="AE173" s="53" t="s">
        <v>334</v>
      </c>
      <c r="AF173" s="53" t="s">
        <v>335</v>
      </c>
      <c r="AG173" s="53" t="s">
        <v>336</v>
      </c>
      <c r="AH173" s="60" t="s">
        <v>337</v>
      </c>
      <c r="AI173" s="53" t="s">
        <v>338</v>
      </c>
      <c r="AJ173" s="53" t="s">
        <v>339</v>
      </c>
      <c r="AK173" s="157" t="s">
        <v>2346</v>
      </c>
      <c r="AL173" s="158" t="s">
        <v>2347</v>
      </c>
      <c r="AM173" s="53" t="s">
        <v>340</v>
      </c>
      <c r="AN173" s="53" t="s">
        <v>341</v>
      </c>
      <c r="AO173" s="61" t="s">
        <v>342</v>
      </c>
      <c r="AP173" s="62" t="s">
        <v>343</v>
      </c>
      <c r="AQ173" s="55" t="s">
        <v>344</v>
      </c>
      <c r="AR173" s="53" t="s">
        <v>345</v>
      </c>
      <c r="AS173" s="53" t="s">
        <v>346</v>
      </c>
      <c r="AT173" s="53" t="s">
        <v>364</v>
      </c>
      <c r="AU173" s="60" t="s">
        <v>347</v>
      </c>
      <c r="AV173" s="58" t="s">
        <v>363</v>
      </c>
      <c r="AW173" s="53" t="s">
        <v>348</v>
      </c>
      <c r="AX173" s="58" t="s">
        <v>349</v>
      </c>
      <c r="AY173" s="53" t="s">
        <v>366</v>
      </c>
      <c r="AZ173" s="60" t="s">
        <v>350</v>
      </c>
      <c r="BA173" s="53" t="s">
        <v>365</v>
      </c>
      <c r="BB173" s="60" t="s">
        <v>1827</v>
      </c>
      <c r="BC173" s="63" t="s">
        <v>351</v>
      </c>
      <c r="BD173" s="71" t="s">
        <v>1811</v>
      </c>
      <c r="BE173" s="57" t="s">
        <v>352</v>
      </c>
      <c r="BF173" s="58" t="s">
        <v>1812</v>
      </c>
      <c r="BG173" s="57" t="s">
        <v>1752</v>
      </c>
      <c r="BH173" s="60" t="s">
        <v>1813</v>
      </c>
      <c r="BI173" s="59" t="s">
        <v>353</v>
      </c>
      <c r="BJ173" s="71" t="s">
        <v>1828</v>
      </c>
      <c r="BK173" s="58" t="s">
        <v>1829</v>
      </c>
      <c r="BL173" s="58" t="s">
        <v>1830</v>
      </c>
      <c r="BM173" s="72" t="s">
        <v>1831</v>
      </c>
      <c r="BN173" s="64" t="s">
        <v>1154</v>
      </c>
      <c r="BO173" s="65" t="s">
        <v>1742</v>
      </c>
      <c r="BP173" s="64" t="s">
        <v>1155</v>
      </c>
      <c r="BQ173" s="65" t="s">
        <v>1755</v>
      </c>
      <c r="BR173" s="58" t="s">
        <v>367</v>
      </c>
      <c r="BS173" s="58" t="s">
        <v>1751</v>
      </c>
      <c r="BT173" s="58" t="s">
        <v>368</v>
      </c>
      <c r="BU173" s="60" t="s">
        <v>1814</v>
      </c>
      <c r="BV173" s="61" t="s">
        <v>369</v>
      </c>
      <c r="BW173" s="53" t="s">
        <v>370</v>
      </c>
      <c r="BX173" s="62" t="s">
        <v>371</v>
      </c>
      <c r="BY173" s="53" t="s">
        <v>359</v>
      </c>
      <c r="BZ173" s="53" t="s">
        <v>361</v>
      </c>
      <c r="CA173" s="61" t="s">
        <v>1815</v>
      </c>
      <c r="CB173" s="53" t="s">
        <v>1816</v>
      </c>
      <c r="CC173" s="53" t="s">
        <v>1817</v>
      </c>
      <c r="CD173" s="53" t="s">
        <v>1818</v>
      </c>
      <c r="CE173" s="53" t="s">
        <v>1819</v>
      </c>
      <c r="CF173" s="53" t="s">
        <v>1820</v>
      </c>
      <c r="CG173" s="53" t="s">
        <v>1821</v>
      </c>
      <c r="CH173" s="53" t="s">
        <v>1822</v>
      </c>
      <c r="CI173" s="53" t="s">
        <v>1823</v>
      </c>
      <c r="CJ173" s="53" t="s">
        <v>1824</v>
      </c>
      <c r="CK173" s="53" t="s">
        <v>1825</v>
      </c>
      <c r="CL173" s="53" t="s">
        <v>1826</v>
      </c>
      <c r="CP173" s="9"/>
      <c r="CQ173" s="10"/>
    </row>
    <row r="174" spans="2:95" x14ac:dyDescent="0.15">
      <c r="B174" s="36" t="s">
        <v>144</v>
      </c>
      <c r="C174" s="1" t="s">
        <v>145</v>
      </c>
      <c r="K174" s="1" t="s">
        <v>1748</v>
      </c>
      <c r="L174" s="1" t="s">
        <v>1750</v>
      </c>
      <c r="M174" s="1" t="s">
        <v>360</v>
      </c>
      <c r="N174" s="6">
        <v>21</v>
      </c>
      <c r="O174" s="1" t="s">
        <v>4</v>
      </c>
      <c r="P174" s="1">
        <v>300</v>
      </c>
      <c r="Q174" s="1">
        <v>8</v>
      </c>
      <c r="R174" s="1">
        <v>8</v>
      </c>
      <c r="S174" s="1">
        <v>30</v>
      </c>
      <c r="T174" s="1">
        <v>40</v>
      </c>
      <c r="U174" s="253">
        <v>7</v>
      </c>
      <c r="V174" s="1">
        <v>80</v>
      </c>
      <c r="W174" s="44">
        <v>130</v>
      </c>
      <c r="X174" s="40">
        <f>_xlfn.XLOOKUP("Ripening", CropPhenology_Maize[Main_Stage], CropPhenology_Maize[Start_GDD], "Not Found")</f>
        <v>1251</v>
      </c>
      <c r="Y174" s="4" cm="1">
        <f t="array" ref="Y174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74" s="3">
        <f t="shared" ref="Z174:Z187" si="90">MIN(Y174/V174,MAX(X174/W174,R174,(X174/W174+Y174/V174)/2))</f>
        <v>13.874038461538461</v>
      </c>
      <c r="AA174" s="41">
        <f t="shared" ref="AA174:AA187" si="91">Y174/Z174</f>
        <v>104.51174717582646</v>
      </c>
      <c r="AB174" s="1">
        <v>7.5</v>
      </c>
      <c r="AC174" s="1">
        <v>18</v>
      </c>
      <c r="AD174" s="1">
        <v>4</v>
      </c>
      <c r="AE174" s="1">
        <v>85</v>
      </c>
      <c r="AF174" s="1">
        <v>12</v>
      </c>
      <c r="AG174" s="1">
        <v>5</v>
      </c>
      <c r="AH174" s="3">
        <f t="shared" ref="AH174:AH187" si="92">IFERROR((Y174-X174)/AA174,0)</f>
        <v>1.9040921750663131</v>
      </c>
      <c r="AI174" s="1">
        <v>6</v>
      </c>
      <c r="AJ174" s="1">
        <v>7.5</v>
      </c>
      <c r="AK174" s="159">
        <v>1.7</v>
      </c>
      <c r="AL174" s="150">
        <v>0.12</v>
      </c>
      <c r="AM174" s="1">
        <v>450</v>
      </c>
      <c r="AN174" s="1">
        <v>600</v>
      </c>
      <c r="AO174" s="48">
        <v>5</v>
      </c>
      <c r="AP174" s="44">
        <v>100</v>
      </c>
      <c r="AQ174" s="42">
        <v>0.8</v>
      </c>
      <c r="AR174" s="1">
        <v>75</v>
      </c>
      <c r="AS174" s="1">
        <v>20</v>
      </c>
      <c r="AT174" s="1">
        <v>1</v>
      </c>
      <c r="AU174" s="4">
        <f t="shared" ref="AU174:AU187" si="93">IFERROR(10000/(AS174*AR174),0)*AT174</f>
        <v>6.666666666666667</v>
      </c>
      <c r="AV174" s="3">
        <f t="shared" ref="AV174:AV187" si="94">ROUND((P174/1000000)*AU174*10000,2)</f>
        <v>20</v>
      </c>
      <c r="AW174" s="1">
        <v>90</v>
      </c>
      <c r="AX174" s="3">
        <f t="shared" ref="AX174:AX187" si="95">IFERROR((AU174*AW174/100),0)</f>
        <v>6</v>
      </c>
      <c r="AY174" s="1">
        <v>2</v>
      </c>
      <c r="AZ174" s="4">
        <f t="shared" ref="AZ174:AZ187" si="96">IFERROR(AX174*AY174,0)</f>
        <v>12</v>
      </c>
      <c r="BA174" s="49">
        <v>0.9</v>
      </c>
      <c r="BB174" s="4">
        <f t="shared" ref="BB174:BB187" si="97">IFERROR(AZ174*BA174,0)</f>
        <v>10.8</v>
      </c>
      <c r="BC174" s="50">
        <v>0.6</v>
      </c>
      <c r="BD174" s="69">
        <f>IFERROR(
  MAX(0.05, MIN(0.5, CropNorms_Maize[[#This Row],[Leaf_Area_Per_Shoot_m2]] * CropNorms_Maize[[#This Row],[Shoot_Bearing_m2]] )),
  0.2
)</f>
        <v>0.5</v>
      </c>
      <c r="BE174" s="4">
        <f>_xlfn.XLOOKUP(CropNorms_Maize[[#This Row],[LAI_Start_BBCH]], CropPhenology_Maize[Sub_Stage], CropPhenology_Maize[Start_GDD], "Not Found")</f>
        <v>101</v>
      </c>
      <c r="BF174" s="3">
        <f>ROUND(CropNorms_Maize[[#This Row],[Shoot_Bearing_m2]]*CropNorms_Maize[[#This Row],[Leaf_Area_Per_Shoot_m2]],2)</f>
        <v>6.48</v>
      </c>
      <c r="BG174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74" s="3">
        <f>IF(CropNorms_Maize[[#This Row],[Max_LAI]]&gt;=1.2, 0.85*CropNorms_Maize[[#This Row],[Max_LAI]], 1)</f>
        <v>5.508</v>
      </c>
      <c r="BI174" s="41">
        <f>_xlfn.XLOOKUP(CropNorms_Maize[[#This Row],[LAI_End_BBCH]], CropPhenology_Maize[Sub_Stage], CropPhenology_Maize[End_GDD], "Not Found")</f>
        <v>1250</v>
      </c>
      <c r="BJ174" s="3" cm="1">
        <f t="array" ref="BJ174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74" s="3" cm="1">
        <f t="array" ref="BK17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74" s="3" cm="1">
        <f t="array" ref="BL174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74" s="3" cm="1">
        <f t="array" ref="BM17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4" s="42">
        <v>0.45</v>
      </c>
      <c r="BO174" s="43">
        <v>0</v>
      </c>
      <c r="BP174" s="42">
        <v>10.18</v>
      </c>
      <c r="BQ174" s="43" t="s">
        <v>1795</v>
      </c>
      <c r="BR174" s="3" t="str" cm="1">
        <f t="array" ref="BR17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74" s="3" t="str" cm="1">
        <f t="array" ref="BS17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74" s="3" t="str" cm="1">
        <f t="array" ref="BT174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74" s="3" t="str" cm="1">
        <f t="array" ref="BU174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74" s="48">
        <v>120</v>
      </c>
      <c r="BW174" s="1">
        <v>40</v>
      </c>
      <c r="BX174" s="44">
        <v>60</v>
      </c>
      <c r="BY174" s="51">
        <v>45823</v>
      </c>
      <c r="BZ174" s="5">
        <v>45853</v>
      </c>
      <c r="CA174" s="85">
        <v>0</v>
      </c>
      <c r="CB174" s="2">
        <v>0</v>
      </c>
      <c r="CC174" s="2">
        <v>1</v>
      </c>
      <c r="CD174" s="2">
        <v>1</v>
      </c>
      <c r="CE174" s="2">
        <v>1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P174" s="9"/>
      <c r="CQ174" s="10"/>
    </row>
    <row r="175" spans="2:95" x14ac:dyDescent="0.15">
      <c r="B175" s="36" t="s">
        <v>144</v>
      </c>
      <c r="C175" s="1" t="s">
        <v>147</v>
      </c>
      <c r="K175" s="1" t="s">
        <v>1748</v>
      </c>
      <c r="L175" s="1" t="s">
        <v>1750</v>
      </c>
      <c r="M175" s="1" t="s">
        <v>360</v>
      </c>
      <c r="N175" s="6">
        <v>21</v>
      </c>
      <c r="O175" s="1" t="s">
        <v>4</v>
      </c>
      <c r="P175" s="1">
        <v>300</v>
      </c>
      <c r="Q175" s="1">
        <v>8</v>
      </c>
      <c r="R175" s="1">
        <v>8</v>
      </c>
      <c r="S175" s="1">
        <v>30</v>
      </c>
      <c r="T175" s="1">
        <v>40</v>
      </c>
      <c r="U175" s="253">
        <v>7</v>
      </c>
      <c r="V175" s="1">
        <v>80</v>
      </c>
      <c r="W175" s="44">
        <v>130</v>
      </c>
      <c r="X175" s="40">
        <f>_xlfn.XLOOKUP("Ripening", CropPhenology_Maize[Main_Stage], CropPhenology_Maize[Start_GDD], "Not Found")</f>
        <v>1251</v>
      </c>
      <c r="Y175" s="4" cm="1">
        <f t="array" ref="Y175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75" s="3">
        <f t="shared" si="90"/>
        <v>13.874038461538461</v>
      </c>
      <c r="AA175" s="41">
        <f t="shared" si="91"/>
        <v>104.51174717582646</v>
      </c>
      <c r="AB175" s="1">
        <v>7.5</v>
      </c>
      <c r="AC175" s="1">
        <v>18</v>
      </c>
      <c r="AD175" s="1">
        <v>4</v>
      </c>
      <c r="AE175" s="1">
        <v>85</v>
      </c>
      <c r="AF175" s="1">
        <v>12</v>
      </c>
      <c r="AG175" s="1">
        <v>5</v>
      </c>
      <c r="AH175" s="3">
        <f t="shared" si="92"/>
        <v>1.9040921750663131</v>
      </c>
      <c r="AI175" s="1">
        <v>6</v>
      </c>
      <c r="AJ175" s="1">
        <v>7.5</v>
      </c>
      <c r="AK175" s="159">
        <v>1.7</v>
      </c>
      <c r="AL175" s="150">
        <v>0.12</v>
      </c>
      <c r="AM175" s="1">
        <v>450</v>
      </c>
      <c r="AN175" s="1">
        <v>600</v>
      </c>
      <c r="AO175" s="48">
        <v>5</v>
      </c>
      <c r="AP175" s="44">
        <v>100</v>
      </c>
      <c r="AQ175" s="42">
        <v>0.75</v>
      </c>
      <c r="AR175" s="1">
        <v>75</v>
      </c>
      <c r="AS175" s="1">
        <v>20</v>
      </c>
      <c r="AT175" s="1">
        <v>1</v>
      </c>
      <c r="AU175" s="4">
        <f t="shared" si="93"/>
        <v>6.666666666666667</v>
      </c>
      <c r="AV175" s="3">
        <f t="shared" si="94"/>
        <v>20</v>
      </c>
      <c r="AW175" s="1">
        <v>90</v>
      </c>
      <c r="AX175" s="3">
        <f t="shared" si="95"/>
        <v>6</v>
      </c>
      <c r="AY175" s="1">
        <v>2</v>
      </c>
      <c r="AZ175" s="4">
        <f t="shared" si="96"/>
        <v>12</v>
      </c>
      <c r="BA175" s="49">
        <v>0.9</v>
      </c>
      <c r="BB175" s="4">
        <f t="shared" si="97"/>
        <v>10.8</v>
      </c>
      <c r="BC175" s="50">
        <v>0.6</v>
      </c>
      <c r="BD175" s="69">
        <f>IFERROR(
  MAX(0.05, MIN(0.5, CropNorms_Maize[[#This Row],[Leaf_Area_Per_Shoot_m2]] * CropNorms_Maize[[#This Row],[Shoot_Bearing_m2]] )),
  0.2
)</f>
        <v>0.5</v>
      </c>
      <c r="BE175" s="4">
        <f>_xlfn.XLOOKUP(CropNorms_Maize[[#This Row],[LAI_Start_BBCH]], CropPhenology_Maize[Sub_Stage], CropPhenology_Maize[Start_GDD], "Not Found")</f>
        <v>101</v>
      </c>
      <c r="BF175" s="3">
        <f>ROUND(CropNorms_Maize[[#This Row],[Shoot_Bearing_m2]]*CropNorms_Maize[[#This Row],[Leaf_Area_Per_Shoot_m2]],2)</f>
        <v>6.48</v>
      </c>
      <c r="BG175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75" s="3">
        <f>IF(CropNorms_Maize[[#This Row],[Max_LAI]]&gt;=1.2, 0.85*CropNorms_Maize[[#This Row],[Max_LAI]], 1)</f>
        <v>5.508</v>
      </c>
      <c r="BI175" s="41">
        <f>_xlfn.XLOOKUP(CropNorms_Maize[[#This Row],[LAI_End_BBCH]], CropPhenology_Maize[Sub_Stage], CropPhenology_Maize[End_GDD], "Not Found")</f>
        <v>1250</v>
      </c>
      <c r="BJ175" s="3" cm="1">
        <f t="array" ref="BJ175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75" s="3" cm="1">
        <f t="array" ref="BK17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75" s="3" cm="1">
        <f t="array" ref="BL175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75" s="3" cm="1">
        <f t="array" ref="BM17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5" s="42">
        <v>0.45</v>
      </c>
      <c r="BO175" s="43">
        <v>0</v>
      </c>
      <c r="BP175" s="42">
        <v>10.18</v>
      </c>
      <c r="BQ175" s="43" t="s">
        <v>1795</v>
      </c>
      <c r="BR175" s="3" t="str" cm="1">
        <f t="array" ref="BR17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75" s="3" t="str" cm="1">
        <f t="array" ref="BS17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75" s="3" t="str" cm="1">
        <f t="array" ref="BT175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75" s="3" t="str" cm="1">
        <f t="array" ref="BU175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75" s="48">
        <v>120</v>
      </c>
      <c r="BW175" s="1">
        <v>40</v>
      </c>
      <c r="BX175" s="44">
        <v>60</v>
      </c>
      <c r="BY175" s="51">
        <v>45823</v>
      </c>
      <c r="BZ175" s="5">
        <v>45853</v>
      </c>
      <c r="CA175" s="85">
        <v>0</v>
      </c>
      <c r="CB175" s="2">
        <v>0</v>
      </c>
      <c r="CC175" s="2">
        <v>1</v>
      </c>
      <c r="CD175" s="2">
        <v>1</v>
      </c>
      <c r="CE175" s="2">
        <v>1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P175" s="9"/>
      <c r="CQ175" s="10"/>
    </row>
    <row r="176" spans="2:95" x14ac:dyDescent="0.15">
      <c r="B176" s="36" t="s">
        <v>144</v>
      </c>
      <c r="C176" s="1" t="s">
        <v>148</v>
      </c>
      <c r="K176" s="1" t="s">
        <v>1748</v>
      </c>
      <c r="L176" s="1" t="s">
        <v>1750</v>
      </c>
      <c r="M176" s="1" t="s">
        <v>360</v>
      </c>
      <c r="N176" s="6">
        <v>21</v>
      </c>
      <c r="O176" s="1" t="s">
        <v>4</v>
      </c>
      <c r="P176" s="1">
        <v>300</v>
      </c>
      <c r="Q176" s="1">
        <v>8</v>
      </c>
      <c r="R176" s="1">
        <v>8</v>
      </c>
      <c r="S176" s="1">
        <v>30</v>
      </c>
      <c r="T176" s="1">
        <v>40</v>
      </c>
      <c r="U176" s="253">
        <v>7</v>
      </c>
      <c r="V176" s="1">
        <v>80</v>
      </c>
      <c r="W176" s="44">
        <v>130</v>
      </c>
      <c r="X176" s="40">
        <f>_xlfn.XLOOKUP("Ripening", CropPhenology_Maize[Main_Stage], CropPhenology_Maize[Start_GDD], "Not Found")</f>
        <v>1251</v>
      </c>
      <c r="Y176" s="4" cm="1">
        <f t="array" ref="Y176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76" s="3">
        <f t="shared" si="90"/>
        <v>13.874038461538461</v>
      </c>
      <c r="AA176" s="41">
        <f t="shared" si="91"/>
        <v>104.51174717582646</v>
      </c>
      <c r="AB176" s="1">
        <v>7.5</v>
      </c>
      <c r="AC176" s="1">
        <v>18</v>
      </c>
      <c r="AD176" s="1">
        <v>4</v>
      </c>
      <c r="AE176" s="1">
        <v>85</v>
      </c>
      <c r="AF176" s="1">
        <v>12</v>
      </c>
      <c r="AG176" s="1">
        <v>5</v>
      </c>
      <c r="AH176" s="3">
        <f t="shared" si="92"/>
        <v>1.9040921750663131</v>
      </c>
      <c r="AI176" s="1">
        <v>6</v>
      </c>
      <c r="AJ176" s="1">
        <v>7.5</v>
      </c>
      <c r="AK176" s="159">
        <v>1.7</v>
      </c>
      <c r="AL176" s="150">
        <v>0.12</v>
      </c>
      <c r="AM176" s="1">
        <v>450</v>
      </c>
      <c r="AN176" s="1">
        <v>600</v>
      </c>
      <c r="AO176" s="48">
        <v>5</v>
      </c>
      <c r="AP176" s="44">
        <v>100</v>
      </c>
      <c r="AQ176" s="42">
        <v>0.78</v>
      </c>
      <c r="AR176" s="1">
        <v>75</v>
      </c>
      <c r="AS176" s="1">
        <v>20</v>
      </c>
      <c r="AT176" s="1">
        <v>1</v>
      </c>
      <c r="AU176" s="4">
        <f t="shared" si="93"/>
        <v>6.666666666666667</v>
      </c>
      <c r="AV176" s="3">
        <f t="shared" si="94"/>
        <v>20</v>
      </c>
      <c r="AW176" s="1">
        <v>90</v>
      </c>
      <c r="AX176" s="3">
        <f t="shared" si="95"/>
        <v>6</v>
      </c>
      <c r="AY176" s="1">
        <v>2</v>
      </c>
      <c r="AZ176" s="4">
        <f t="shared" si="96"/>
        <v>12</v>
      </c>
      <c r="BA176" s="49">
        <v>0.9</v>
      </c>
      <c r="BB176" s="4">
        <f t="shared" si="97"/>
        <v>10.8</v>
      </c>
      <c r="BC176" s="50">
        <v>0.6</v>
      </c>
      <c r="BD176" s="69">
        <f>IFERROR(
  MAX(0.05, MIN(0.5, CropNorms_Maize[[#This Row],[Leaf_Area_Per_Shoot_m2]] * CropNorms_Maize[[#This Row],[Shoot_Bearing_m2]] )),
  0.2
)</f>
        <v>0.5</v>
      </c>
      <c r="BE176" s="4">
        <f>_xlfn.XLOOKUP(CropNorms_Maize[[#This Row],[LAI_Start_BBCH]], CropPhenology_Maize[Sub_Stage], CropPhenology_Maize[Start_GDD], "Not Found")</f>
        <v>101</v>
      </c>
      <c r="BF176" s="3">
        <f>ROUND(CropNorms_Maize[[#This Row],[Shoot_Bearing_m2]]*CropNorms_Maize[[#This Row],[Leaf_Area_Per_Shoot_m2]],2)</f>
        <v>6.48</v>
      </c>
      <c r="BG176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76" s="3">
        <f>IF(CropNorms_Maize[[#This Row],[Max_LAI]]&gt;=1.2, 0.85*CropNorms_Maize[[#This Row],[Max_LAI]], 1)</f>
        <v>5.508</v>
      </c>
      <c r="BI176" s="41">
        <f>_xlfn.XLOOKUP(CropNorms_Maize[[#This Row],[LAI_End_BBCH]], CropPhenology_Maize[Sub_Stage], CropPhenology_Maize[End_GDD], "Not Found")</f>
        <v>1250</v>
      </c>
      <c r="BJ176" s="3" cm="1">
        <f t="array" ref="BJ176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76" s="3" cm="1">
        <f t="array" ref="BK17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76" s="3" cm="1">
        <f t="array" ref="BL176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76" s="3" cm="1">
        <f t="array" ref="BM17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6" s="42">
        <v>0.45</v>
      </c>
      <c r="BO176" s="43">
        <v>0</v>
      </c>
      <c r="BP176" s="42">
        <v>10.18</v>
      </c>
      <c r="BQ176" s="43" t="s">
        <v>1795</v>
      </c>
      <c r="BR176" s="3" t="str" cm="1">
        <f t="array" ref="BR17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76" s="3" t="str" cm="1">
        <f t="array" ref="BS17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76" s="3" t="str" cm="1">
        <f t="array" ref="BT176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76" s="3" t="str" cm="1">
        <f t="array" ref="BU176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76" s="48">
        <v>120</v>
      </c>
      <c r="BW176" s="1">
        <v>40</v>
      </c>
      <c r="BX176" s="44">
        <v>60</v>
      </c>
      <c r="BY176" s="51">
        <v>45823</v>
      </c>
      <c r="BZ176" s="5">
        <v>45853</v>
      </c>
      <c r="CA176" s="85">
        <v>0</v>
      </c>
      <c r="CB176" s="2">
        <v>0</v>
      </c>
      <c r="CC176" s="2">
        <v>1</v>
      </c>
      <c r="CD176" s="2">
        <v>1</v>
      </c>
      <c r="CE176" s="2">
        <v>1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P176" s="9"/>
      <c r="CQ176" s="10"/>
    </row>
    <row r="177" spans="2:95" x14ac:dyDescent="0.15">
      <c r="B177" s="36" t="s">
        <v>144</v>
      </c>
      <c r="C177" s="1" t="s">
        <v>149</v>
      </c>
      <c r="K177" s="1" t="s">
        <v>1748</v>
      </c>
      <c r="L177" s="1" t="s">
        <v>1750</v>
      </c>
      <c r="M177" s="1" t="s">
        <v>360</v>
      </c>
      <c r="N177" s="6">
        <v>21</v>
      </c>
      <c r="O177" s="1" t="s">
        <v>4</v>
      </c>
      <c r="P177" s="1">
        <v>300</v>
      </c>
      <c r="Q177" s="1">
        <v>8</v>
      </c>
      <c r="R177" s="1">
        <v>8</v>
      </c>
      <c r="S177" s="1">
        <v>30</v>
      </c>
      <c r="T177" s="1">
        <v>40</v>
      </c>
      <c r="U177" s="253">
        <v>7</v>
      </c>
      <c r="V177" s="1">
        <v>80</v>
      </c>
      <c r="W177" s="44">
        <v>130</v>
      </c>
      <c r="X177" s="40">
        <f>_xlfn.XLOOKUP("Ripening", CropPhenology_Maize[Main_Stage], CropPhenology_Maize[Start_GDD], "Not Found")</f>
        <v>1251</v>
      </c>
      <c r="Y177" s="4" cm="1">
        <f t="array" ref="Y177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77" s="3">
        <f t="shared" si="90"/>
        <v>13.874038461538461</v>
      </c>
      <c r="AA177" s="41">
        <f t="shared" si="91"/>
        <v>104.51174717582646</v>
      </c>
      <c r="AB177" s="1">
        <v>7.5</v>
      </c>
      <c r="AC177" s="1">
        <v>18</v>
      </c>
      <c r="AD177" s="1">
        <v>4</v>
      </c>
      <c r="AE177" s="1">
        <v>85</v>
      </c>
      <c r="AF177" s="1">
        <v>12</v>
      </c>
      <c r="AG177" s="1">
        <v>5</v>
      </c>
      <c r="AH177" s="3">
        <f t="shared" si="92"/>
        <v>1.9040921750663131</v>
      </c>
      <c r="AI177" s="1">
        <v>6</v>
      </c>
      <c r="AJ177" s="1">
        <v>7.5</v>
      </c>
      <c r="AK177" s="159">
        <v>1.7</v>
      </c>
      <c r="AL177" s="150">
        <v>0.12</v>
      </c>
      <c r="AM177" s="1">
        <v>450</v>
      </c>
      <c r="AN177" s="1">
        <v>600</v>
      </c>
      <c r="AO177" s="48">
        <v>5</v>
      </c>
      <c r="AP177" s="44">
        <v>100</v>
      </c>
      <c r="AQ177" s="42">
        <v>0.82</v>
      </c>
      <c r="AR177" s="1">
        <v>75</v>
      </c>
      <c r="AS177" s="1">
        <v>20</v>
      </c>
      <c r="AT177" s="1">
        <v>1</v>
      </c>
      <c r="AU177" s="4">
        <f t="shared" si="93"/>
        <v>6.666666666666667</v>
      </c>
      <c r="AV177" s="3">
        <f t="shared" si="94"/>
        <v>20</v>
      </c>
      <c r="AW177" s="1">
        <v>90</v>
      </c>
      <c r="AX177" s="3">
        <f t="shared" si="95"/>
        <v>6</v>
      </c>
      <c r="AY177" s="1">
        <v>2</v>
      </c>
      <c r="AZ177" s="4">
        <f t="shared" si="96"/>
        <v>12</v>
      </c>
      <c r="BA177" s="49">
        <v>0.9</v>
      </c>
      <c r="BB177" s="4">
        <f t="shared" si="97"/>
        <v>10.8</v>
      </c>
      <c r="BC177" s="50">
        <v>0.6</v>
      </c>
      <c r="BD177" s="69">
        <f>IFERROR(
  MAX(0.05, MIN(0.5, CropNorms_Maize[[#This Row],[Leaf_Area_Per_Shoot_m2]] * CropNorms_Maize[[#This Row],[Shoot_Bearing_m2]] )),
  0.2
)</f>
        <v>0.5</v>
      </c>
      <c r="BE177" s="4">
        <f>_xlfn.XLOOKUP(CropNorms_Maize[[#This Row],[LAI_Start_BBCH]], CropPhenology_Maize[Sub_Stage], CropPhenology_Maize[Start_GDD], "Not Found")</f>
        <v>101</v>
      </c>
      <c r="BF177" s="3">
        <f>ROUND(CropNorms_Maize[[#This Row],[Shoot_Bearing_m2]]*CropNorms_Maize[[#This Row],[Leaf_Area_Per_Shoot_m2]],2)</f>
        <v>6.48</v>
      </c>
      <c r="BG177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77" s="3">
        <f>IF(CropNorms_Maize[[#This Row],[Max_LAI]]&gt;=1.2, 0.85*CropNorms_Maize[[#This Row],[Max_LAI]], 1)</f>
        <v>5.508</v>
      </c>
      <c r="BI177" s="41">
        <f>_xlfn.XLOOKUP(CropNorms_Maize[[#This Row],[LAI_End_BBCH]], CropPhenology_Maize[Sub_Stage], CropPhenology_Maize[End_GDD], "Not Found")</f>
        <v>1250</v>
      </c>
      <c r="BJ177" s="3" cm="1">
        <f t="array" ref="BJ177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77" s="3" cm="1">
        <f t="array" ref="BK17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77" s="3" cm="1">
        <f t="array" ref="BL177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77" s="3" cm="1">
        <f t="array" ref="BM17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7" s="42">
        <v>0.45</v>
      </c>
      <c r="BO177" s="43">
        <v>0</v>
      </c>
      <c r="BP177" s="42">
        <v>10.18</v>
      </c>
      <c r="BQ177" s="43" t="s">
        <v>1795</v>
      </c>
      <c r="BR177" s="3" t="str" cm="1">
        <f t="array" ref="BR17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77" s="3" t="str" cm="1">
        <f t="array" ref="BS17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77" s="3" t="str" cm="1">
        <f t="array" ref="BT177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77" s="3" t="str" cm="1">
        <f t="array" ref="BU177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77" s="48">
        <v>120</v>
      </c>
      <c r="BW177" s="1">
        <v>40</v>
      </c>
      <c r="BX177" s="44">
        <v>60</v>
      </c>
      <c r="BY177" s="51">
        <v>45823</v>
      </c>
      <c r="BZ177" s="5">
        <v>45853</v>
      </c>
      <c r="CA177" s="85">
        <v>0</v>
      </c>
      <c r="CB177" s="2">
        <v>0</v>
      </c>
      <c r="CC177" s="2">
        <v>1</v>
      </c>
      <c r="CD177" s="2">
        <v>1</v>
      </c>
      <c r="CE177" s="2">
        <v>1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P177" s="9"/>
      <c r="CQ177" s="10"/>
    </row>
    <row r="178" spans="2:95" x14ac:dyDescent="0.15">
      <c r="B178" s="36" t="s">
        <v>144</v>
      </c>
      <c r="C178" s="1" t="s">
        <v>150</v>
      </c>
      <c r="K178" s="1" t="s">
        <v>1748</v>
      </c>
      <c r="L178" s="1" t="s">
        <v>1750</v>
      </c>
      <c r="M178" s="1" t="s">
        <v>360</v>
      </c>
      <c r="N178" s="6">
        <v>21</v>
      </c>
      <c r="O178" s="1" t="s">
        <v>4</v>
      </c>
      <c r="P178" s="1">
        <v>300</v>
      </c>
      <c r="Q178" s="1">
        <v>8</v>
      </c>
      <c r="R178" s="1">
        <v>8</v>
      </c>
      <c r="S178" s="1">
        <v>30</v>
      </c>
      <c r="T178" s="1">
        <v>40</v>
      </c>
      <c r="U178" s="253">
        <v>7</v>
      </c>
      <c r="V178" s="1">
        <v>80</v>
      </c>
      <c r="W178" s="44">
        <v>130</v>
      </c>
      <c r="X178" s="40">
        <f>_xlfn.XLOOKUP("Ripening", CropPhenology_Maize[Main_Stage], CropPhenology_Maize[Start_GDD], "Not Found")</f>
        <v>1251</v>
      </c>
      <c r="Y178" s="4" cm="1">
        <f t="array" ref="Y178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78" s="3">
        <f t="shared" si="90"/>
        <v>13.874038461538461</v>
      </c>
      <c r="AA178" s="41">
        <f t="shared" si="91"/>
        <v>104.51174717582646</v>
      </c>
      <c r="AB178" s="1">
        <v>7.5</v>
      </c>
      <c r="AC178" s="1">
        <v>18</v>
      </c>
      <c r="AD178" s="1">
        <v>4</v>
      </c>
      <c r="AE178" s="1">
        <v>85</v>
      </c>
      <c r="AF178" s="1">
        <v>12</v>
      </c>
      <c r="AG178" s="1">
        <v>5</v>
      </c>
      <c r="AH178" s="3">
        <f t="shared" si="92"/>
        <v>1.9040921750663131</v>
      </c>
      <c r="AI178" s="1">
        <v>6</v>
      </c>
      <c r="AJ178" s="1">
        <v>7.5</v>
      </c>
      <c r="AK178" s="159">
        <v>1.7</v>
      </c>
      <c r="AL178" s="150">
        <v>0.12</v>
      </c>
      <c r="AM178" s="1">
        <v>450</v>
      </c>
      <c r="AN178" s="1">
        <v>600</v>
      </c>
      <c r="AO178" s="48">
        <v>5</v>
      </c>
      <c r="AP178" s="44">
        <v>100</v>
      </c>
      <c r="AQ178" s="42">
        <v>0.77</v>
      </c>
      <c r="AR178" s="1">
        <v>75</v>
      </c>
      <c r="AS178" s="1">
        <v>20</v>
      </c>
      <c r="AT178" s="1">
        <v>1</v>
      </c>
      <c r="AU178" s="4">
        <f t="shared" si="93"/>
        <v>6.666666666666667</v>
      </c>
      <c r="AV178" s="3">
        <f t="shared" si="94"/>
        <v>20</v>
      </c>
      <c r="AW178" s="1">
        <v>90</v>
      </c>
      <c r="AX178" s="3">
        <f t="shared" si="95"/>
        <v>6</v>
      </c>
      <c r="AY178" s="1">
        <v>2</v>
      </c>
      <c r="AZ178" s="4">
        <f t="shared" si="96"/>
        <v>12</v>
      </c>
      <c r="BA178" s="49">
        <v>0.9</v>
      </c>
      <c r="BB178" s="4">
        <f t="shared" si="97"/>
        <v>10.8</v>
      </c>
      <c r="BC178" s="50">
        <v>0.6</v>
      </c>
      <c r="BD178" s="69">
        <f>IFERROR(
  MAX(0.05, MIN(0.5, CropNorms_Maize[[#This Row],[Leaf_Area_Per_Shoot_m2]] * CropNorms_Maize[[#This Row],[Shoot_Bearing_m2]] )),
  0.2
)</f>
        <v>0.5</v>
      </c>
      <c r="BE178" s="4">
        <f>_xlfn.XLOOKUP(CropNorms_Maize[[#This Row],[LAI_Start_BBCH]], CropPhenology_Maize[Sub_Stage], CropPhenology_Maize[Start_GDD], "Not Found")</f>
        <v>101</v>
      </c>
      <c r="BF178" s="3">
        <f>ROUND(CropNorms_Maize[[#This Row],[Shoot_Bearing_m2]]*CropNorms_Maize[[#This Row],[Leaf_Area_Per_Shoot_m2]],2)</f>
        <v>6.48</v>
      </c>
      <c r="BG178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78" s="3">
        <f>IF(CropNorms_Maize[[#This Row],[Max_LAI]]&gt;=1.2, 0.85*CropNorms_Maize[[#This Row],[Max_LAI]], 1)</f>
        <v>5.508</v>
      </c>
      <c r="BI178" s="41">
        <f>_xlfn.XLOOKUP(CropNorms_Maize[[#This Row],[LAI_End_BBCH]], CropPhenology_Maize[Sub_Stage], CropPhenology_Maize[End_GDD], "Not Found")</f>
        <v>1250</v>
      </c>
      <c r="BJ178" s="3" cm="1">
        <f t="array" ref="BJ178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78" s="3" cm="1">
        <f t="array" ref="BK178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78" s="3" cm="1">
        <f t="array" ref="BL178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78" s="3" cm="1">
        <f t="array" ref="BM178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8" s="42">
        <v>0.45</v>
      </c>
      <c r="BO178" s="43">
        <v>0</v>
      </c>
      <c r="BP178" s="42">
        <v>10.18</v>
      </c>
      <c r="BQ178" s="43" t="s">
        <v>1795</v>
      </c>
      <c r="BR178" s="3" t="str" cm="1">
        <f t="array" ref="BR178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78" s="3" t="str" cm="1">
        <f t="array" ref="BS178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78" s="3" t="str" cm="1">
        <f t="array" ref="BT178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78" s="3" t="str" cm="1">
        <f t="array" ref="BU178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78" s="48">
        <v>120</v>
      </c>
      <c r="BW178" s="1">
        <v>40</v>
      </c>
      <c r="BX178" s="44">
        <v>60</v>
      </c>
      <c r="BY178" s="51">
        <v>45823</v>
      </c>
      <c r="BZ178" s="5">
        <v>45853</v>
      </c>
      <c r="CA178" s="85">
        <v>0</v>
      </c>
      <c r="CB178" s="2">
        <v>0</v>
      </c>
      <c r="CC178" s="2">
        <v>1</v>
      </c>
      <c r="CD178" s="2">
        <v>1</v>
      </c>
      <c r="CE178" s="2">
        <v>1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P178" s="9"/>
      <c r="CQ178" s="10"/>
    </row>
    <row r="179" spans="2:95" x14ac:dyDescent="0.15">
      <c r="B179" s="36" t="s">
        <v>144</v>
      </c>
      <c r="C179" s="1" t="s">
        <v>151</v>
      </c>
      <c r="K179" s="1" t="s">
        <v>1748</v>
      </c>
      <c r="L179" s="1" t="s">
        <v>1750</v>
      </c>
      <c r="M179" s="1" t="s">
        <v>360</v>
      </c>
      <c r="N179" s="6">
        <v>21</v>
      </c>
      <c r="O179" s="1" t="s">
        <v>4</v>
      </c>
      <c r="P179" s="1">
        <v>300</v>
      </c>
      <c r="Q179" s="1">
        <v>8</v>
      </c>
      <c r="R179" s="1">
        <v>8</v>
      </c>
      <c r="S179" s="1">
        <v>30</v>
      </c>
      <c r="T179" s="1">
        <v>40</v>
      </c>
      <c r="U179" s="253">
        <v>7</v>
      </c>
      <c r="V179" s="1">
        <v>80</v>
      </c>
      <c r="W179" s="44">
        <v>130</v>
      </c>
      <c r="X179" s="40">
        <f>_xlfn.XLOOKUP("Ripening", CropPhenology_Maize[Main_Stage], CropPhenology_Maize[Start_GDD], "Not Found")</f>
        <v>1251</v>
      </c>
      <c r="Y179" s="4" cm="1">
        <f t="array" ref="Y179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79" s="3">
        <f t="shared" si="90"/>
        <v>13.874038461538461</v>
      </c>
      <c r="AA179" s="41">
        <f t="shared" si="91"/>
        <v>104.51174717582646</v>
      </c>
      <c r="AB179" s="1">
        <v>7.5</v>
      </c>
      <c r="AC179" s="1">
        <v>18</v>
      </c>
      <c r="AD179" s="1">
        <v>4</v>
      </c>
      <c r="AE179" s="1">
        <v>85</v>
      </c>
      <c r="AF179" s="1">
        <v>12</v>
      </c>
      <c r="AG179" s="1">
        <v>5</v>
      </c>
      <c r="AH179" s="3">
        <f t="shared" si="92"/>
        <v>1.9040921750663131</v>
      </c>
      <c r="AI179" s="1">
        <v>6</v>
      </c>
      <c r="AJ179" s="1">
        <v>7.5</v>
      </c>
      <c r="AK179" s="159">
        <v>1.7</v>
      </c>
      <c r="AL179" s="150">
        <v>0.12</v>
      </c>
      <c r="AM179" s="1">
        <v>450</v>
      </c>
      <c r="AN179" s="1">
        <v>600</v>
      </c>
      <c r="AO179" s="48">
        <v>5</v>
      </c>
      <c r="AP179" s="44">
        <v>100</v>
      </c>
      <c r="AQ179" s="42">
        <v>0.8</v>
      </c>
      <c r="AR179" s="1">
        <v>75</v>
      </c>
      <c r="AS179" s="1">
        <v>20</v>
      </c>
      <c r="AT179" s="1">
        <v>1</v>
      </c>
      <c r="AU179" s="4">
        <f t="shared" si="93"/>
        <v>6.666666666666667</v>
      </c>
      <c r="AV179" s="3">
        <f t="shared" si="94"/>
        <v>20</v>
      </c>
      <c r="AW179" s="1">
        <v>90</v>
      </c>
      <c r="AX179" s="3">
        <f t="shared" si="95"/>
        <v>6</v>
      </c>
      <c r="AY179" s="1">
        <v>2</v>
      </c>
      <c r="AZ179" s="4">
        <f t="shared" si="96"/>
        <v>12</v>
      </c>
      <c r="BA179" s="49">
        <v>0.9</v>
      </c>
      <c r="BB179" s="4">
        <f t="shared" si="97"/>
        <v>10.8</v>
      </c>
      <c r="BC179" s="50">
        <v>0.6</v>
      </c>
      <c r="BD179" s="69">
        <f>IFERROR(
  MAX(0.05, MIN(0.5, CropNorms_Maize[[#This Row],[Leaf_Area_Per_Shoot_m2]] * CropNorms_Maize[[#This Row],[Shoot_Bearing_m2]] )),
  0.2
)</f>
        <v>0.5</v>
      </c>
      <c r="BE179" s="4">
        <f>_xlfn.XLOOKUP(CropNorms_Maize[[#This Row],[LAI_Start_BBCH]], CropPhenology_Maize[Sub_Stage], CropPhenology_Maize[Start_GDD], "Not Found")</f>
        <v>101</v>
      </c>
      <c r="BF179" s="3">
        <f>ROUND(CropNorms_Maize[[#This Row],[Shoot_Bearing_m2]]*CropNorms_Maize[[#This Row],[Leaf_Area_Per_Shoot_m2]],2)</f>
        <v>6.48</v>
      </c>
      <c r="BG179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79" s="3">
        <f>IF(CropNorms_Maize[[#This Row],[Max_LAI]]&gt;=1.2, 0.85*CropNorms_Maize[[#This Row],[Max_LAI]], 1)</f>
        <v>5.508</v>
      </c>
      <c r="BI179" s="41">
        <f>_xlfn.XLOOKUP(CropNorms_Maize[[#This Row],[LAI_End_BBCH]], CropPhenology_Maize[Sub_Stage], CropPhenology_Maize[End_GDD], "Not Found")</f>
        <v>1250</v>
      </c>
      <c r="BJ179" s="3" cm="1">
        <f t="array" ref="BJ179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79" s="3" cm="1">
        <f t="array" ref="BK179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79" s="3" cm="1">
        <f t="array" ref="BL179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79" s="3" cm="1">
        <f t="array" ref="BM179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79" s="42">
        <v>0.45</v>
      </c>
      <c r="BO179" s="43">
        <v>0</v>
      </c>
      <c r="BP179" s="42">
        <v>10.18</v>
      </c>
      <c r="BQ179" s="43" t="s">
        <v>1795</v>
      </c>
      <c r="BR179" s="3" t="str" cm="1">
        <f t="array" ref="BR179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79" s="3" t="str" cm="1">
        <f t="array" ref="BS179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79" s="3" t="str" cm="1">
        <f t="array" ref="BT179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79" s="3" t="str" cm="1">
        <f t="array" ref="BU179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79" s="48">
        <v>120</v>
      </c>
      <c r="BW179" s="1">
        <v>40</v>
      </c>
      <c r="BX179" s="44">
        <v>60</v>
      </c>
      <c r="BY179" s="51">
        <v>45823</v>
      </c>
      <c r="BZ179" s="5">
        <v>45853</v>
      </c>
      <c r="CA179" s="85">
        <v>0</v>
      </c>
      <c r="CB179" s="2">
        <v>0</v>
      </c>
      <c r="CC179" s="2">
        <v>1</v>
      </c>
      <c r="CD179" s="2">
        <v>1</v>
      </c>
      <c r="CE179" s="2">
        <v>1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P179" s="9"/>
      <c r="CQ179" s="10"/>
    </row>
    <row r="180" spans="2:95" x14ac:dyDescent="0.15">
      <c r="B180" s="36" t="s">
        <v>144</v>
      </c>
      <c r="C180" s="1" t="s">
        <v>153</v>
      </c>
      <c r="K180" s="1" t="s">
        <v>1748</v>
      </c>
      <c r="L180" s="1" t="s">
        <v>1750</v>
      </c>
      <c r="M180" s="1" t="s">
        <v>360</v>
      </c>
      <c r="N180" s="6">
        <v>21</v>
      </c>
      <c r="O180" s="1" t="s">
        <v>4</v>
      </c>
      <c r="P180" s="1">
        <v>300</v>
      </c>
      <c r="Q180" s="1">
        <v>8</v>
      </c>
      <c r="R180" s="1">
        <v>8</v>
      </c>
      <c r="S180" s="1">
        <v>30</v>
      </c>
      <c r="T180" s="1">
        <v>40</v>
      </c>
      <c r="U180" s="253">
        <v>7</v>
      </c>
      <c r="V180" s="1">
        <v>80</v>
      </c>
      <c r="W180" s="44">
        <v>130</v>
      </c>
      <c r="X180" s="40">
        <f>_xlfn.XLOOKUP("Ripening", CropPhenology_Maize[Main_Stage], CropPhenology_Maize[Start_GDD], "Not Found")</f>
        <v>1251</v>
      </c>
      <c r="Y180" s="4" cm="1">
        <f t="array" ref="Y180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0" s="3">
        <f t="shared" si="90"/>
        <v>13.874038461538461</v>
      </c>
      <c r="AA180" s="41">
        <f t="shared" si="91"/>
        <v>104.51174717582646</v>
      </c>
      <c r="AB180" s="1">
        <v>7.5</v>
      </c>
      <c r="AC180" s="1">
        <v>18</v>
      </c>
      <c r="AD180" s="1">
        <v>4</v>
      </c>
      <c r="AE180" s="1">
        <v>85</v>
      </c>
      <c r="AF180" s="1">
        <v>12</v>
      </c>
      <c r="AG180" s="1">
        <v>5</v>
      </c>
      <c r="AH180" s="3">
        <f t="shared" si="92"/>
        <v>1.9040921750663131</v>
      </c>
      <c r="AI180" s="1">
        <v>6</v>
      </c>
      <c r="AJ180" s="1">
        <v>7.5</v>
      </c>
      <c r="AK180" s="159">
        <v>1.7</v>
      </c>
      <c r="AL180" s="150">
        <v>0.12</v>
      </c>
      <c r="AM180" s="1">
        <v>450</v>
      </c>
      <c r="AN180" s="1">
        <v>600</v>
      </c>
      <c r="AO180" s="48">
        <v>5</v>
      </c>
      <c r="AP180" s="44">
        <v>100</v>
      </c>
      <c r="AQ180" s="42">
        <v>0.83</v>
      </c>
      <c r="AR180" s="1">
        <v>75</v>
      </c>
      <c r="AS180" s="1">
        <v>20</v>
      </c>
      <c r="AT180" s="1">
        <v>1</v>
      </c>
      <c r="AU180" s="4">
        <f t="shared" si="93"/>
        <v>6.666666666666667</v>
      </c>
      <c r="AV180" s="3">
        <f t="shared" si="94"/>
        <v>20</v>
      </c>
      <c r="AW180" s="1">
        <v>90</v>
      </c>
      <c r="AX180" s="3">
        <f t="shared" si="95"/>
        <v>6</v>
      </c>
      <c r="AY180" s="1">
        <v>2</v>
      </c>
      <c r="AZ180" s="4">
        <f t="shared" si="96"/>
        <v>12</v>
      </c>
      <c r="BA180" s="49">
        <v>0.9</v>
      </c>
      <c r="BB180" s="4">
        <f t="shared" si="97"/>
        <v>10.8</v>
      </c>
      <c r="BC180" s="50">
        <v>0.6</v>
      </c>
      <c r="BD180" s="69">
        <f>IFERROR(
  MAX(0.05, MIN(0.5, CropNorms_Maize[[#This Row],[Leaf_Area_Per_Shoot_m2]] * CropNorms_Maize[[#This Row],[Shoot_Bearing_m2]] )),
  0.2
)</f>
        <v>0.5</v>
      </c>
      <c r="BE180" s="4">
        <f>_xlfn.XLOOKUP(CropNorms_Maize[[#This Row],[LAI_Start_BBCH]], CropPhenology_Maize[Sub_Stage], CropPhenology_Maize[Start_GDD], "Not Found")</f>
        <v>101</v>
      </c>
      <c r="BF180" s="3">
        <f>ROUND(CropNorms_Maize[[#This Row],[Shoot_Bearing_m2]]*CropNorms_Maize[[#This Row],[Leaf_Area_Per_Shoot_m2]],2)</f>
        <v>6.48</v>
      </c>
      <c r="BG180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0" s="3">
        <f>IF(CropNorms_Maize[[#This Row],[Max_LAI]]&gt;=1.2, 0.85*CropNorms_Maize[[#This Row],[Max_LAI]], 1)</f>
        <v>5.508</v>
      </c>
      <c r="BI180" s="41">
        <f>_xlfn.XLOOKUP(CropNorms_Maize[[#This Row],[LAI_End_BBCH]], CropPhenology_Maize[Sub_Stage], CropPhenology_Maize[End_GDD], "Not Found")</f>
        <v>1250</v>
      </c>
      <c r="BJ180" s="3" cm="1">
        <f t="array" ref="BJ180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0" s="3" cm="1">
        <f t="array" ref="BK18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0" s="3" cm="1">
        <f t="array" ref="BL180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0" s="3" cm="1">
        <f t="array" ref="BM18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0" s="42">
        <v>0.45</v>
      </c>
      <c r="BO180" s="43">
        <v>0</v>
      </c>
      <c r="BP180" s="42">
        <v>10.18</v>
      </c>
      <c r="BQ180" s="43" t="s">
        <v>1795</v>
      </c>
      <c r="BR180" s="3" t="str" cm="1">
        <f t="array" ref="BR18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0" s="3" t="str" cm="1">
        <f t="array" ref="BS18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0" s="3" t="str" cm="1">
        <f t="array" ref="BT180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0" s="3" t="str" cm="1">
        <f t="array" ref="BU180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0" s="48">
        <v>120</v>
      </c>
      <c r="BW180" s="1">
        <v>40</v>
      </c>
      <c r="BX180" s="44">
        <v>60</v>
      </c>
      <c r="BY180" s="51">
        <v>45823</v>
      </c>
      <c r="BZ180" s="5">
        <v>45853</v>
      </c>
      <c r="CA180" s="85">
        <v>0</v>
      </c>
      <c r="CB180" s="2">
        <v>0</v>
      </c>
      <c r="CC180" s="2">
        <v>1</v>
      </c>
      <c r="CD180" s="2">
        <v>1</v>
      </c>
      <c r="CE180" s="2">
        <v>1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P180" s="9"/>
      <c r="CQ180" s="10"/>
    </row>
    <row r="181" spans="2:95" x14ac:dyDescent="0.15">
      <c r="B181" s="36" t="s">
        <v>144</v>
      </c>
      <c r="C181" s="1" t="s">
        <v>154</v>
      </c>
      <c r="K181" s="1" t="s">
        <v>1748</v>
      </c>
      <c r="L181" s="1" t="s">
        <v>1750</v>
      </c>
      <c r="M181" s="1" t="s">
        <v>360</v>
      </c>
      <c r="N181" s="6">
        <v>21</v>
      </c>
      <c r="O181" s="1" t="s">
        <v>4</v>
      </c>
      <c r="P181" s="1">
        <v>300</v>
      </c>
      <c r="Q181" s="1">
        <v>8</v>
      </c>
      <c r="R181" s="1">
        <v>8</v>
      </c>
      <c r="S181" s="1">
        <v>30</v>
      </c>
      <c r="T181" s="1">
        <v>40</v>
      </c>
      <c r="U181" s="253">
        <v>7</v>
      </c>
      <c r="V181" s="1">
        <v>80</v>
      </c>
      <c r="W181" s="44">
        <v>130</v>
      </c>
      <c r="X181" s="40">
        <f>_xlfn.XLOOKUP("Ripening", CropPhenology_Maize[Main_Stage], CropPhenology_Maize[Start_GDD], "Not Found")</f>
        <v>1251</v>
      </c>
      <c r="Y181" s="4" cm="1">
        <f t="array" ref="Y18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1" s="3">
        <f t="shared" si="90"/>
        <v>13.874038461538461</v>
      </c>
      <c r="AA181" s="41">
        <f t="shared" si="91"/>
        <v>104.51174717582646</v>
      </c>
      <c r="AB181" s="1">
        <v>7.5</v>
      </c>
      <c r="AC181" s="1">
        <v>18</v>
      </c>
      <c r="AD181" s="1">
        <v>4</v>
      </c>
      <c r="AE181" s="1">
        <v>85</v>
      </c>
      <c r="AF181" s="1">
        <v>12</v>
      </c>
      <c r="AG181" s="1">
        <v>5</v>
      </c>
      <c r="AH181" s="3">
        <f t="shared" si="92"/>
        <v>1.9040921750663131</v>
      </c>
      <c r="AI181" s="1">
        <v>6</v>
      </c>
      <c r="AJ181" s="1">
        <v>7.5</v>
      </c>
      <c r="AK181" s="159">
        <v>1.7</v>
      </c>
      <c r="AL181" s="150">
        <v>0.12</v>
      </c>
      <c r="AM181" s="1">
        <v>450</v>
      </c>
      <c r="AN181" s="1">
        <v>600</v>
      </c>
      <c r="AO181" s="48">
        <v>5</v>
      </c>
      <c r="AP181" s="44">
        <v>100</v>
      </c>
      <c r="AQ181" s="42">
        <v>0.85</v>
      </c>
      <c r="AR181" s="1">
        <v>75</v>
      </c>
      <c r="AS181" s="1">
        <v>20</v>
      </c>
      <c r="AT181" s="1">
        <v>1</v>
      </c>
      <c r="AU181" s="4">
        <f t="shared" si="93"/>
        <v>6.666666666666667</v>
      </c>
      <c r="AV181" s="3">
        <f t="shared" si="94"/>
        <v>20</v>
      </c>
      <c r="AW181" s="1">
        <v>90</v>
      </c>
      <c r="AX181" s="3">
        <f t="shared" si="95"/>
        <v>6</v>
      </c>
      <c r="AY181" s="1">
        <v>2</v>
      </c>
      <c r="AZ181" s="4">
        <f t="shared" si="96"/>
        <v>12</v>
      </c>
      <c r="BA181" s="49">
        <v>0.9</v>
      </c>
      <c r="BB181" s="4">
        <f t="shared" si="97"/>
        <v>10.8</v>
      </c>
      <c r="BC181" s="50">
        <v>0.6</v>
      </c>
      <c r="BD181" s="69">
        <f>IFERROR(
  MAX(0.05, MIN(0.5, CropNorms_Maize[[#This Row],[Leaf_Area_Per_Shoot_m2]] * CropNorms_Maize[[#This Row],[Shoot_Bearing_m2]] )),
  0.2
)</f>
        <v>0.5</v>
      </c>
      <c r="BE181" s="4">
        <f>_xlfn.XLOOKUP(CropNorms_Maize[[#This Row],[LAI_Start_BBCH]], CropPhenology_Maize[Sub_Stage], CropPhenology_Maize[Start_GDD], "Not Found")</f>
        <v>101</v>
      </c>
      <c r="BF181" s="3">
        <f>ROUND(CropNorms_Maize[[#This Row],[Shoot_Bearing_m2]]*CropNorms_Maize[[#This Row],[Leaf_Area_Per_Shoot_m2]],2)</f>
        <v>6.48</v>
      </c>
      <c r="BG181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1" s="3">
        <f>IF(CropNorms_Maize[[#This Row],[Max_LAI]]&gt;=1.2, 0.85*CropNorms_Maize[[#This Row],[Max_LAI]], 1)</f>
        <v>5.508</v>
      </c>
      <c r="BI181" s="41">
        <f>_xlfn.XLOOKUP(CropNorms_Maize[[#This Row],[LAI_End_BBCH]], CropPhenology_Maize[Sub_Stage], CropPhenology_Maize[End_GDD], "Not Found")</f>
        <v>1250</v>
      </c>
      <c r="BJ181" s="3" cm="1">
        <f t="array" ref="BJ18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1" s="3" cm="1">
        <f t="array" ref="BK18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1" s="3" cm="1">
        <f t="array" ref="BL18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1" s="3" cm="1">
        <f t="array" ref="BM18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1" s="42">
        <v>0.45</v>
      </c>
      <c r="BO181" s="43">
        <v>0</v>
      </c>
      <c r="BP181" s="42">
        <v>10.18</v>
      </c>
      <c r="BQ181" s="43" t="s">
        <v>1795</v>
      </c>
      <c r="BR181" s="3" t="str" cm="1">
        <f t="array" ref="BR18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1" s="3" t="str" cm="1">
        <f t="array" ref="BS18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1" s="3" t="str" cm="1">
        <f t="array" ref="BT18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1" s="3" t="str" cm="1">
        <f t="array" ref="BU18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1" s="48">
        <v>120</v>
      </c>
      <c r="BW181" s="1">
        <v>40</v>
      </c>
      <c r="BX181" s="44">
        <v>60</v>
      </c>
      <c r="BY181" s="51">
        <v>45823</v>
      </c>
      <c r="BZ181" s="5">
        <v>45853</v>
      </c>
      <c r="CA181" s="85">
        <v>0</v>
      </c>
      <c r="CB181" s="2">
        <v>0</v>
      </c>
      <c r="CC181" s="2">
        <v>1</v>
      </c>
      <c r="CD181" s="2">
        <v>1</v>
      </c>
      <c r="CE181" s="2">
        <v>1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P181" s="9"/>
      <c r="CQ181" s="10"/>
    </row>
    <row r="182" spans="2:95" x14ac:dyDescent="0.15">
      <c r="B182" s="36" t="s">
        <v>144</v>
      </c>
      <c r="C182" s="1" t="s">
        <v>155</v>
      </c>
      <c r="K182" s="1" t="s">
        <v>1748</v>
      </c>
      <c r="L182" s="1" t="s">
        <v>1750</v>
      </c>
      <c r="M182" s="1" t="s">
        <v>360</v>
      </c>
      <c r="N182" s="6">
        <v>21</v>
      </c>
      <c r="O182" s="1" t="s">
        <v>4</v>
      </c>
      <c r="P182" s="1">
        <v>300</v>
      </c>
      <c r="Q182" s="1">
        <v>8</v>
      </c>
      <c r="R182" s="1">
        <v>8</v>
      </c>
      <c r="S182" s="1">
        <v>30</v>
      </c>
      <c r="T182" s="1">
        <v>40</v>
      </c>
      <c r="U182" s="253">
        <v>7</v>
      </c>
      <c r="V182" s="1">
        <v>80</v>
      </c>
      <c r="W182" s="44">
        <v>130</v>
      </c>
      <c r="X182" s="40">
        <f>_xlfn.XLOOKUP("Ripening", CropPhenology_Maize[Main_Stage], CropPhenology_Maize[Start_GDD], "Not Found")</f>
        <v>1251</v>
      </c>
      <c r="Y182" s="4" cm="1">
        <f t="array" ref="Y182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2" s="3">
        <f t="shared" si="90"/>
        <v>13.874038461538461</v>
      </c>
      <c r="AA182" s="41">
        <f t="shared" si="91"/>
        <v>104.51174717582646</v>
      </c>
      <c r="AB182" s="1">
        <v>7.5</v>
      </c>
      <c r="AC182" s="1">
        <v>18</v>
      </c>
      <c r="AD182" s="1">
        <v>4</v>
      </c>
      <c r="AE182" s="1">
        <v>85</v>
      </c>
      <c r="AF182" s="1">
        <v>12</v>
      </c>
      <c r="AG182" s="1">
        <v>5</v>
      </c>
      <c r="AH182" s="3">
        <f t="shared" si="92"/>
        <v>1.9040921750663131</v>
      </c>
      <c r="AI182" s="1">
        <v>6</v>
      </c>
      <c r="AJ182" s="1">
        <v>7.5</v>
      </c>
      <c r="AK182" s="159">
        <v>1.7</v>
      </c>
      <c r="AL182" s="150">
        <v>0.12</v>
      </c>
      <c r="AM182" s="1">
        <v>450</v>
      </c>
      <c r="AN182" s="1">
        <v>600</v>
      </c>
      <c r="AO182" s="48">
        <v>5</v>
      </c>
      <c r="AP182" s="44">
        <v>100</v>
      </c>
      <c r="AQ182" s="42">
        <v>0.79</v>
      </c>
      <c r="AR182" s="1">
        <v>75</v>
      </c>
      <c r="AS182" s="1">
        <v>20</v>
      </c>
      <c r="AT182" s="1">
        <v>1</v>
      </c>
      <c r="AU182" s="4">
        <f t="shared" si="93"/>
        <v>6.666666666666667</v>
      </c>
      <c r="AV182" s="3">
        <f t="shared" si="94"/>
        <v>20</v>
      </c>
      <c r="AW182" s="1">
        <v>90</v>
      </c>
      <c r="AX182" s="3">
        <f t="shared" si="95"/>
        <v>6</v>
      </c>
      <c r="AY182" s="1">
        <v>2</v>
      </c>
      <c r="AZ182" s="4">
        <f t="shared" si="96"/>
        <v>12</v>
      </c>
      <c r="BA182" s="49">
        <v>0.9</v>
      </c>
      <c r="BB182" s="4">
        <f t="shared" si="97"/>
        <v>10.8</v>
      </c>
      <c r="BC182" s="50">
        <v>0.6</v>
      </c>
      <c r="BD182" s="69">
        <f>IFERROR(
  MAX(0.05, MIN(0.5, CropNorms_Maize[[#This Row],[Leaf_Area_Per_Shoot_m2]] * CropNorms_Maize[[#This Row],[Shoot_Bearing_m2]] )),
  0.2
)</f>
        <v>0.5</v>
      </c>
      <c r="BE182" s="4">
        <f>_xlfn.XLOOKUP(CropNorms_Maize[[#This Row],[LAI_Start_BBCH]], CropPhenology_Maize[Sub_Stage], CropPhenology_Maize[Start_GDD], "Not Found")</f>
        <v>101</v>
      </c>
      <c r="BF182" s="3">
        <f>ROUND(CropNorms_Maize[[#This Row],[Shoot_Bearing_m2]]*CropNorms_Maize[[#This Row],[Leaf_Area_Per_Shoot_m2]],2)</f>
        <v>6.48</v>
      </c>
      <c r="BG182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2" s="3">
        <f>IF(CropNorms_Maize[[#This Row],[Max_LAI]]&gt;=1.2, 0.85*CropNorms_Maize[[#This Row],[Max_LAI]], 1)</f>
        <v>5.508</v>
      </c>
      <c r="BI182" s="41">
        <f>_xlfn.XLOOKUP(CropNorms_Maize[[#This Row],[LAI_End_BBCH]], CropPhenology_Maize[Sub_Stage], CropPhenology_Maize[End_GDD], "Not Found")</f>
        <v>1250</v>
      </c>
      <c r="BJ182" s="3" cm="1">
        <f t="array" ref="BJ182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2" s="3" cm="1">
        <f t="array" ref="BK18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2" s="3" cm="1">
        <f t="array" ref="BL182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2" s="3" cm="1">
        <f t="array" ref="BM18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2" s="42">
        <v>0.45</v>
      </c>
      <c r="BO182" s="43">
        <v>0</v>
      </c>
      <c r="BP182" s="42">
        <v>10.18</v>
      </c>
      <c r="BQ182" s="43" t="s">
        <v>1795</v>
      </c>
      <c r="BR182" s="3" t="str" cm="1">
        <f t="array" ref="BR18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2" s="3" t="str" cm="1">
        <f t="array" ref="BS18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2" s="3" t="str" cm="1">
        <f t="array" ref="BT182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2" s="3" t="str" cm="1">
        <f t="array" ref="BU182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2" s="48">
        <v>120</v>
      </c>
      <c r="BW182" s="1">
        <v>40</v>
      </c>
      <c r="BX182" s="44">
        <v>60</v>
      </c>
      <c r="BY182" s="51">
        <v>45823</v>
      </c>
      <c r="BZ182" s="5">
        <v>45853</v>
      </c>
      <c r="CA182" s="85">
        <v>0</v>
      </c>
      <c r="CB182" s="2">
        <v>0</v>
      </c>
      <c r="CC182" s="2">
        <v>1</v>
      </c>
      <c r="CD182" s="2">
        <v>1</v>
      </c>
      <c r="CE182" s="2">
        <v>1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P182" s="9"/>
      <c r="CQ182" s="10"/>
    </row>
    <row r="183" spans="2:95" x14ac:dyDescent="0.15">
      <c r="B183" s="36" t="s">
        <v>144</v>
      </c>
      <c r="C183" s="1" t="s">
        <v>156</v>
      </c>
      <c r="K183" s="1" t="s">
        <v>1748</v>
      </c>
      <c r="L183" s="1" t="s">
        <v>1750</v>
      </c>
      <c r="M183" s="1" t="s">
        <v>360</v>
      </c>
      <c r="N183" s="6">
        <v>21</v>
      </c>
      <c r="O183" s="1" t="s">
        <v>4</v>
      </c>
      <c r="P183" s="1">
        <v>300</v>
      </c>
      <c r="Q183" s="1">
        <v>8</v>
      </c>
      <c r="R183" s="1">
        <v>8</v>
      </c>
      <c r="S183" s="1">
        <v>30</v>
      </c>
      <c r="T183" s="1">
        <v>40</v>
      </c>
      <c r="U183" s="253">
        <v>7</v>
      </c>
      <c r="V183" s="1">
        <v>80</v>
      </c>
      <c r="W183" s="44">
        <v>130</v>
      </c>
      <c r="X183" s="40">
        <f>_xlfn.XLOOKUP("Ripening", CropPhenology_Maize[Main_Stage], CropPhenology_Maize[Start_GDD], "Not Found")</f>
        <v>1251</v>
      </c>
      <c r="Y183" s="4" cm="1">
        <f t="array" ref="Y183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3" s="3">
        <f t="shared" si="90"/>
        <v>13.874038461538461</v>
      </c>
      <c r="AA183" s="41">
        <f t="shared" si="91"/>
        <v>104.51174717582646</v>
      </c>
      <c r="AB183" s="1">
        <v>7.5</v>
      </c>
      <c r="AC183" s="1">
        <v>18</v>
      </c>
      <c r="AD183" s="1">
        <v>4</v>
      </c>
      <c r="AE183" s="1">
        <v>85</v>
      </c>
      <c r="AF183" s="1">
        <v>12</v>
      </c>
      <c r="AG183" s="1">
        <v>5</v>
      </c>
      <c r="AH183" s="3">
        <f t="shared" si="92"/>
        <v>1.9040921750663131</v>
      </c>
      <c r="AI183" s="1">
        <v>6</v>
      </c>
      <c r="AJ183" s="1">
        <v>7.5</v>
      </c>
      <c r="AK183" s="159">
        <v>1.7</v>
      </c>
      <c r="AL183" s="150">
        <v>0.12</v>
      </c>
      <c r="AM183" s="1">
        <v>450</v>
      </c>
      <c r="AN183" s="1">
        <v>600</v>
      </c>
      <c r="AO183" s="48">
        <v>5</v>
      </c>
      <c r="AP183" s="44">
        <v>100</v>
      </c>
      <c r="AQ183" s="42">
        <v>0.81</v>
      </c>
      <c r="AR183" s="1">
        <v>75</v>
      </c>
      <c r="AS183" s="1">
        <v>20</v>
      </c>
      <c r="AT183" s="1">
        <v>1</v>
      </c>
      <c r="AU183" s="4">
        <f t="shared" si="93"/>
        <v>6.666666666666667</v>
      </c>
      <c r="AV183" s="3">
        <f t="shared" si="94"/>
        <v>20</v>
      </c>
      <c r="AW183" s="1">
        <v>90</v>
      </c>
      <c r="AX183" s="3">
        <f t="shared" si="95"/>
        <v>6</v>
      </c>
      <c r="AY183" s="1">
        <v>2</v>
      </c>
      <c r="AZ183" s="4">
        <f t="shared" si="96"/>
        <v>12</v>
      </c>
      <c r="BA183" s="49">
        <v>0.9</v>
      </c>
      <c r="BB183" s="4">
        <f t="shared" si="97"/>
        <v>10.8</v>
      </c>
      <c r="BC183" s="50">
        <v>0.6</v>
      </c>
      <c r="BD183" s="69">
        <f>IFERROR(
  MAX(0.05, MIN(0.5, CropNorms_Maize[[#This Row],[Leaf_Area_Per_Shoot_m2]] * CropNorms_Maize[[#This Row],[Shoot_Bearing_m2]] )),
  0.2
)</f>
        <v>0.5</v>
      </c>
      <c r="BE183" s="4">
        <f>_xlfn.XLOOKUP(CropNorms_Maize[[#This Row],[LAI_Start_BBCH]], CropPhenology_Maize[Sub_Stage], CropPhenology_Maize[Start_GDD], "Not Found")</f>
        <v>101</v>
      </c>
      <c r="BF183" s="3">
        <f>ROUND(CropNorms_Maize[[#This Row],[Shoot_Bearing_m2]]*CropNorms_Maize[[#This Row],[Leaf_Area_Per_Shoot_m2]],2)</f>
        <v>6.48</v>
      </c>
      <c r="BG183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3" s="3">
        <f>IF(CropNorms_Maize[[#This Row],[Max_LAI]]&gt;=1.2, 0.85*CropNorms_Maize[[#This Row],[Max_LAI]], 1)</f>
        <v>5.508</v>
      </c>
      <c r="BI183" s="41">
        <f>_xlfn.XLOOKUP(CropNorms_Maize[[#This Row],[LAI_End_BBCH]], CropPhenology_Maize[Sub_Stage], CropPhenology_Maize[End_GDD], "Not Found")</f>
        <v>1250</v>
      </c>
      <c r="BJ183" s="3" cm="1">
        <f t="array" ref="BJ183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3" s="3" cm="1">
        <f t="array" ref="BK18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3" s="3" cm="1">
        <f t="array" ref="BL183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3" s="3" cm="1">
        <f t="array" ref="BM18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3" s="42">
        <v>0.45</v>
      </c>
      <c r="BO183" s="43">
        <v>0</v>
      </c>
      <c r="BP183" s="42">
        <v>10.18</v>
      </c>
      <c r="BQ183" s="43" t="s">
        <v>1795</v>
      </c>
      <c r="BR183" s="3" t="str" cm="1">
        <f t="array" ref="BR18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3" s="3" t="str" cm="1">
        <f t="array" ref="BS18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3" s="3" t="str" cm="1">
        <f t="array" ref="BT183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3" s="3" t="str" cm="1">
        <f t="array" ref="BU183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3" s="48">
        <v>120</v>
      </c>
      <c r="BW183" s="1">
        <v>40</v>
      </c>
      <c r="BX183" s="44">
        <v>60</v>
      </c>
      <c r="BY183" s="51">
        <v>45823</v>
      </c>
      <c r="BZ183" s="5">
        <v>45853</v>
      </c>
      <c r="CA183" s="85">
        <v>0</v>
      </c>
      <c r="CB183" s="2">
        <v>0</v>
      </c>
      <c r="CC183" s="2">
        <v>1</v>
      </c>
      <c r="CD183" s="2">
        <v>1</v>
      </c>
      <c r="CE183" s="2">
        <v>1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P183" s="9"/>
      <c r="CQ183" s="10"/>
    </row>
    <row r="184" spans="2:95" x14ac:dyDescent="0.15">
      <c r="B184" s="36" t="s">
        <v>144</v>
      </c>
      <c r="C184" s="1" t="s">
        <v>157</v>
      </c>
      <c r="K184" s="1" t="s">
        <v>1748</v>
      </c>
      <c r="L184" s="1" t="s">
        <v>1750</v>
      </c>
      <c r="M184" s="1" t="s">
        <v>360</v>
      </c>
      <c r="N184" s="6">
        <v>21</v>
      </c>
      <c r="O184" s="1" t="s">
        <v>4</v>
      </c>
      <c r="P184" s="1">
        <v>300</v>
      </c>
      <c r="Q184" s="1">
        <v>8</v>
      </c>
      <c r="R184" s="1">
        <v>8</v>
      </c>
      <c r="S184" s="1">
        <v>30</v>
      </c>
      <c r="T184" s="1">
        <v>40</v>
      </c>
      <c r="U184" s="253">
        <v>7</v>
      </c>
      <c r="V184" s="1">
        <v>80</v>
      </c>
      <c r="W184" s="44">
        <v>130</v>
      </c>
      <c r="X184" s="40">
        <f>_xlfn.XLOOKUP("Ripening", CropPhenology_Maize[Main_Stage], CropPhenology_Maize[Start_GDD], "Not Found")</f>
        <v>1251</v>
      </c>
      <c r="Y184" s="4" cm="1">
        <f t="array" ref="Y184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4" s="3">
        <f t="shared" si="90"/>
        <v>13.874038461538461</v>
      </c>
      <c r="AA184" s="41">
        <f t="shared" si="91"/>
        <v>104.51174717582646</v>
      </c>
      <c r="AB184" s="1">
        <v>7.5</v>
      </c>
      <c r="AC184" s="1">
        <v>18</v>
      </c>
      <c r="AD184" s="1">
        <v>4</v>
      </c>
      <c r="AE184" s="1">
        <v>85</v>
      </c>
      <c r="AF184" s="1">
        <v>12</v>
      </c>
      <c r="AG184" s="1">
        <v>5</v>
      </c>
      <c r="AH184" s="3">
        <f t="shared" si="92"/>
        <v>1.9040921750663131</v>
      </c>
      <c r="AI184" s="1">
        <v>6</v>
      </c>
      <c r="AJ184" s="1">
        <v>7.5</v>
      </c>
      <c r="AK184" s="159">
        <v>1.7</v>
      </c>
      <c r="AL184" s="150">
        <v>0.12</v>
      </c>
      <c r="AM184" s="1">
        <v>450</v>
      </c>
      <c r="AN184" s="1">
        <v>600</v>
      </c>
      <c r="AO184" s="48">
        <v>5</v>
      </c>
      <c r="AP184" s="44">
        <v>100</v>
      </c>
      <c r="AQ184" s="42">
        <v>0.8</v>
      </c>
      <c r="AR184" s="1">
        <v>75</v>
      </c>
      <c r="AS184" s="1">
        <v>20</v>
      </c>
      <c r="AT184" s="1">
        <v>1</v>
      </c>
      <c r="AU184" s="4">
        <f t="shared" si="93"/>
        <v>6.666666666666667</v>
      </c>
      <c r="AV184" s="3">
        <f t="shared" si="94"/>
        <v>20</v>
      </c>
      <c r="AW184" s="1">
        <v>90</v>
      </c>
      <c r="AX184" s="3">
        <f t="shared" si="95"/>
        <v>6</v>
      </c>
      <c r="AY184" s="1">
        <v>2</v>
      </c>
      <c r="AZ184" s="4">
        <f t="shared" si="96"/>
        <v>12</v>
      </c>
      <c r="BA184" s="49">
        <v>0.9</v>
      </c>
      <c r="BB184" s="4">
        <f t="shared" si="97"/>
        <v>10.8</v>
      </c>
      <c r="BC184" s="50">
        <v>0.6</v>
      </c>
      <c r="BD184" s="69">
        <f>IFERROR(
  MAX(0.05, MIN(0.5, CropNorms_Maize[[#This Row],[Leaf_Area_Per_Shoot_m2]] * CropNorms_Maize[[#This Row],[Shoot_Bearing_m2]] )),
  0.2
)</f>
        <v>0.5</v>
      </c>
      <c r="BE184" s="4">
        <f>_xlfn.XLOOKUP(CropNorms_Maize[[#This Row],[LAI_Start_BBCH]], CropPhenology_Maize[Sub_Stage], CropPhenology_Maize[Start_GDD], "Not Found")</f>
        <v>101</v>
      </c>
      <c r="BF184" s="3">
        <f>ROUND(CropNorms_Maize[[#This Row],[Shoot_Bearing_m2]]*CropNorms_Maize[[#This Row],[Leaf_Area_Per_Shoot_m2]],2)</f>
        <v>6.48</v>
      </c>
      <c r="BG184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4" s="3">
        <f>IF(CropNorms_Maize[[#This Row],[Max_LAI]]&gt;=1.2, 0.85*CropNorms_Maize[[#This Row],[Max_LAI]], 1)</f>
        <v>5.508</v>
      </c>
      <c r="BI184" s="41">
        <f>_xlfn.XLOOKUP(CropNorms_Maize[[#This Row],[LAI_End_BBCH]], CropPhenology_Maize[Sub_Stage], CropPhenology_Maize[End_GDD], "Not Found")</f>
        <v>1250</v>
      </c>
      <c r="BJ184" s="3" cm="1">
        <f t="array" ref="BJ184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4" s="3" cm="1">
        <f t="array" ref="BK18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4" s="3" cm="1">
        <f t="array" ref="BL184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4" s="3" cm="1">
        <f t="array" ref="BM18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4" s="42">
        <v>0.45</v>
      </c>
      <c r="BO184" s="43">
        <v>0</v>
      </c>
      <c r="BP184" s="42">
        <v>10.18</v>
      </c>
      <c r="BQ184" s="43" t="s">
        <v>1795</v>
      </c>
      <c r="BR184" s="3" t="str" cm="1">
        <f t="array" ref="BR18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4" s="3" t="str" cm="1">
        <f t="array" ref="BS18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4" s="3" t="str" cm="1">
        <f t="array" ref="BT184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4" s="3" t="str" cm="1">
        <f t="array" ref="BU184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4" s="48">
        <v>120</v>
      </c>
      <c r="BW184" s="1">
        <v>40</v>
      </c>
      <c r="BX184" s="44">
        <v>60</v>
      </c>
      <c r="BY184" s="51">
        <v>45823</v>
      </c>
      <c r="BZ184" s="5">
        <v>45853</v>
      </c>
      <c r="CA184" s="85">
        <v>0</v>
      </c>
      <c r="CB184" s="2">
        <v>0</v>
      </c>
      <c r="CC184" s="2">
        <v>1</v>
      </c>
      <c r="CD184" s="2">
        <v>1</v>
      </c>
      <c r="CE184" s="2">
        <v>1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P184" s="9"/>
      <c r="CQ184" s="10"/>
    </row>
    <row r="185" spans="2:95" x14ac:dyDescent="0.15">
      <c r="B185" s="36" t="s">
        <v>144</v>
      </c>
      <c r="C185" s="1" t="s">
        <v>158</v>
      </c>
      <c r="K185" s="1" t="s">
        <v>1748</v>
      </c>
      <c r="L185" s="1" t="s">
        <v>1750</v>
      </c>
      <c r="M185" s="1" t="s">
        <v>360</v>
      </c>
      <c r="N185" s="6">
        <v>21</v>
      </c>
      <c r="O185" s="1" t="s">
        <v>4</v>
      </c>
      <c r="P185" s="1">
        <v>300</v>
      </c>
      <c r="Q185" s="1">
        <v>8</v>
      </c>
      <c r="R185" s="1">
        <v>8</v>
      </c>
      <c r="S185" s="1">
        <v>30</v>
      </c>
      <c r="T185" s="1">
        <v>40</v>
      </c>
      <c r="U185" s="253">
        <v>7</v>
      </c>
      <c r="V185" s="1">
        <v>80</v>
      </c>
      <c r="W185" s="44">
        <v>130</v>
      </c>
      <c r="X185" s="40">
        <f>_xlfn.XLOOKUP("Ripening", CropPhenology_Maize[Main_Stage], CropPhenology_Maize[Start_GDD], "Not Found")</f>
        <v>1251</v>
      </c>
      <c r="Y185" s="4" cm="1">
        <f t="array" ref="Y185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5" s="3">
        <f t="shared" si="90"/>
        <v>13.874038461538461</v>
      </c>
      <c r="AA185" s="41">
        <f t="shared" si="91"/>
        <v>104.51174717582646</v>
      </c>
      <c r="AB185" s="1">
        <v>7.5</v>
      </c>
      <c r="AC185" s="1">
        <v>18</v>
      </c>
      <c r="AD185" s="1">
        <v>4</v>
      </c>
      <c r="AE185" s="1">
        <v>85</v>
      </c>
      <c r="AF185" s="1">
        <v>12</v>
      </c>
      <c r="AG185" s="1">
        <v>5</v>
      </c>
      <c r="AH185" s="3">
        <f t="shared" si="92"/>
        <v>1.9040921750663131</v>
      </c>
      <c r="AI185" s="1">
        <v>6</v>
      </c>
      <c r="AJ185" s="1">
        <v>7.5</v>
      </c>
      <c r="AK185" s="159">
        <v>1.7</v>
      </c>
      <c r="AL185" s="150">
        <v>0.12</v>
      </c>
      <c r="AM185" s="1">
        <v>450</v>
      </c>
      <c r="AN185" s="1">
        <v>600</v>
      </c>
      <c r="AO185" s="48">
        <v>5</v>
      </c>
      <c r="AP185" s="44">
        <v>100</v>
      </c>
      <c r="AQ185" s="42">
        <v>0.78</v>
      </c>
      <c r="AR185" s="1">
        <v>75</v>
      </c>
      <c r="AS185" s="1">
        <v>20</v>
      </c>
      <c r="AT185" s="1">
        <v>1</v>
      </c>
      <c r="AU185" s="4">
        <f t="shared" si="93"/>
        <v>6.666666666666667</v>
      </c>
      <c r="AV185" s="3">
        <f t="shared" si="94"/>
        <v>20</v>
      </c>
      <c r="AW185" s="1">
        <v>90</v>
      </c>
      <c r="AX185" s="3">
        <f t="shared" si="95"/>
        <v>6</v>
      </c>
      <c r="AY185" s="1">
        <v>2</v>
      </c>
      <c r="AZ185" s="4">
        <f t="shared" si="96"/>
        <v>12</v>
      </c>
      <c r="BA185" s="49">
        <v>0.9</v>
      </c>
      <c r="BB185" s="4">
        <f t="shared" si="97"/>
        <v>10.8</v>
      </c>
      <c r="BC185" s="50">
        <v>0.6</v>
      </c>
      <c r="BD185" s="69">
        <f>IFERROR(
  MAX(0.05, MIN(0.5, CropNorms_Maize[[#This Row],[Leaf_Area_Per_Shoot_m2]] * CropNorms_Maize[[#This Row],[Shoot_Bearing_m2]] )),
  0.2
)</f>
        <v>0.5</v>
      </c>
      <c r="BE185" s="4">
        <f>_xlfn.XLOOKUP(CropNorms_Maize[[#This Row],[LAI_Start_BBCH]], CropPhenology_Maize[Sub_Stage], CropPhenology_Maize[Start_GDD], "Not Found")</f>
        <v>101</v>
      </c>
      <c r="BF185" s="3">
        <f>ROUND(CropNorms_Maize[[#This Row],[Shoot_Bearing_m2]]*CropNorms_Maize[[#This Row],[Leaf_Area_Per_Shoot_m2]],2)</f>
        <v>6.48</v>
      </c>
      <c r="BG185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5" s="3">
        <f>IF(CropNorms_Maize[[#This Row],[Max_LAI]]&gt;=1.2, 0.85*CropNorms_Maize[[#This Row],[Max_LAI]], 1)</f>
        <v>5.508</v>
      </c>
      <c r="BI185" s="41">
        <f>_xlfn.XLOOKUP(CropNorms_Maize[[#This Row],[LAI_End_BBCH]], CropPhenology_Maize[Sub_Stage], CropPhenology_Maize[End_GDD], "Not Found")</f>
        <v>1250</v>
      </c>
      <c r="BJ185" s="3" cm="1">
        <f t="array" ref="BJ185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5" s="3" cm="1">
        <f t="array" ref="BK18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5" s="3" cm="1">
        <f t="array" ref="BL185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5" s="3" cm="1">
        <f t="array" ref="BM18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5" s="42">
        <v>0.45</v>
      </c>
      <c r="BO185" s="43">
        <v>0</v>
      </c>
      <c r="BP185" s="42">
        <v>10.18</v>
      </c>
      <c r="BQ185" s="43" t="s">
        <v>1795</v>
      </c>
      <c r="BR185" s="3" t="str" cm="1">
        <f t="array" ref="BR18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5" s="3" t="str" cm="1">
        <f t="array" ref="BS18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5" s="3" t="str" cm="1">
        <f t="array" ref="BT185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5" s="3" t="str" cm="1">
        <f t="array" ref="BU185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5" s="48">
        <v>120</v>
      </c>
      <c r="BW185" s="1">
        <v>40</v>
      </c>
      <c r="BX185" s="44">
        <v>60</v>
      </c>
      <c r="BY185" s="51">
        <v>45823</v>
      </c>
      <c r="BZ185" s="5">
        <v>45853</v>
      </c>
      <c r="CA185" s="85">
        <v>0</v>
      </c>
      <c r="CB185" s="2">
        <v>0</v>
      </c>
      <c r="CC185" s="2">
        <v>1</v>
      </c>
      <c r="CD185" s="2">
        <v>1</v>
      </c>
      <c r="CE185" s="2">
        <v>1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P185" s="9"/>
      <c r="CQ185" s="10"/>
    </row>
    <row r="186" spans="2:95" x14ac:dyDescent="0.15">
      <c r="B186" s="36" t="s">
        <v>144</v>
      </c>
      <c r="C186" s="1" t="s">
        <v>146</v>
      </c>
      <c r="K186" s="1" t="s">
        <v>1748</v>
      </c>
      <c r="L186" s="1" t="s">
        <v>1750</v>
      </c>
      <c r="M186" s="1" t="s">
        <v>360</v>
      </c>
      <c r="N186" s="6">
        <v>21</v>
      </c>
      <c r="O186" s="1" t="s">
        <v>2</v>
      </c>
      <c r="P186" s="1">
        <v>300</v>
      </c>
      <c r="Q186" s="1">
        <v>8</v>
      </c>
      <c r="R186" s="1">
        <v>8</v>
      </c>
      <c r="S186" s="1">
        <v>30</v>
      </c>
      <c r="T186" s="1">
        <v>40</v>
      </c>
      <c r="U186" s="253">
        <v>7</v>
      </c>
      <c r="V186" s="1">
        <v>80</v>
      </c>
      <c r="W186" s="44">
        <v>130</v>
      </c>
      <c r="X186" s="40">
        <f>_xlfn.XLOOKUP("Ripening", CropPhenology_Maize[Main_Stage], CropPhenology_Maize[Start_GDD], "Not Found")</f>
        <v>1251</v>
      </c>
      <c r="Y186" s="4" cm="1">
        <f t="array" ref="Y186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6" s="3">
        <f t="shared" si="90"/>
        <v>13.874038461538461</v>
      </c>
      <c r="AA186" s="41">
        <f t="shared" si="91"/>
        <v>104.51174717582646</v>
      </c>
      <c r="AB186" s="1">
        <v>7.5</v>
      </c>
      <c r="AC186" s="1">
        <v>18</v>
      </c>
      <c r="AD186" s="1">
        <v>4</v>
      </c>
      <c r="AE186" s="1">
        <v>85</v>
      </c>
      <c r="AF186" s="1">
        <v>12</v>
      </c>
      <c r="AG186" s="1">
        <v>5</v>
      </c>
      <c r="AH186" s="3">
        <f t="shared" si="92"/>
        <v>1.9040921750663131</v>
      </c>
      <c r="AI186" s="1">
        <v>6</v>
      </c>
      <c r="AJ186" s="1">
        <v>7.5</v>
      </c>
      <c r="AK186" s="159">
        <v>1.7</v>
      </c>
      <c r="AL186" s="150">
        <v>0.12</v>
      </c>
      <c r="AM186" s="1">
        <v>300</v>
      </c>
      <c r="AN186" s="1">
        <v>450</v>
      </c>
      <c r="AO186" s="48">
        <v>5</v>
      </c>
      <c r="AP186" s="44">
        <v>100</v>
      </c>
      <c r="AQ186" s="42">
        <v>0.7</v>
      </c>
      <c r="AR186" s="1">
        <v>75</v>
      </c>
      <c r="AS186" s="1">
        <v>20</v>
      </c>
      <c r="AT186" s="1">
        <v>1</v>
      </c>
      <c r="AU186" s="4">
        <f t="shared" si="93"/>
        <v>6.666666666666667</v>
      </c>
      <c r="AV186" s="3">
        <f t="shared" si="94"/>
        <v>20</v>
      </c>
      <c r="AW186" s="1">
        <v>90</v>
      </c>
      <c r="AX186" s="3">
        <f t="shared" si="95"/>
        <v>6</v>
      </c>
      <c r="AY186" s="1">
        <v>2</v>
      </c>
      <c r="AZ186" s="4">
        <f t="shared" si="96"/>
        <v>12</v>
      </c>
      <c r="BA186" s="49">
        <v>0.9</v>
      </c>
      <c r="BB186" s="4">
        <f t="shared" si="97"/>
        <v>10.8</v>
      </c>
      <c r="BC186" s="50">
        <v>0.6</v>
      </c>
      <c r="BD186" s="69">
        <f>IFERROR(
  MAX(0.05, MIN(0.5, CropNorms_Maize[[#This Row],[Leaf_Area_Per_Shoot_m2]] * CropNorms_Maize[[#This Row],[Shoot_Bearing_m2]] )),
  0.2
)</f>
        <v>0.5</v>
      </c>
      <c r="BE186" s="4">
        <f>_xlfn.XLOOKUP(CropNorms_Maize[[#This Row],[LAI_Start_BBCH]], CropPhenology_Maize[Sub_Stage], CropPhenology_Maize[Start_GDD], "Not Found")</f>
        <v>101</v>
      </c>
      <c r="BF186" s="3">
        <f>ROUND(CropNorms_Maize[[#This Row],[Shoot_Bearing_m2]]*CropNorms_Maize[[#This Row],[Leaf_Area_Per_Shoot_m2]],2)</f>
        <v>6.48</v>
      </c>
      <c r="BG186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6" s="3">
        <f>IF(CropNorms_Maize[[#This Row],[Max_LAI]]&gt;=1.2, 0.85*CropNorms_Maize[[#This Row],[Max_LAI]], 1)</f>
        <v>5.508</v>
      </c>
      <c r="BI186" s="41">
        <f>_xlfn.XLOOKUP(CropNorms_Maize[[#This Row],[LAI_End_BBCH]], CropPhenology_Maize[Sub_Stage], CropPhenology_Maize[End_GDD], "Not Found")</f>
        <v>1250</v>
      </c>
      <c r="BJ186" s="3" cm="1">
        <f t="array" ref="BJ186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6" s="3" cm="1">
        <f t="array" ref="BK18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6" s="3" cm="1">
        <f t="array" ref="BL186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6" s="3" cm="1">
        <f t="array" ref="BM18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6" s="42">
        <v>0.45</v>
      </c>
      <c r="BO186" s="43">
        <v>0</v>
      </c>
      <c r="BP186" s="42">
        <v>7.05</v>
      </c>
      <c r="BQ186" s="43" t="s">
        <v>1795</v>
      </c>
      <c r="BR186" s="3" t="str" cm="1">
        <f t="array" ref="BR18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6" s="3" t="str" cm="1">
        <f t="array" ref="BS18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6" s="3" t="str" cm="1">
        <f t="array" ref="BT186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6" s="3" t="str" cm="1">
        <f t="array" ref="BU186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6" s="48">
        <v>120</v>
      </c>
      <c r="BW186" s="1">
        <v>40</v>
      </c>
      <c r="BX186" s="44">
        <v>60</v>
      </c>
      <c r="BY186" s="51">
        <v>45823</v>
      </c>
      <c r="BZ186" s="5">
        <v>45853</v>
      </c>
      <c r="CA186" s="85">
        <v>0</v>
      </c>
      <c r="CB186" s="2">
        <v>0</v>
      </c>
      <c r="CC186" s="2">
        <v>1</v>
      </c>
      <c r="CD186" s="2">
        <v>1</v>
      </c>
      <c r="CE186" s="2">
        <v>1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P186" s="9"/>
      <c r="CQ186" s="10"/>
    </row>
    <row r="187" spans="2:95" ht="11.25" thickBot="1" x14ac:dyDescent="0.2">
      <c r="B187" s="36" t="s">
        <v>144</v>
      </c>
      <c r="C187" s="1" t="s">
        <v>152</v>
      </c>
      <c r="K187" s="1" t="s">
        <v>1748</v>
      </c>
      <c r="L187" s="1" t="s">
        <v>1750</v>
      </c>
      <c r="M187" s="1" t="s">
        <v>360</v>
      </c>
      <c r="N187" s="6">
        <v>21</v>
      </c>
      <c r="O187" s="1" t="s">
        <v>2</v>
      </c>
      <c r="P187" s="1">
        <v>300</v>
      </c>
      <c r="Q187" s="1">
        <v>8</v>
      </c>
      <c r="R187" s="1">
        <v>8</v>
      </c>
      <c r="S187" s="1">
        <v>30</v>
      </c>
      <c r="T187" s="1">
        <v>40</v>
      </c>
      <c r="U187" s="254">
        <v>7</v>
      </c>
      <c r="V187" s="1">
        <v>80</v>
      </c>
      <c r="W187" s="44">
        <v>130</v>
      </c>
      <c r="X187" s="40">
        <f>_xlfn.XLOOKUP("Ripening", CropPhenology_Maize[Main_Stage], CropPhenology_Maize[Start_GDD], "Not Found")</f>
        <v>1251</v>
      </c>
      <c r="Y187" s="4" cm="1">
        <f t="array" ref="Y187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Z187" s="3">
        <f t="shared" si="90"/>
        <v>13.874038461538461</v>
      </c>
      <c r="AA187" s="41">
        <f t="shared" si="91"/>
        <v>104.51174717582646</v>
      </c>
      <c r="AB187" s="1">
        <v>7.5</v>
      </c>
      <c r="AC187" s="1">
        <v>18</v>
      </c>
      <c r="AD187" s="1">
        <v>4</v>
      </c>
      <c r="AE187" s="1">
        <v>85</v>
      </c>
      <c r="AF187" s="1">
        <v>12</v>
      </c>
      <c r="AG187" s="1">
        <v>5</v>
      </c>
      <c r="AH187" s="3">
        <f t="shared" si="92"/>
        <v>1.9040921750663131</v>
      </c>
      <c r="AI187" s="1">
        <v>6</v>
      </c>
      <c r="AJ187" s="1">
        <v>7.5</v>
      </c>
      <c r="AK187" s="160">
        <v>1.7</v>
      </c>
      <c r="AL187" s="161">
        <v>0.12</v>
      </c>
      <c r="AM187" s="1">
        <v>300</v>
      </c>
      <c r="AN187" s="1">
        <v>450</v>
      </c>
      <c r="AO187" s="48">
        <v>5</v>
      </c>
      <c r="AP187" s="44">
        <v>100</v>
      </c>
      <c r="AQ187" s="42">
        <v>0.65</v>
      </c>
      <c r="AR187" s="1">
        <v>75</v>
      </c>
      <c r="AS187" s="1">
        <v>20</v>
      </c>
      <c r="AT187" s="1">
        <v>1</v>
      </c>
      <c r="AU187" s="4">
        <f t="shared" si="93"/>
        <v>6.666666666666667</v>
      </c>
      <c r="AV187" s="3">
        <f t="shared" si="94"/>
        <v>20</v>
      </c>
      <c r="AW187" s="1">
        <v>90</v>
      </c>
      <c r="AX187" s="3">
        <f t="shared" si="95"/>
        <v>6</v>
      </c>
      <c r="AY187" s="1">
        <v>2</v>
      </c>
      <c r="AZ187" s="4">
        <f t="shared" si="96"/>
        <v>12</v>
      </c>
      <c r="BA187" s="49">
        <v>0.9</v>
      </c>
      <c r="BB187" s="4">
        <f t="shared" si="97"/>
        <v>10.8</v>
      </c>
      <c r="BC187" s="50">
        <v>0.6</v>
      </c>
      <c r="BD187" s="69">
        <f>IFERROR(
  MAX(0.05, MIN(0.5, CropNorms_Maize[[#This Row],[Leaf_Area_Per_Shoot_m2]] * CropNorms_Maize[[#This Row],[Shoot_Bearing_m2]] )),
  0.2
)</f>
        <v>0.5</v>
      </c>
      <c r="BE187" s="4">
        <f>_xlfn.XLOOKUP(CropNorms_Maize[[#This Row],[LAI_Start_BBCH]], CropPhenology_Maize[Sub_Stage], CropPhenology_Maize[Start_GDD], "Not Found")</f>
        <v>101</v>
      </c>
      <c r="BF187" s="3">
        <f>ROUND(CropNorms_Maize[[#This Row],[Shoot_Bearing_m2]]*CropNorms_Maize[[#This Row],[Leaf_Area_Per_Shoot_m2]],2)</f>
        <v>6.48</v>
      </c>
      <c r="BG187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H187" s="3">
        <f>IF(CropNorms_Maize[[#This Row],[Max_LAI]]&gt;=1.2, 0.85*CropNorms_Maize[[#This Row],[Max_LAI]], 1)</f>
        <v>5.508</v>
      </c>
      <c r="BI187" s="41">
        <f>_xlfn.XLOOKUP(CropNorms_Maize[[#This Row],[LAI_End_BBCH]], CropPhenology_Maize[Sub_Stage], CropPhenology_Maize[End_GDD], "Not Found")</f>
        <v>1250</v>
      </c>
      <c r="BJ187" s="3" cm="1">
        <f t="array" ref="BJ187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K187" s="3" cm="1">
        <f t="array" ref="BK18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L187" s="3" cm="1">
        <f t="array" ref="BL187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M187" s="3" cm="1">
        <f t="array" ref="BM18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87" s="42">
        <v>0.45</v>
      </c>
      <c r="BO187" s="43">
        <v>0</v>
      </c>
      <c r="BP187" s="42">
        <v>7.05</v>
      </c>
      <c r="BQ187" s="43" t="s">
        <v>1795</v>
      </c>
      <c r="BR187" s="3" t="str" cm="1">
        <f t="array" ref="BR18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S187" s="3" t="str" cm="1">
        <f t="array" ref="BS18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T187" s="3" t="str" cm="1">
        <f t="array" ref="BT187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U187" s="3" t="str" cm="1">
        <f t="array" ref="BU187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V187" s="48">
        <v>120</v>
      </c>
      <c r="BW187" s="1">
        <v>40</v>
      </c>
      <c r="BX187" s="44">
        <v>60</v>
      </c>
      <c r="BY187" s="51">
        <v>45823</v>
      </c>
      <c r="BZ187" s="5">
        <v>45853</v>
      </c>
      <c r="CA187" s="85">
        <v>0</v>
      </c>
      <c r="CB187" s="2">
        <v>0</v>
      </c>
      <c r="CC187" s="2">
        <v>1</v>
      </c>
      <c r="CD187" s="2">
        <v>1</v>
      </c>
      <c r="CE187" s="2">
        <v>1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P187" s="9"/>
      <c r="CQ187" s="10"/>
    </row>
    <row r="188" spans="2:95" ht="11.25" thickBot="1" x14ac:dyDescent="0.2">
      <c r="Y188" s="3"/>
      <c r="Z188" s="4"/>
      <c r="AG188" s="3"/>
      <c r="AR188" s="4"/>
      <c r="AS188" s="3"/>
      <c r="AU188" s="3"/>
      <c r="AW188" s="4"/>
      <c r="AX188" s="49"/>
      <c r="AY188" s="4"/>
      <c r="BV188" s="51"/>
      <c r="BW188" s="51"/>
      <c r="CP188" s="9"/>
      <c r="CQ188" s="10"/>
    </row>
    <row r="189" spans="2:95" ht="11.25" thickBot="1" x14ac:dyDescent="0.2">
      <c r="B189" s="54" t="s">
        <v>1753</v>
      </c>
      <c r="C189" s="53" t="s">
        <v>1754</v>
      </c>
      <c r="D189" s="53" t="s">
        <v>1804</v>
      </c>
      <c r="E189" s="53" t="s">
        <v>1805</v>
      </c>
      <c r="F189" s="53" t="s">
        <v>1806</v>
      </c>
      <c r="G189" s="53" t="s">
        <v>1807</v>
      </c>
      <c r="H189" s="53" t="s">
        <v>1808</v>
      </c>
      <c r="I189" s="53" t="s">
        <v>1809</v>
      </c>
      <c r="J189" s="53" t="s">
        <v>1810</v>
      </c>
      <c r="K189" s="53" t="s">
        <v>1747</v>
      </c>
      <c r="L189" s="54" t="s">
        <v>1749</v>
      </c>
      <c r="M189" s="53" t="s">
        <v>357</v>
      </c>
      <c r="N189" s="55" t="s">
        <v>692</v>
      </c>
      <c r="O189" s="53" t="s">
        <v>325</v>
      </c>
      <c r="P189" s="53" t="s">
        <v>356</v>
      </c>
      <c r="Q189" s="53" t="s">
        <v>326</v>
      </c>
      <c r="R189" s="53" t="s">
        <v>327</v>
      </c>
      <c r="S189" s="53" t="s">
        <v>328</v>
      </c>
      <c r="T189" s="53" t="s">
        <v>329</v>
      </c>
      <c r="U189" s="250" t="s">
        <v>2349</v>
      </c>
      <c r="V189" s="53" t="s">
        <v>330</v>
      </c>
      <c r="W189" s="53" t="s">
        <v>331</v>
      </c>
      <c r="X189" s="56" t="s">
        <v>354</v>
      </c>
      <c r="Y189" s="57" t="s">
        <v>355</v>
      </c>
      <c r="Z189" s="58" t="s">
        <v>413</v>
      </c>
      <c r="AA189" s="59" t="s">
        <v>583</v>
      </c>
      <c r="AB189" s="53" t="s">
        <v>324</v>
      </c>
      <c r="AC189" s="53" t="s">
        <v>332</v>
      </c>
      <c r="AD189" s="53" t="s">
        <v>333</v>
      </c>
      <c r="AE189" s="53" t="s">
        <v>334</v>
      </c>
      <c r="AF189" s="53" t="s">
        <v>335</v>
      </c>
      <c r="AG189" s="53" t="s">
        <v>336</v>
      </c>
      <c r="AH189" s="60" t="s">
        <v>337</v>
      </c>
      <c r="AI189" s="53" t="s">
        <v>338</v>
      </c>
      <c r="AJ189" s="53" t="s">
        <v>339</v>
      </c>
      <c r="AK189" s="157" t="s">
        <v>2346</v>
      </c>
      <c r="AL189" s="158" t="s">
        <v>2347</v>
      </c>
      <c r="AM189" s="53" t="s">
        <v>340</v>
      </c>
      <c r="AN189" s="53" t="s">
        <v>341</v>
      </c>
      <c r="AO189" s="61" t="s">
        <v>342</v>
      </c>
      <c r="AP189" s="62" t="s">
        <v>343</v>
      </c>
      <c r="AQ189" s="55" t="s">
        <v>344</v>
      </c>
      <c r="AR189" s="53" t="s">
        <v>345</v>
      </c>
      <c r="AS189" s="53" t="s">
        <v>346</v>
      </c>
      <c r="AT189" s="53" t="s">
        <v>364</v>
      </c>
      <c r="AU189" s="60" t="s">
        <v>347</v>
      </c>
      <c r="AV189" s="58" t="s">
        <v>363</v>
      </c>
      <c r="AW189" s="53" t="s">
        <v>348</v>
      </c>
      <c r="AX189" s="58" t="s">
        <v>349</v>
      </c>
      <c r="AY189" s="53" t="s">
        <v>366</v>
      </c>
      <c r="AZ189" s="60" t="s">
        <v>350</v>
      </c>
      <c r="BA189" s="53" t="s">
        <v>365</v>
      </c>
      <c r="BB189" s="60" t="s">
        <v>1827</v>
      </c>
      <c r="BC189" s="63" t="s">
        <v>351</v>
      </c>
      <c r="BD189" s="71" t="s">
        <v>1811</v>
      </c>
      <c r="BE189" s="57" t="s">
        <v>352</v>
      </c>
      <c r="BF189" s="58" t="s">
        <v>1812</v>
      </c>
      <c r="BG189" s="57" t="s">
        <v>1752</v>
      </c>
      <c r="BH189" s="60" t="s">
        <v>1813</v>
      </c>
      <c r="BI189" s="59" t="s">
        <v>353</v>
      </c>
      <c r="BJ189" s="71" t="s">
        <v>1828</v>
      </c>
      <c r="BK189" s="58" t="s">
        <v>1829</v>
      </c>
      <c r="BL189" s="58" t="s">
        <v>1830</v>
      </c>
      <c r="BM189" s="72" t="s">
        <v>1831</v>
      </c>
      <c r="BN189" s="64" t="s">
        <v>1154</v>
      </c>
      <c r="BO189" s="65" t="s">
        <v>1742</v>
      </c>
      <c r="BP189" s="64" t="s">
        <v>1155</v>
      </c>
      <c r="BQ189" s="65" t="s">
        <v>1755</v>
      </c>
      <c r="BR189" s="58" t="s">
        <v>367</v>
      </c>
      <c r="BS189" s="58" t="s">
        <v>1751</v>
      </c>
      <c r="BT189" s="58" t="s">
        <v>368</v>
      </c>
      <c r="BU189" s="60" t="s">
        <v>1814</v>
      </c>
      <c r="BV189" s="61" t="s">
        <v>369</v>
      </c>
      <c r="BW189" s="53" t="s">
        <v>370</v>
      </c>
      <c r="BX189" s="62" t="s">
        <v>371</v>
      </c>
      <c r="BY189" s="53" t="s">
        <v>359</v>
      </c>
      <c r="BZ189" s="53" t="s">
        <v>361</v>
      </c>
      <c r="CA189" s="61" t="s">
        <v>1815</v>
      </c>
      <c r="CB189" s="53" t="s">
        <v>1816</v>
      </c>
      <c r="CC189" s="53" t="s">
        <v>1817</v>
      </c>
      <c r="CD189" s="53" t="s">
        <v>1818</v>
      </c>
      <c r="CE189" s="53" t="s">
        <v>1819</v>
      </c>
      <c r="CF189" s="53" t="s">
        <v>1820</v>
      </c>
      <c r="CG189" s="53" t="s">
        <v>1821</v>
      </c>
      <c r="CH189" s="53" t="s">
        <v>1822</v>
      </c>
      <c r="CI189" s="53" t="s">
        <v>1823</v>
      </c>
      <c r="CJ189" s="53" t="s">
        <v>1824</v>
      </c>
      <c r="CK189" s="53" t="s">
        <v>1825</v>
      </c>
      <c r="CL189" s="53" t="s">
        <v>1826</v>
      </c>
      <c r="CP189" s="9"/>
      <c r="CQ189" s="10"/>
    </row>
    <row r="190" spans="2:95" x14ac:dyDescent="0.15">
      <c r="B190" s="36" t="s">
        <v>159</v>
      </c>
      <c r="C190" s="1" t="s">
        <v>160</v>
      </c>
      <c r="K190" s="1" t="s">
        <v>1765</v>
      </c>
      <c r="L190" s="1" t="s">
        <v>1750</v>
      </c>
      <c r="M190" s="1" t="s">
        <v>360</v>
      </c>
      <c r="N190" s="6">
        <v>21</v>
      </c>
      <c r="O190" s="1" t="s">
        <v>4</v>
      </c>
      <c r="P190" s="1">
        <v>40</v>
      </c>
      <c r="Q190" s="1">
        <v>10</v>
      </c>
      <c r="R190" s="1">
        <v>10</v>
      </c>
      <c r="S190" s="1">
        <v>28</v>
      </c>
      <c r="T190" s="1">
        <v>38</v>
      </c>
      <c r="U190" s="253">
        <v>5</v>
      </c>
      <c r="V190" s="1">
        <v>55</v>
      </c>
      <c r="W190" s="44">
        <v>110</v>
      </c>
      <c r="X190" s="40">
        <f>_xlfn.XLOOKUP("Ripening", CropPhenology_Mash[Main_Stage], CropPhenology_Mash[Start_GDD], "Not Found")</f>
        <v>961</v>
      </c>
      <c r="Y190" s="4" cm="1">
        <f t="array" ref="Y190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Z190" s="3">
        <f>MIN(Y190/V190,MAX(X190/W190,R190,(X190/W190+Y190/V190)/2))</f>
        <v>15.55</v>
      </c>
      <c r="AA190" s="41">
        <f t="shared" ref="AA190:AA193" si="98">Y190/Z190</f>
        <v>79.099678456591633</v>
      </c>
      <c r="AB190" s="1">
        <v>8</v>
      </c>
      <c r="AC190" s="1">
        <v>10</v>
      </c>
      <c r="AD190" s="1">
        <v>4</v>
      </c>
      <c r="AE190" s="1">
        <v>90</v>
      </c>
      <c r="AF190" s="1">
        <v>5</v>
      </c>
      <c r="AG190" s="1">
        <v>5</v>
      </c>
      <c r="AH190" s="3">
        <f t="shared" ref="AH190:AH227" si="99">IFERROR((Y190-X190)/AA190,0)</f>
        <v>3.4007723577235773</v>
      </c>
      <c r="AI190" s="1">
        <v>6</v>
      </c>
      <c r="AJ190" s="1">
        <v>7.5</v>
      </c>
      <c r="AK190" s="159">
        <v>1.3</v>
      </c>
      <c r="AL190" s="150">
        <v>0.12</v>
      </c>
      <c r="AM190" s="1">
        <v>300</v>
      </c>
      <c r="AN190" s="1">
        <v>450</v>
      </c>
      <c r="AO190" s="48">
        <v>5</v>
      </c>
      <c r="AP190" s="44">
        <v>50</v>
      </c>
      <c r="AQ190" s="42">
        <v>0.8</v>
      </c>
      <c r="AR190" s="1">
        <v>45</v>
      </c>
      <c r="AS190" s="1">
        <v>10</v>
      </c>
      <c r="AT190" s="1">
        <v>1</v>
      </c>
      <c r="AU190" s="4">
        <f t="shared" ref="AU190:AU225" si="100">IFERROR(10000/(AS190*AR190),0)*AT190</f>
        <v>22.222222222222221</v>
      </c>
      <c r="AV190" s="3">
        <f>ROUND((P190/1000000)*AU190*10000,2)</f>
        <v>8.89</v>
      </c>
      <c r="AW190" s="1">
        <v>85</v>
      </c>
      <c r="AX190" s="3">
        <f t="shared" ref="AX190:AX193" si="101">IFERROR((AU190*AW190/100),0)</f>
        <v>18.888888888888889</v>
      </c>
      <c r="AY190" s="1">
        <v>3</v>
      </c>
      <c r="AZ190" s="4">
        <f t="shared" ref="AZ190:AZ193" si="102">IFERROR(AX190*AY190,0)</f>
        <v>56.666666666666671</v>
      </c>
      <c r="BA190" s="49">
        <v>0.9</v>
      </c>
      <c r="BB190" s="4">
        <f t="shared" ref="BB190:BB225" si="103">IFERROR(AZ190*BA190,0)</f>
        <v>51.000000000000007</v>
      </c>
      <c r="BC190" s="50">
        <v>4.9103921568627452E-2</v>
      </c>
      <c r="BD190" s="69">
        <f>IFERROR(
  MAX(0.05, MIN(0.5, CropNorms_Mash[[#This Row],[Leaf_Area_Per_Shoot_m2]] * CropNorms_Mash[[#This Row],[Shoot_Bearing_m2]] )),
  0.2
)</f>
        <v>0.5</v>
      </c>
      <c r="BE190" s="4">
        <f>_xlfn.XLOOKUP(CropNorms_Mash[[#This Row],[LAI_Start_BBCH]], CropPhenology_Mash[Sub_Stage], CropPhenology_Mash[Start_GDD], "Not Found")</f>
        <v>121</v>
      </c>
      <c r="BF190" s="3">
        <f>ROUND(CropNorms_Mash[[#This Row],[Shoot_Bearing_m2]]*CropNorms_Mash[[#This Row],[Leaf_Area_Per_Shoot_m2]],2)</f>
        <v>2.5</v>
      </c>
      <c r="BG190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H190" s="3">
        <f>IF(CropNorms_Mash[[#This Row],[Max_LAI]]&gt;=1.2, 0.85*CropNorms_Mash[[#This Row],[Max_LAI]], 1)</f>
        <v>2.125</v>
      </c>
      <c r="BI190" s="41">
        <f>_xlfn.XLOOKUP(CropNorms_Mash[[#This Row],[LAI_End_BBCH]], CropPhenology_Mash[Sub_Stage], CropPhenology_Mash[End_GDD], "Not Found")</f>
        <v>960</v>
      </c>
      <c r="BJ190" s="3" cm="1">
        <f t="array" ref="BJ190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K190" s="3" cm="1">
        <f t="array" ref="BK190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0.92970825698213866</v>
      </c>
      <c r="BL190" s="3" cm="1">
        <f t="array" ref="BL190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1.1735517720107</v>
      </c>
      <c r="BM190" s="3" cm="1">
        <f t="array" ref="BM190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0" s="42">
        <v>0.35</v>
      </c>
      <c r="BO190" s="43">
        <v>0</v>
      </c>
      <c r="BP190" s="42">
        <v>2.7</v>
      </c>
      <c r="BQ190" s="43" t="s">
        <v>1795</v>
      </c>
      <c r="BR190" s="3" t="str" cm="1">
        <f t="array" ref="BR190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90" s="3" t="str" cm="1">
        <f t="array" ref="BS190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90" s="3" t="str" cm="1">
        <f t="array" ref="BT190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90" s="3" t="str" cm="1">
        <f t="array" ref="BU190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90" s="48">
        <v>20</v>
      </c>
      <c r="BW190" s="1">
        <v>80</v>
      </c>
      <c r="BX190" s="44">
        <v>40</v>
      </c>
      <c r="BY190" s="51">
        <v>45823</v>
      </c>
      <c r="BZ190" s="5">
        <v>45853</v>
      </c>
      <c r="CA190" s="85">
        <v>0</v>
      </c>
      <c r="CB190" s="2">
        <v>1</v>
      </c>
      <c r="CC190" s="2">
        <v>1</v>
      </c>
      <c r="CD190" s="2">
        <v>1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P190" s="9"/>
      <c r="CQ190" s="10"/>
    </row>
    <row r="191" spans="2:95" x14ac:dyDescent="0.15">
      <c r="B191" s="36" t="s">
        <v>159</v>
      </c>
      <c r="C191" s="1" t="s">
        <v>161</v>
      </c>
      <c r="K191" s="1" t="s">
        <v>1765</v>
      </c>
      <c r="L191" s="1" t="s">
        <v>1750</v>
      </c>
      <c r="M191" s="1" t="s">
        <v>360</v>
      </c>
      <c r="N191" s="6">
        <v>21</v>
      </c>
      <c r="O191" s="1" t="s">
        <v>4</v>
      </c>
      <c r="P191" s="1">
        <v>40</v>
      </c>
      <c r="Q191" s="1">
        <v>10</v>
      </c>
      <c r="R191" s="1">
        <v>10</v>
      </c>
      <c r="S191" s="1">
        <v>28</v>
      </c>
      <c r="T191" s="1">
        <v>38</v>
      </c>
      <c r="U191" s="253">
        <v>5</v>
      </c>
      <c r="V191" s="1">
        <v>55</v>
      </c>
      <c r="W191" s="44">
        <v>110</v>
      </c>
      <c r="X191" s="40">
        <f>_xlfn.XLOOKUP("Ripening", CropPhenology_Mash[Main_Stage], CropPhenology_Mash[Start_GDD], "Not Found")</f>
        <v>961</v>
      </c>
      <c r="Y191" s="4" cm="1">
        <f t="array" ref="Y191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Z191" s="3">
        <f>MIN(Y191/V191,MAX(X191/W191,R191,(X191/W191+Y191/V191)/2))</f>
        <v>15.55</v>
      </c>
      <c r="AA191" s="41">
        <f t="shared" si="98"/>
        <v>79.099678456591633</v>
      </c>
      <c r="AB191" s="1">
        <v>8</v>
      </c>
      <c r="AC191" s="1">
        <v>10</v>
      </c>
      <c r="AD191" s="1">
        <v>4</v>
      </c>
      <c r="AE191" s="1">
        <v>90</v>
      </c>
      <c r="AF191" s="1">
        <v>5</v>
      </c>
      <c r="AG191" s="1">
        <v>5</v>
      </c>
      <c r="AH191" s="3">
        <f t="shared" si="99"/>
        <v>3.4007723577235773</v>
      </c>
      <c r="AI191" s="1">
        <v>6</v>
      </c>
      <c r="AJ191" s="1">
        <v>7.5</v>
      </c>
      <c r="AK191" s="159">
        <v>1.3</v>
      </c>
      <c r="AL191" s="150">
        <v>0.12</v>
      </c>
      <c r="AM191" s="1">
        <v>300</v>
      </c>
      <c r="AN191" s="1">
        <v>450</v>
      </c>
      <c r="AO191" s="48">
        <v>5</v>
      </c>
      <c r="AP191" s="44">
        <v>50</v>
      </c>
      <c r="AQ191" s="42">
        <v>0.82</v>
      </c>
      <c r="AR191" s="1">
        <v>45</v>
      </c>
      <c r="AS191" s="1">
        <v>10</v>
      </c>
      <c r="AT191" s="1">
        <v>1</v>
      </c>
      <c r="AU191" s="4">
        <f t="shared" si="100"/>
        <v>22.222222222222221</v>
      </c>
      <c r="AV191" s="3">
        <f>ROUND((P191/1000000)*AU191*10000,2)</f>
        <v>8.89</v>
      </c>
      <c r="AW191" s="1">
        <v>85</v>
      </c>
      <c r="AX191" s="3">
        <f t="shared" si="101"/>
        <v>18.888888888888889</v>
      </c>
      <c r="AY191" s="1">
        <v>3</v>
      </c>
      <c r="AZ191" s="4">
        <f t="shared" si="102"/>
        <v>56.666666666666671</v>
      </c>
      <c r="BA191" s="49">
        <v>0.9</v>
      </c>
      <c r="BB191" s="4">
        <f t="shared" si="103"/>
        <v>51.000000000000007</v>
      </c>
      <c r="BC191" s="50">
        <v>4.9103921568627452E-2</v>
      </c>
      <c r="BD191" s="69">
        <f>IFERROR(
  MAX(0.05, MIN(0.5, CropNorms_Mash[[#This Row],[Leaf_Area_Per_Shoot_m2]] * CropNorms_Mash[[#This Row],[Shoot_Bearing_m2]] )),
  0.2
)</f>
        <v>0.5</v>
      </c>
      <c r="BE191" s="4">
        <f>_xlfn.XLOOKUP(CropNorms_Mash[[#This Row],[LAI_Start_BBCH]], CropPhenology_Mash[Sub_Stage], CropPhenology_Mash[Start_GDD], "Not Found")</f>
        <v>121</v>
      </c>
      <c r="BF191" s="3">
        <f>ROUND(CropNorms_Mash[[#This Row],[Shoot_Bearing_m2]]*CropNorms_Mash[[#This Row],[Leaf_Area_Per_Shoot_m2]],2)</f>
        <v>2.5</v>
      </c>
      <c r="BG191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H191" s="3">
        <f>IF(CropNorms_Mash[[#This Row],[Max_LAI]]&gt;=1.2, 0.85*CropNorms_Mash[[#This Row],[Max_LAI]], 1)</f>
        <v>2.125</v>
      </c>
      <c r="BI191" s="41">
        <f>_xlfn.XLOOKUP(CropNorms_Mash[[#This Row],[LAI_End_BBCH]], CropPhenology_Mash[Sub_Stage], CropPhenology_Mash[End_GDD], "Not Found")</f>
        <v>960</v>
      </c>
      <c r="BJ191" s="3" cm="1">
        <f t="array" ref="BJ191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K191" s="3" cm="1">
        <f t="array" ref="BK19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0.92970825698213866</v>
      </c>
      <c r="BL191" s="3" cm="1">
        <f t="array" ref="BL191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1.1735517720107</v>
      </c>
      <c r="BM191" s="3" cm="1">
        <f t="array" ref="BM19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1" s="42">
        <v>0.35</v>
      </c>
      <c r="BO191" s="43">
        <v>0</v>
      </c>
      <c r="BP191" s="42">
        <v>2.7</v>
      </c>
      <c r="BQ191" s="43" t="s">
        <v>1795</v>
      </c>
      <c r="BR191" s="3" t="str" cm="1">
        <f t="array" ref="BR19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91" s="3" t="str" cm="1">
        <f t="array" ref="BS19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91" s="3" t="str" cm="1">
        <f t="array" ref="BT191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91" s="3" t="str" cm="1">
        <f t="array" ref="BU191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91" s="48">
        <v>20</v>
      </c>
      <c r="BW191" s="1">
        <v>80</v>
      </c>
      <c r="BX191" s="44">
        <v>40</v>
      </c>
      <c r="BY191" s="51">
        <v>45823</v>
      </c>
      <c r="BZ191" s="5">
        <v>45853</v>
      </c>
      <c r="CA191" s="85">
        <v>0</v>
      </c>
      <c r="CB191" s="2">
        <v>1</v>
      </c>
      <c r="CC191" s="2">
        <v>1</v>
      </c>
      <c r="CD191" s="2">
        <v>1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P191" s="9"/>
      <c r="CQ191" s="10"/>
    </row>
    <row r="192" spans="2:95" x14ac:dyDescent="0.15">
      <c r="B192" s="36" t="s">
        <v>159</v>
      </c>
      <c r="C192" s="1" t="s">
        <v>162</v>
      </c>
      <c r="K192" s="1" t="s">
        <v>1765</v>
      </c>
      <c r="L192" s="1" t="s">
        <v>1750</v>
      </c>
      <c r="M192" s="1" t="s">
        <v>360</v>
      </c>
      <c r="N192" s="6">
        <v>21</v>
      </c>
      <c r="O192" s="1" t="s">
        <v>4</v>
      </c>
      <c r="P192" s="1">
        <v>40</v>
      </c>
      <c r="Q192" s="1">
        <v>10</v>
      </c>
      <c r="R192" s="1">
        <v>10</v>
      </c>
      <c r="S192" s="1">
        <v>28</v>
      </c>
      <c r="T192" s="1">
        <v>38</v>
      </c>
      <c r="U192" s="253">
        <v>5</v>
      </c>
      <c r="V192" s="1">
        <v>55</v>
      </c>
      <c r="W192" s="44">
        <v>110</v>
      </c>
      <c r="X192" s="40">
        <f>_xlfn.XLOOKUP("Ripening", CropPhenology_Mash[Main_Stage], CropPhenology_Mash[Start_GDD], "Not Found")</f>
        <v>961</v>
      </c>
      <c r="Y192" s="4" cm="1">
        <f t="array" ref="Y192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Z192" s="3">
        <f>MIN(Y192/V192,MAX(X192/W192,R192,(X192/W192+Y192/V192)/2))</f>
        <v>15.55</v>
      </c>
      <c r="AA192" s="41">
        <f t="shared" si="98"/>
        <v>79.099678456591633</v>
      </c>
      <c r="AB192" s="1">
        <v>8</v>
      </c>
      <c r="AC192" s="1">
        <v>10</v>
      </c>
      <c r="AD192" s="1">
        <v>4</v>
      </c>
      <c r="AE192" s="1">
        <v>90</v>
      </c>
      <c r="AF192" s="1">
        <v>5</v>
      </c>
      <c r="AG192" s="1">
        <v>5</v>
      </c>
      <c r="AH192" s="3">
        <f t="shared" si="99"/>
        <v>3.4007723577235773</v>
      </c>
      <c r="AI192" s="1">
        <v>6</v>
      </c>
      <c r="AJ192" s="1">
        <v>7.5</v>
      </c>
      <c r="AK192" s="159">
        <v>1.3</v>
      </c>
      <c r="AL192" s="150">
        <v>0.12</v>
      </c>
      <c r="AM192" s="1">
        <v>300</v>
      </c>
      <c r="AN192" s="1">
        <v>450</v>
      </c>
      <c r="AO192" s="48">
        <v>5</v>
      </c>
      <c r="AP192" s="44">
        <v>50</v>
      </c>
      <c r="AQ192" s="42">
        <v>0.78</v>
      </c>
      <c r="AR192" s="1">
        <v>45</v>
      </c>
      <c r="AS192" s="1">
        <v>10</v>
      </c>
      <c r="AT192" s="1">
        <v>1</v>
      </c>
      <c r="AU192" s="4">
        <f t="shared" si="100"/>
        <v>22.222222222222221</v>
      </c>
      <c r="AV192" s="3">
        <f>ROUND((P192/1000000)*AU192*10000,2)</f>
        <v>8.89</v>
      </c>
      <c r="AW192" s="1">
        <v>85</v>
      </c>
      <c r="AX192" s="3">
        <f t="shared" si="101"/>
        <v>18.888888888888889</v>
      </c>
      <c r="AY192" s="1">
        <v>3</v>
      </c>
      <c r="AZ192" s="4">
        <f t="shared" si="102"/>
        <v>56.666666666666671</v>
      </c>
      <c r="BA192" s="49">
        <v>0.9</v>
      </c>
      <c r="BB192" s="4">
        <f t="shared" si="103"/>
        <v>51.000000000000007</v>
      </c>
      <c r="BC192" s="50">
        <v>4.9103921568627452E-2</v>
      </c>
      <c r="BD192" s="69">
        <f>IFERROR(
  MAX(0.05, MIN(0.5, CropNorms_Mash[[#This Row],[Leaf_Area_Per_Shoot_m2]] * CropNorms_Mash[[#This Row],[Shoot_Bearing_m2]] )),
  0.2
)</f>
        <v>0.5</v>
      </c>
      <c r="BE192" s="4">
        <f>_xlfn.XLOOKUP(CropNorms_Mash[[#This Row],[LAI_Start_BBCH]], CropPhenology_Mash[Sub_Stage], CropPhenology_Mash[Start_GDD], "Not Found")</f>
        <v>121</v>
      </c>
      <c r="BF192" s="3">
        <f>ROUND(CropNorms_Mash[[#This Row],[Shoot_Bearing_m2]]*CropNorms_Mash[[#This Row],[Leaf_Area_Per_Shoot_m2]],2)</f>
        <v>2.5</v>
      </c>
      <c r="BG192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H192" s="3">
        <f>IF(CropNorms_Mash[[#This Row],[Max_LAI]]&gt;=1.2, 0.85*CropNorms_Mash[[#This Row],[Max_LAI]], 1)</f>
        <v>2.125</v>
      </c>
      <c r="BI192" s="41">
        <f>_xlfn.XLOOKUP(CropNorms_Mash[[#This Row],[LAI_End_BBCH]], CropPhenology_Mash[Sub_Stage], CropPhenology_Mash[End_GDD], "Not Found")</f>
        <v>960</v>
      </c>
      <c r="BJ192" s="3" cm="1">
        <f t="array" ref="BJ192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K192" s="3" cm="1">
        <f t="array" ref="BK192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0.92970825698213866</v>
      </c>
      <c r="BL192" s="3" cm="1">
        <f t="array" ref="BL192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1.1735517720107</v>
      </c>
      <c r="BM192" s="3" cm="1">
        <f t="array" ref="BM192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2" s="42">
        <v>0.35</v>
      </c>
      <c r="BO192" s="43">
        <v>0</v>
      </c>
      <c r="BP192" s="42">
        <v>2.7</v>
      </c>
      <c r="BQ192" s="43" t="s">
        <v>1795</v>
      </c>
      <c r="BR192" s="3" t="str" cm="1">
        <f t="array" ref="BR192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92" s="3" t="str" cm="1">
        <f t="array" ref="BS192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92" s="3" t="str" cm="1">
        <f t="array" ref="BT192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92" s="3" t="str" cm="1">
        <f t="array" ref="BU192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92" s="48">
        <v>20</v>
      </c>
      <c r="BW192" s="1">
        <v>80</v>
      </c>
      <c r="BX192" s="44">
        <v>40</v>
      </c>
      <c r="BY192" s="51">
        <v>45823</v>
      </c>
      <c r="BZ192" s="5">
        <v>45853</v>
      </c>
      <c r="CA192" s="85">
        <v>0</v>
      </c>
      <c r="CB192" s="2">
        <v>1</v>
      </c>
      <c r="CC192" s="2">
        <v>1</v>
      </c>
      <c r="CD192" s="2">
        <v>1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P192" s="9"/>
      <c r="CQ192" s="10"/>
    </row>
    <row r="193" spans="2:95" ht="11.25" thickBot="1" x14ac:dyDescent="0.2">
      <c r="B193" s="36" t="s">
        <v>159</v>
      </c>
      <c r="C193" s="1" t="s">
        <v>163</v>
      </c>
      <c r="K193" s="1" t="s">
        <v>1765</v>
      </c>
      <c r="L193" s="1" t="s">
        <v>1750</v>
      </c>
      <c r="M193" s="1" t="s">
        <v>360</v>
      </c>
      <c r="N193" s="6">
        <v>21</v>
      </c>
      <c r="O193" s="1" t="s">
        <v>2</v>
      </c>
      <c r="P193" s="1">
        <v>40</v>
      </c>
      <c r="Q193" s="1">
        <v>10</v>
      </c>
      <c r="R193" s="1">
        <v>10</v>
      </c>
      <c r="S193" s="1">
        <v>28</v>
      </c>
      <c r="T193" s="1">
        <v>38</v>
      </c>
      <c r="U193" s="254">
        <v>5</v>
      </c>
      <c r="V193" s="1">
        <v>55</v>
      </c>
      <c r="W193" s="44">
        <v>110</v>
      </c>
      <c r="X193" s="40">
        <f>_xlfn.XLOOKUP("Ripening", CropPhenology_Mash[Main_Stage], CropPhenology_Mash[Start_GDD], "Not Found")</f>
        <v>961</v>
      </c>
      <c r="Y193" s="4" cm="1">
        <f t="array" ref="Y193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Z193" s="3">
        <f>MIN(Y193/V193,MAX(X193/W193,R193,(X193/W193+Y193/V193)/2))</f>
        <v>15.55</v>
      </c>
      <c r="AA193" s="41">
        <f t="shared" si="98"/>
        <v>79.099678456591633</v>
      </c>
      <c r="AB193" s="1">
        <v>8</v>
      </c>
      <c r="AC193" s="1">
        <v>10</v>
      </c>
      <c r="AD193" s="1">
        <v>4</v>
      </c>
      <c r="AE193" s="1">
        <v>90</v>
      </c>
      <c r="AF193" s="1">
        <v>5</v>
      </c>
      <c r="AG193" s="1">
        <v>5</v>
      </c>
      <c r="AH193" s="3">
        <f t="shared" si="99"/>
        <v>3.4007723577235773</v>
      </c>
      <c r="AI193" s="1">
        <v>6</v>
      </c>
      <c r="AJ193" s="1">
        <v>7.5</v>
      </c>
      <c r="AK193" s="160">
        <v>1.3</v>
      </c>
      <c r="AL193" s="161">
        <v>0.12</v>
      </c>
      <c r="AM193" s="1">
        <v>200</v>
      </c>
      <c r="AN193" s="1">
        <v>300</v>
      </c>
      <c r="AO193" s="48">
        <v>5</v>
      </c>
      <c r="AP193" s="44">
        <v>50</v>
      </c>
      <c r="AQ193" s="42">
        <v>0.7</v>
      </c>
      <c r="AR193" s="1">
        <v>45</v>
      </c>
      <c r="AS193" s="1">
        <v>10</v>
      </c>
      <c r="AT193" s="1">
        <v>1</v>
      </c>
      <c r="AU193" s="4">
        <f t="shared" si="100"/>
        <v>22.222222222222221</v>
      </c>
      <c r="AV193" s="3">
        <f>ROUND((P193/1000000)*AU193*10000,2)</f>
        <v>8.89</v>
      </c>
      <c r="AW193" s="1">
        <v>85</v>
      </c>
      <c r="AX193" s="3">
        <f t="shared" si="101"/>
        <v>18.888888888888889</v>
      </c>
      <c r="AY193" s="1">
        <v>3</v>
      </c>
      <c r="AZ193" s="4">
        <f t="shared" si="102"/>
        <v>56.666666666666671</v>
      </c>
      <c r="BA193" s="49">
        <v>0.9</v>
      </c>
      <c r="BB193" s="4">
        <f t="shared" si="103"/>
        <v>51.000000000000007</v>
      </c>
      <c r="BC193" s="50">
        <v>0.03</v>
      </c>
      <c r="BD193" s="69">
        <f>IFERROR(
  MAX(0.05, MIN(0.5, CropNorms_Mash[[#This Row],[Leaf_Area_Per_Shoot_m2]] * CropNorms_Mash[[#This Row],[Shoot_Bearing_m2]] )),
  0.2
)</f>
        <v>0.5</v>
      </c>
      <c r="BE193" s="4">
        <f>_xlfn.XLOOKUP(CropNorms_Mash[[#This Row],[LAI_Start_BBCH]], CropPhenology_Mash[Sub_Stage], CropPhenology_Mash[Start_GDD], "Not Found")</f>
        <v>121</v>
      </c>
      <c r="BF193" s="3">
        <f>ROUND(CropNorms_Mash[[#This Row],[Shoot_Bearing_m2]]*CropNorms_Mash[[#This Row],[Leaf_Area_Per_Shoot_m2]],2)</f>
        <v>1.53</v>
      </c>
      <c r="BG193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H193" s="3">
        <f>IF(CropNorms_Mash[[#This Row],[Max_LAI]]&gt;=1.2, 0.85*CropNorms_Mash[[#This Row],[Max_LAI]], 1)</f>
        <v>1.3005</v>
      </c>
      <c r="BI193" s="41">
        <f>_xlfn.XLOOKUP(CropNorms_Mash[[#This Row],[LAI_End_BBCH]], CropPhenology_Mash[Sub_Stage], CropPhenology_Mash[End_GDD], "Not Found")</f>
        <v>960</v>
      </c>
      <c r="BJ193" s="3" cm="1">
        <f t="array" ref="BJ193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1.9112100236252934</v>
      </c>
      <c r="BK193" s="3" cm="1">
        <f t="array" ref="BK193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0.93042268753108071</v>
      </c>
      <c r="BL193" s="3" cm="1">
        <f t="array" ref="BL193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193" s="3" cm="1">
        <f t="array" ref="BM193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3" s="42">
        <v>0.35</v>
      </c>
      <c r="BO193" s="43">
        <v>0</v>
      </c>
      <c r="BP193" s="42">
        <v>1.9</v>
      </c>
      <c r="BQ193" s="43" t="s">
        <v>1795</v>
      </c>
      <c r="BR193" s="3" t="str" cm="1">
        <f t="array" ref="BR193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193" s="3" t="str" cm="1">
        <f t="array" ref="BS193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T193" s="3" t="str" cm="1">
        <f t="array" ref="BT193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U193" s="3" t="str" cm="1">
        <f t="array" ref="BU193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193" s="48">
        <v>20</v>
      </c>
      <c r="BW193" s="1">
        <v>80</v>
      </c>
      <c r="BX193" s="44">
        <v>40</v>
      </c>
      <c r="BY193" s="51">
        <v>45823</v>
      </c>
      <c r="BZ193" s="5">
        <v>45853</v>
      </c>
      <c r="CA193" s="85">
        <v>0</v>
      </c>
      <c r="CB193" s="2">
        <v>1</v>
      </c>
      <c r="CC193" s="2">
        <v>1</v>
      </c>
      <c r="CD193" s="2">
        <v>1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P193" s="9"/>
      <c r="CQ193" s="10"/>
    </row>
    <row r="194" spans="2:95" ht="11.25" thickBot="1" x14ac:dyDescent="0.2">
      <c r="Y194" s="3"/>
      <c r="Z194" s="4"/>
      <c r="AG194" s="3"/>
      <c r="AR194" s="4"/>
      <c r="AS194" s="3"/>
      <c r="AU194" s="3"/>
      <c r="AW194" s="4"/>
      <c r="AX194" s="49"/>
      <c r="AY194" s="4"/>
      <c r="BV194" s="51"/>
      <c r="BW194" s="51"/>
      <c r="CP194" s="9"/>
      <c r="CQ194" s="10"/>
    </row>
    <row r="195" spans="2:95" ht="11.25" thickBot="1" x14ac:dyDescent="0.2">
      <c r="B195" s="54" t="s">
        <v>1753</v>
      </c>
      <c r="C195" s="53" t="s">
        <v>1754</v>
      </c>
      <c r="D195" s="53" t="s">
        <v>1804</v>
      </c>
      <c r="E195" s="53" t="s">
        <v>1805</v>
      </c>
      <c r="F195" s="53" t="s">
        <v>1806</v>
      </c>
      <c r="G195" s="53" t="s">
        <v>1807</v>
      </c>
      <c r="H195" s="53" t="s">
        <v>1808</v>
      </c>
      <c r="I195" s="53" t="s">
        <v>1809</v>
      </c>
      <c r="J195" s="53" t="s">
        <v>1810</v>
      </c>
      <c r="K195" s="53" t="s">
        <v>1747</v>
      </c>
      <c r="L195" s="54" t="s">
        <v>1749</v>
      </c>
      <c r="M195" s="53" t="s">
        <v>357</v>
      </c>
      <c r="N195" s="55" t="s">
        <v>692</v>
      </c>
      <c r="O195" s="53" t="s">
        <v>325</v>
      </c>
      <c r="P195" s="53" t="s">
        <v>356</v>
      </c>
      <c r="Q195" s="53" t="s">
        <v>326</v>
      </c>
      <c r="R195" s="53" t="s">
        <v>327</v>
      </c>
      <c r="S195" s="53" t="s">
        <v>328</v>
      </c>
      <c r="T195" s="53" t="s">
        <v>329</v>
      </c>
      <c r="U195" s="250" t="s">
        <v>2349</v>
      </c>
      <c r="V195" s="53" t="s">
        <v>330</v>
      </c>
      <c r="W195" s="53" t="s">
        <v>331</v>
      </c>
      <c r="X195" s="56" t="s">
        <v>354</v>
      </c>
      <c r="Y195" s="57" t="s">
        <v>355</v>
      </c>
      <c r="Z195" s="58" t="s">
        <v>413</v>
      </c>
      <c r="AA195" s="59" t="s">
        <v>583</v>
      </c>
      <c r="AB195" s="53" t="s">
        <v>324</v>
      </c>
      <c r="AC195" s="53" t="s">
        <v>332</v>
      </c>
      <c r="AD195" s="53" t="s">
        <v>333</v>
      </c>
      <c r="AE195" s="53" t="s">
        <v>334</v>
      </c>
      <c r="AF195" s="53" t="s">
        <v>335</v>
      </c>
      <c r="AG195" s="53" t="s">
        <v>336</v>
      </c>
      <c r="AH195" s="60" t="s">
        <v>337</v>
      </c>
      <c r="AI195" s="53" t="s">
        <v>338</v>
      </c>
      <c r="AJ195" s="53" t="s">
        <v>339</v>
      </c>
      <c r="AK195" s="157" t="s">
        <v>2346</v>
      </c>
      <c r="AL195" s="158" t="s">
        <v>2347</v>
      </c>
      <c r="AM195" s="53" t="s">
        <v>340</v>
      </c>
      <c r="AN195" s="53" t="s">
        <v>341</v>
      </c>
      <c r="AO195" s="61" t="s">
        <v>342</v>
      </c>
      <c r="AP195" s="62" t="s">
        <v>343</v>
      </c>
      <c r="AQ195" s="55" t="s">
        <v>344</v>
      </c>
      <c r="AR195" s="53" t="s">
        <v>345</v>
      </c>
      <c r="AS195" s="53" t="s">
        <v>346</v>
      </c>
      <c r="AT195" s="53" t="s">
        <v>364</v>
      </c>
      <c r="AU195" s="60" t="s">
        <v>347</v>
      </c>
      <c r="AV195" s="58" t="s">
        <v>363</v>
      </c>
      <c r="AW195" s="53" t="s">
        <v>348</v>
      </c>
      <c r="AX195" s="58" t="s">
        <v>349</v>
      </c>
      <c r="AY195" s="53" t="s">
        <v>366</v>
      </c>
      <c r="AZ195" s="60" t="s">
        <v>350</v>
      </c>
      <c r="BA195" s="53" t="s">
        <v>365</v>
      </c>
      <c r="BB195" s="60" t="s">
        <v>1827</v>
      </c>
      <c r="BC195" s="63" t="s">
        <v>351</v>
      </c>
      <c r="BD195" s="71" t="s">
        <v>1811</v>
      </c>
      <c r="BE195" s="57" t="s">
        <v>352</v>
      </c>
      <c r="BF195" s="58" t="s">
        <v>1812</v>
      </c>
      <c r="BG195" s="57" t="s">
        <v>1752</v>
      </c>
      <c r="BH195" s="60" t="s">
        <v>1813</v>
      </c>
      <c r="BI195" s="59" t="s">
        <v>353</v>
      </c>
      <c r="BJ195" s="71" t="s">
        <v>1828</v>
      </c>
      <c r="BK195" s="58" t="s">
        <v>1829</v>
      </c>
      <c r="BL195" s="58" t="s">
        <v>1830</v>
      </c>
      <c r="BM195" s="72" t="s">
        <v>1831</v>
      </c>
      <c r="BN195" s="64" t="s">
        <v>1154</v>
      </c>
      <c r="BO195" s="65" t="s">
        <v>1742</v>
      </c>
      <c r="BP195" s="64" t="s">
        <v>1155</v>
      </c>
      <c r="BQ195" s="65" t="s">
        <v>1755</v>
      </c>
      <c r="BR195" s="58" t="s">
        <v>367</v>
      </c>
      <c r="BS195" s="58" t="s">
        <v>1751</v>
      </c>
      <c r="BT195" s="58" t="s">
        <v>368</v>
      </c>
      <c r="BU195" s="60" t="s">
        <v>1814</v>
      </c>
      <c r="BV195" s="61" t="s">
        <v>369</v>
      </c>
      <c r="BW195" s="53" t="s">
        <v>370</v>
      </c>
      <c r="BX195" s="62" t="s">
        <v>371</v>
      </c>
      <c r="BY195" s="53" t="s">
        <v>359</v>
      </c>
      <c r="BZ195" s="53" t="s">
        <v>361</v>
      </c>
      <c r="CA195" s="61" t="s">
        <v>1815</v>
      </c>
      <c r="CB195" s="53" t="s">
        <v>1816</v>
      </c>
      <c r="CC195" s="53" t="s">
        <v>1817</v>
      </c>
      <c r="CD195" s="53" t="s">
        <v>1818</v>
      </c>
      <c r="CE195" s="53" t="s">
        <v>1819</v>
      </c>
      <c r="CF195" s="53" t="s">
        <v>1820</v>
      </c>
      <c r="CG195" s="53" t="s">
        <v>1821</v>
      </c>
      <c r="CH195" s="53" t="s">
        <v>1822</v>
      </c>
      <c r="CI195" s="53" t="s">
        <v>1823</v>
      </c>
      <c r="CJ195" s="53" t="s">
        <v>1824</v>
      </c>
      <c r="CK195" s="53" t="s">
        <v>1825</v>
      </c>
      <c r="CL195" s="53" t="s">
        <v>1826</v>
      </c>
      <c r="CP195" s="9"/>
      <c r="CQ195" s="10"/>
    </row>
    <row r="196" spans="2:95" x14ac:dyDescent="0.15">
      <c r="B196" s="36" t="s">
        <v>164</v>
      </c>
      <c r="C196" s="1" t="s">
        <v>165</v>
      </c>
      <c r="K196" s="1" t="s">
        <v>1748</v>
      </c>
      <c r="L196" s="1" t="s">
        <v>1750</v>
      </c>
      <c r="M196" s="1" t="s">
        <v>360</v>
      </c>
      <c r="N196" s="6">
        <v>21</v>
      </c>
      <c r="O196" s="1" t="s">
        <v>4</v>
      </c>
      <c r="P196" s="1">
        <v>30</v>
      </c>
      <c r="Q196" s="1">
        <v>12</v>
      </c>
      <c r="R196" s="1">
        <v>10</v>
      </c>
      <c r="S196" s="1">
        <v>30</v>
      </c>
      <c r="T196" s="1">
        <v>40</v>
      </c>
      <c r="U196" s="253">
        <v>5</v>
      </c>
      <c r="V196" s="1">
        <v>65</v>
      </c>
      <c r="W196" s="44">
        <v>120</v>
      </c>
      <c r="X196" s="40">
        <f>_xlfn.XLOOKUP("Ripening", CropPhenology_Millet[Main_Stage], CropPhenology_Millet[Start_GDD], "Not Found")</f>
        <v>1781</v>
      </c>
      <c r="Y196" s="4" cm="1">
        <f t="array" ref="Y196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196" s="3">
        <f t="shared" ref="Z196:Z203" si="104">MIN(Y196/V196,MAX(X196/W196,R196,(X196/W196+Y196/V196)/2))</f>
        <v>23.574679487179488</v>
      </c>
      <c r="AA196" s="41">
        <f t="shared" ref="AA196:AA203" si="105">Y196/Z196</f>
        <v>89.078623577556314</v>
      </c>
      <c r="AB196" s="1">
        <v>8</v>
      </c>
      <c r="AC196" s="1">
        <v>12</v>
      </c>
      <c r="AD196" s="1">
        <v>4</v>
      </c>
      <c r="AE196" s="1">
        <v>85</v>
      </c>
      <c r="AF196" s="1">
        <v>10</v>
      </c>
      <c r="AG196" s="1">
        <v>6</v>
      </c>
      <c r="AH196" s="3">
        <f t="shared" ref="AH196:AH203" si="106">IFERROR((Y196-X196)/AA196,0)</f>
        <v>3.5811060744810748</v>
      </c>
      <c r="AI196" s="1">
        <v>5.5</v>
      </c>
      <c r="AJ196" s="1">
        <v>7.5</v>
      </c>
      <c r="AK196" s="159">
        <v>2.5</v>
      </c>
      <c r="AL196" s="150">
        <v>0.1</v>
      </c>
      <c r="AM196" s="1">
        <v>400</v>
      </c>
      <c r="AN196" s="1">
        <v>600</v>
      </c>
      <c r="AO196" s="48">
        <v>2</v>
      </c>
      <c r="AP196" s="44">
        <v>80</v>
      </c>
      <c r="AQ196" s="42">
        <v>0.85</v>
      </c>
      <c r="AR196" s="1">
        <v>50</v>
      </c>
      <c r="AS196" s="1">
        <v>10</v>
      </c>
      <c r="AT196" s="1">
        <v>1</v>
      </c>
      <c r="AU196" s="4">
        <f t="shared" ref="AU196:AU203" si="107">IFERROR(10000/(AS196*AR196),0)*AT196</f>
        <v>20</v>
      </c>
      <c r="AV196" s="3">
        <f t="shared" ref="AV196:AV203" si="108">ROUND((P196/1000000)*AU196*10000,2)</f>
        <v>6</v>
      </c>
      <c r="AW196" s="1">
        <v>90</v>
      </c>
      <c r="AX196" s="3">
        <f t="shared" ref="AX196:AX203" si="109">IFERROR((AU196*AW196/100),0)</f>
        <v>18</v>
      </c>
      <c r="AY196" s="1">
        <v>4</v>
      </c>
      <c r="AZ196" s="4">
        <f t="shared" ref="AZ196:AZ203" si="110">IFERROR(AX196*AY196,0)</f>
        <v>72</v>
      </c>
      <c r="BA196" s="49">
        <v>0.9</v>
      </c>
      <c r="BB196" s="4">
        <f t="shared" ref="BB196:BB203" si="111">IFERROR(AZ196*BA196,0)</f>
        <v>64.8</v>
      </c>
      <c r="BC196" s="50">
        <v>5.8713854591836701E-2</v>
      </c>
      <c r="BD196" s="69">
        <f>IFERROR(
  MAX(0.05, MIN(0.5, CropNorms_Millet[[#This Row],[Leaf_Area_Per_Shoot_m2]] * CropNorms_Millet[[#This Row],[Shoot_Bearing_m2]] )),
  0.2
)</f>
        <v>0.5</v>
      </c>
      <c r="BE196" s="4">
        <f>_xlfn.XLOOKUP(CropNorms_Millet[[#This Row],[LAI_Start_BBCH]], CropPhenology_Millet[Sub_Stage], CropPhenology_Millet[Start_GDD], "Not Found")</f>
        <v>121</v>
      </c>
      <c r="BF196" s="3">
        <f>ROUND(CropNorms_Millet[[#This Row],[Shoot_Bearing_m2]]*CropNorms_Millet[[#This Row],[Leaf_Area_Per_Shoot_m2]],2)</f>
        <v>3.8</v>
      </c>
      <c r="BG196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196" s="3">
        <f>IF(CropNorms_Millet[[#This Row],[Max_LAI]]&gt;=1.2, 0.85*CropNorms_Millet[[#This Row],[Max_LAI]], 1)</f>
        <v>3.23</v>
      </c>
      <c r="BI196" s="41">
        <f>_xlfn.XLOOKUP(CropNorms_Millet[[#This Row],[LAI_End_BBCH]], CropPhenology_Millet[Sub_Stage], CropPhenology_Millet[End_GDD], "Not Found")</f>
        <v>1780</v>
      </c>
      <c r="BJ196" s="3" cm="1">
        <f t="array" ref="BJ196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K196" s="3" cm="1">
        <f t="array" ref="BK196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L196" s="3" cm="1">
        <f t="array" ref="BL196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M196" s="3" cm="1">
        <f t="array" ref="BM196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6" s="42">
        <v>0.3</v>
      </c>
      <c r="BO196" s="43">
        <v>0</v>
      </c>
      <c r="BP196" s="42">
        <v>3.62</v>
      </c>
      <c r="BQ196" s="43" t="s">
        <v>1795</v>
      </c>
      <c r="BR196" s="3" t="str" cm="1">
        <f t="array" ref="BR196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96" s="3" t="str" cm="1">
        <f t="array" ref="BS196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196" s="3" t="str" cm="1">
        <f t="array" ref="BT196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196" s="3" t="str" cm="1">
        <f t="array" ref="BU196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96" s="48">
        <v>75</v>
      </c>
      <c r="BW196" s="1">
        <v>40</v>
      </c>
      <c r="BX196" s="44">
        <v>40</v>
      </c>
      <c r="BY196" s="51">
        <v>45823</v>
      </c>
      <c r="BZ196" s="5">
        <v>45853</v>
      </c>
      <c r="CA196" s="85">
        <v>0</v>
      </c>
      <c r="CB196" s="2">
        <v>0</v>
      </c>
      <c r="CC196" s="2">
        <v>1</v>
      </c>
      <c r="CD196" s="2">
        <v>1</v>
      </c>
      <c r="CE196" s="2">
        <v>1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P196" s="9"/>
      <c r="CQ196" s="10"/>
    </row>
    <row r="197" spans="2:95" x14ac:dyDescent="0.15">
      <c r="B197" s="36" t="s">
        <v>164</v>
      </c>
      <c r="C197" s="1" t="s">
        <v>168</v>
      </c>
      <c r="K197" s="1" t="s">
        <v>1748</v>
      </c>
      <c r="L197" s="1" t="s">
        <v>1750</v>
      </c>
      <c r="M197" s="1" t="s">
        <v>360</v>
      </c>
      <c r="N197" s="6">
        <v>21</v>
      </c>
      <c r="O197" s="1" t="s">
        <v>4</v>
      </c>
      <c r="P197" s="1">
        <v>30</v>
      </c>
      <c r="Q197" s="1">
        <v>12</v>
      </c>
      <c r="R197" s="1">
        <v>10</v>
      </c>
      <c r="S197" s="1">
        <v>30</v>
      </c>
      <c r="T197" s="1">
        <v>40</v>
      </c>
      <c r="U197" s="253">
        <v>5</v>
      </c>
      <c r="V197" s="1">
        <v>65</v>
      </c>
      <c r="W197" s="44">
        <v>120</v>
      </c>
      <c r="X197" s="40">
        <f>_xlfn.XLOOKUP("Ripening", CropPhenology_Millet[Main_Stage], CropPhenology_Millet[Start_GDD], "Not Found")</f>
        <v>1781</v>
      </c>
      <c r="Y197" s="4" cm="1">
        <f t="array" ref="Y197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197" s="3">
        <f t="shared" si="104"/>
        <v>23.574679487179488</v>
      </c>
      <c r="AA197" s="41">
        <f t="shared" si="105"/>
        <v>89.078623577556314</v>
      </c>
      <c r="AB197" s="1">
        <v>8</v>
      </c>
      <c r="AC197" s="1">
        <v>12</v>
      </c>
      <c r="AD197" s="1">
        <v>4</v>
      </c>
      <c r="AE197" s="1">
        <v>85</v>
      </c>
      <c r="AF197" s="1">
        <v>10</v>
      </c>
      <c r="AG197" s="1">
        <v>6</v>
      </c>
      <c r="AH197" s="3">
        <f t="shared" si="106"/>
        <v>3.5811060744810748</v>
      </c>
      <c r="AI197" s="1">
        <v>5.5</v>
      </c>
      <c r="AJ197" s="1">
        <v>7.5</v>
      </c>
      <c r="AK197" s="159">
        <v>2.5</v>
      </c>
      <c r="AL197" s="150">
        <v>0.1</v>
      </c>
      <c r="AM197" s="1">
        <v>400</v>
      </c>
      <c r="AN197" s="1">
        <v>600</v>
      </c>
      <c r="AO197" s="48">
        <v>2</v>
      </c>
      <c r="AP197" s="44">
        <v>80</v>
      </c>
      <c r="AQ197" s="42">
        <v>0.82</v>
      </c>
      <c r="AR197" s="1">
        <v>50</v>
      </c>
      <c r="AS197" s="1">
        <v>10</v>
      </c>
      <c r="AT197" s="1">
        <v>1</v>
      </c>
      <c r="AU197" s="4">
        <f t="shared" si="107"/>
        <v>20</v>
      </c>
      <c r="AV197" s="3">
        <f t="shared" si="108"/>
        <v>6</v>
      </c>
      <c r="AW197" s="1">
        <v>90</v>
      </c>
      <c r="AX197" s="3">
        <f t="shared" si="109"/>
        <v>18</v>
      </c>
      <c r="AY197" s="1">
        <v>4</v>
      </c>
      <c r="AZ197" s="4">
        <f t="shared" si="110"/>
        <v>72</v>
      </c>
      <c r="BA197" s="49">
        <v>0.9</v>
      </c>
      <c r="BB197" s="4">
        <f t="shared" si="111"/>
        <v>64.8</v>
      </c>
      <c r="BC197" s="50">
        <v>5.8713854591836701E-2</v>
      </c>
      <c r="BD197" s="69">
        <f>IFERROR(
  MAX(0.05, MIN(0.5, CropNorms_Millet[[#This Row],[Leaf_Area_Per_Shoot_m2]] * CropNorms_Millet[[#This Row],[Shoot_Bearing_m2]] )),
  0.2
)</f>
        <v>0.5</v>
      </c>
      <c r="BE197" s="4">
        <f>_xlfn.XLOOKUP(CropNorms_Millet[[#This Row],[LAI_Start_BBCH]], CropPhenology_Millet[Sub_Stage], CropPhenology_Millet[Start_GDD], "Not Found")</f>
        <v>121</v>
      </c>
      <c r="BF197" s="3">
        <f>ROUND(CropNorms_Millet[[#This Row],[Shoot_Bearing_m2]]*CropNorms_Millet[[#This Row],[Leaf_Area_Per_Shoot_m2]],2)</f>
        <v>3.8</v>
      </c>
      <c r="BG197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197" s="3">
        <f>IF(CropNorms_Millet[[#This Row],[Max_LAI]]&gt;=1.2, 0.85*CropNorms_Millet[[#This Row],[Max_LAI]], 1)</f>
        <v>3.23</v>
      </c>
      <c r="BI197" s="41">
        <f>_xlfn.XLOOKUP(CropNorms_Millet[[#This Row],[LAI_End_BBCH]], CropPhenology_Millet[Sub_Stage], CropPhenology_Millet[End_GDD], "Not Found")</f>
        <v>1780</v>
      </c>
      <c r="BJ197" s="3" cm="1">
        <f t="array" ref="BJ197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K197" s="3" cm="1">
        <f t="array" ref="BK197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L197" s="3" cm="1">
        <f t="array" ref="BL197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M197" s="3" cm="1">
        <f t="array" ref="BM197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7" s="42">
        <v>0.3</v>
      </c>
      <c r="BO197" s="43">
        <v>0</v>
      </c>
      <c r="BP197" s="42">
        <v>3.62</v>
      </c>
      <c r="BQ197" s="43" t="s">
        <v>1795</v>
      </c>
      <c r="BR197" s="3" t="str" cm="1">
        <f t="array" ref="BR197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97" s="3" t="str" cm="1">
        <f t="array" ref="BS197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197" s="3" t="str" cm="1">
        <f t="array" ref="BT197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197" s="3" t="str" cm="1">
        <f t="array" ref="BU197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97" s="48">
        <v>75</v>
      </c>
      <c r="BW197" s="1">
        <v>40</v>
      </c>
      <c r="BX197" s="44">
        <v>40</v>
      </c>
      <c r="BY197" s="51">
        <v>45823</v>
      </c>
      <c r="BZ197" s="5">
        <v>45853</v>
      </c>
      <c r="CA197" s="85">
        <v>0</v>
      </c>
      <c r="CB197" s="2">
        <v>0</v>
      </c>
      <c r="CC197" s="2">
        <v>1</v>
      </c>
      <c r="CD197" s="2">
        <v>1</v>
      </c>
      <c r="CE197" s="2">
        <v>1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P197" s="9"/>
      <c r="CQ197" s="10"/>
    </row>
    <row r="198" spans="2:95" x14ac:dyDescent="0.15">
      <c r="B198" s="36" t="s">
        <v>164</v>
      </c>
      <c r="C198" s="1" t="s">
        <v>170</v>
      </c>
      <c r="K198" s="1" t="s">
        <v>1748</v>
      </c>
      <c r="L198" s="1" t="s">
        <v>1750</v>
      </c>
      <c r="M198" s="1" t="s">
        <v>360</v>
      </c>
      <c r="N198" s="6">
        <v>21</v>
      </c>
      <c r="O198" s="1" t="s">
        <v>4</v>
      </c>
      <c r="P198" s="1">
        <v>30</v>
      </c>
      <c r="Q198" s="1">
        <v>12</v>
      </c>
      <c r="R198" s="1">
        <v>10</v>
      </c>
      <c r="S198" s="1">
        <v>30</v>
      </c>
      <c r="T198" s="1">
        <v>40</v>
      </c>
      <c r="U198" s="253">
        <v>5</v>
      </c>
      <c r="V198" s="1">
        <v>65</v>
      </c>
      <c r="W198" s="44">
        <v>120</v>
      </c>
      <c r="X198" s="40">
        <f>_xlfn.XLOOKUP("Ripening", CropPhenology_Millet[Main_Stage], CropPhenology_Millet[Start_GDD], "Not Found")</f>
        <v>1781</v>
      </c>
      <c r="Y198" s="4" cm="1">
        <f t="array" ref="Y198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198" s="3">
        <f t="shared" si="104"/>
        <v>23.574679487179488</v>
      </c>
      <c r="AA198" s="41">
        <f t="shared" si="105"/>
        <v>89.078623577556314</v>
      </c>
      <c r="AB198" s="1">
        <v>8</v>
      </c>
      <c r="AC198" s="1">
        <v>12</v>
      </c>
      <c r="AD198" s="1">
        <v>4</v>
      </c>
      <c r="AE198" s="1">
        <v>85</v>
      </c>
      <c r="AF198" s="1">
        <v>10</v>
      </c>
      <c r="AG198" s="1">
        <v>6</v>
      </c>
      <c r="AH198" s="3">
        <f t="shared" si="106"/>
        <v>3.5811060744810748</v>
      </c>
      <c r="AI198" s="1">
        <v>5.5</v>
      </c>
      <c r="AJ198" s="1">
        <v>7.5</v>
      </c>
      <c r="AK198" s="159">
        <v>2.5</v>
      </c>
      <c r="AL198" s="150">
        <v>0.1</v>
      </c>
      <c r="AM198" s="1">
        <v>400</v>
      </c>
      <c r="AN198" s="1">
        <v>600</v>
      </c>
      <c r="AO198" s="48">
        <v>2</v>
      </c>
      <c r="AP198" s="44">
        <v>80</v>
      </c>
      <c r="AQ198" s="42">
        <v>0.8</v>
      </c>
      <c r="AR198" s="1">
        <v>50</v>
      </c>
      <c r="AS198" s="1">
        <v>10</v>
      </c>
      <c r="AT198" s="1">
        <v>1</v>
      </c>
      <c r="AU198" s="4">
        <f t="shared" si="107"/>
        <v>20</v>
      </c>
      <c r="AV198" s="3">
        <f t="shared" si="108"/>
        <v>6</v>
      </c>
      <c r="AW198" s="1">
        <v>90</v>
      </c>
      <c r="AX198" s="3">
        <f t="shared" si="109"/>
        <v>18</v>
      </c>
      <c r="AY198" s="1">
        <v>4</v>
      </c>
      <c r="AZ198" s="4">
        <f t="shared" si="110"/>
        <v>72</v>
      </c>
      <c r="BA198" s="49">
        <v>0.9</v>
      </c>
      <c r="BB198" s="4">
        <f t="shared" si="111"/>
        <v>64.8</v>
      </c>
      <c r="BC198" s="50">
        <v>5.8713854591836701E-2</v>
      </c>
      <c r="BD198" s="69">
        <f>IFERROR(
  MAX(0.05, MIN(0.5, CropNorms_Millet[[#This Row],[Leaf_Area_Per_Shoot_m2]] * CropNorms_Millet[[#This Row],[Shoot_Bearing_m2]] )),
  0.2
)</f>
        <v>0.5</v>
      </c>
      <c r="BE198" s="4">
        <f>_xlfn.XLOOKUP(CropNorms_Millet[[#This Row],[LAI_Start_BBCH]], CropPhenology_Millet[Sub_Stage], CropPhenology_Millet[Start_GDD], "Not Found")</f>
        <v>121</v>
      </c>
      <c r="BF198" s="3">
        <f>ROUND(CropNorms_Millet[[#This Row],[Shoot_Bearing_m2]]*CropNorms_Millet[[#This Row],[Leaf_Area_Per_Shoot_m2]],2)</f>
        <v>3.8</v>
      </c>
      <c r="BG198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198" s="3">
        <f>IF(CropNorms_Millet[[#This Row],[Max_LAI]]&gt;=1.2, 0.85*CropNorms_Millet[[#This Row],[Max_LAI]], 1)</f>
        <v>3.23</v>
      </c>
      <c r="BI198" s="41">
        <f>_xlfn.XLOOKUP(CropNorms_Millet[[#This Row],[LAI_End_BBCH]], CropPhenology_Millet[Sub_Stage], CropPhenology_Millet[End_GDD], "Not Found")</f>
        <v>1780</v>
      </c>
      <c r="BJ198" s="3" cm="1">
        <f t="array" ref="BJ198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K198" s="3" cm="1">
        <f t="array" ref="BK198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L198" s="3" cm="1">
        <f t="array" ref="BL198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M198" s="3" cm="1">
        <f t="array" ref="BM198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8" s="42">
        <v>0.3</v>
      </c>
      <c r="BO198" s="43">
        <v>0</v>
      </c>
      <c r="BP198" s="42">
        <v>3.62</v>
      </c>
      <c r="BQ198" s="43" t="s">
        <v>1795</v>
      </c>
      <c r="BR198" s="3" t="str" cm="1">
        <f t="array" ref="BR198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98" s="3" t="str" cm="1">
        <f t="array" ref="BS198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198" s="3" t="str" cm="1">
        <f t="array" ref="BT198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198" s="3" t="str" cm="1">
        <f t="array" ref="BU198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98" s="48">
        <v>75</v>
      </c>
      <c r="BW198" s="1">
        <v>40</v>
      </c>
      <c r="BX198" s="44">
        <v>40</v>
      </c>
      <c r="BY198" s="51">
        <v>45823</v>
      </c>
      <c r="BZ198" s="5">
        <v>45853</v>
      </c>
      <c r="CA198" s="85">
        <v>0</v>
      </c>
      <c r="CB198" s="2">
        <v>0</v>
      </c>
      <c r="CC198" s="2">
        <v>1</v>
      </c>
      <c r="CD198" s="2">
        <v>1</v>
      </c>
      <c r="CE198" s="2">
        <v>1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P198" s="9"/>
      <c r="CQ198" s="10"/>
    </row>
    <row r="199" spans="2:95" x14ac:dyDescent="0.15">
      <c r="B199" s="36" t="s">
        <v>164</v>
      </c>
      <c r="C199" s="1" t="s">
        <v>171</v>
      </c>
      <c r="K199" s="1" t="s">
        <v>1748</v>
      </c>
      <c r="L199" s="1" t="s">
        <v>1750</v>
      </c>
      <c r="M199" s="1" t="s">
        <v>360</v>
      </c>
      <c r="N199" s="6">
        <v>21</v>
      </c>
      <c r="O199" s="1" t="s">
        <v>4</v>
      </c>
      <c r="P199" s="1">
        <v>30</v>
      </c>
      <c r="Q199" s="1">
        <v>12</v>
      </c>
      <c r="R199" s="1">
        <v>10</v>
      </c>
      <c r="S199" s="1">
        <v>30</v>
      </c>
      <c r="T199" s="1">
        <v>40</v>
      </c>
      <c r="U199" s="253">
        <v>5</v>
      </c>
      <c r="V199" s="1">
        <v>65</v>
      </c>
      <c r="W199" s="44">
        <v>120</v>
      </c>
      <c r="X199" s="40">
        <f>_xlfn.XLOOKUP("Ripening", CropPhenology_Millet[Main_Stage], CropPhenology_Millet[Start_GDD], "Not Found")</f>
        <v>1781</v>
      </c>
      <c r="Y199" s="4" cm="1">
        <f t="array" ref="Y199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199" s="3">
        <f t="shared" si="104"/>
        <v>23.574679487179488</v>
      </c>
      <c r="AA199" s="41">
        <f t="shared" si="105"/>
        <v>89.078623577556314</v>
      </c>
      <c r="AB199" s="1">
        <v>8</v>
      </c>
      <c r="AC199" s="1">
        <v>12</v>
      </c>
      <c r="AD199" s="1">
        <v>4</v>
      </c>
      <c r="AE199" s="1">
        <v>85</v>
      </c>
      <c r="AF199" s="1">
        <v>10</v>
      </c>
      <c r="AG199" s="1">
        <v>6</v>
      </c>
      <c r="AH199" s="3">
        <f t="shared" si="106"/>
        <v>3.5811060744810748</v>
      </c>
      <c r="AI199" s="1">
        <v>5.5</v>
      </c>
      <c r="AJ199" s="1">
        <v>7.5</v>
      </c>
      <c r="AK199" s="159">
        <v>2.5</v>
      </c>
      <c r="AL199" s="150">
        <v>0.1</v>
      </c>
      <c r="AM199" s="1">
        <v>400</v>
      </c>
      <c r="AN199" s="1">
        <v>600</v>
      </c>
      <c r="AO199" s="48">
        <v>2</v>
      </c>
      <c r="AP199" s="44">
        <v>80</v>
      </c>
      <c r="AQ199" s="42">
        <v>0.83</v>
      </c>
      <c r="AR199" s="1">
        <v>50</v>
      </c>
      <c r="AS199" s="1">
        <v>10</v>
      </c>
      <c r="AT199" s="1">
        <v>1</v>
      </c>
      <c r="AU199" s="4">
        <f t="shared" si="107"/>
        <v>20</v>
      </c>
      <c r="AV199" s="3">
        <f t="shared" si="108"/>
        <v>6</v>
      </c>
      <c r="AW199" s="1">
        <v>90</v>
      </c>
      <c r="AX199" s="3">
        <f t="shared" si="109"/>
        <v>18</v>
      </c>
      <c r="AY199" s="1">
        <v>4</v>
      </c>
      <c r="AZ199" s="4">
        <f t="shared" si="110"/>
        <v>72</v>
      </c>
      <c r="BA199" s="49">
        <v>0.9</v>
      </c>
      <c r="BB199" s="4">
        <f t="shared" si="111"/>
        <v>64.8</v>
      </c>
      <c r="BC199" s="50">
        <v>5.8713854591836701E-2</v>
      </c>
      <c r="BD199" s="69">
        <f>IFERROR(
  MAX(0.05, MIN(0.5, CropNorms_Millet[[#This Row],[Leaf_Area_Per_Shoot_m2]] * CropNorms_Millet[[#This Row],[Shoot_Bearing_m2]] )),
  0.2
)</f>
        <v>0.5</v>
      </c>
      <c r="BE199" s="4">
        <f>_xlfn.XLOOKUP(CropNorms_Millet[[#This Row],[LAI_Start_BBCH]], CropPhenology_Millet[Sub_Stage], CropPhenology_Millet[Start_GDD], "Not Found")</f>
        <v>121</v>
      </c>
      <c r="BF199" s="3">
        <f>ROUND(CropNorms_Millet[[#This Row],[Shoot_Bearing_m2]]*CropNorms_Millet[[#This Row],[Leaf_Area_Per_Shoot_m2]],2)</f>
        <v>3.8</v>
      </c>
      <c r="BG199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199" s="3">
        <f>IF(CropNorms_Millet[[#This Row],[Max_LAI]]&gt;=1.2, 0.85*CropNorms_Millet[[#This Row],[Max_LAI]], 1)</f>
        <v>3.23</v>
      </c>
      <c r="BI199" s="41">
        <f>_xlfn.XLOOKUP(CropNorms_Millet[[#This Row],[LAI_End_BBCH]], CropPhenology_Millet[Sub_Stage], CropPhenology_Millet[End_GDD], "Not Found")</f>
        <v>1780</v>
      </c>
      <c r="BJ199" s="3" cm="1">
        <f t="array" ref="BJ199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K199" s="3" cm="1">
        <f t="array" ref="BK199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L199" s="3" cm="1">
        <f t="array" ref="BL199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M199" s="3" cm="1">
        <f t="array" ref="BM199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199" s="42">
        <v>0.3</v>
      </c>
      <c r="BO199" s="43">
        <v>0</v>
      </c>
      <c r="BP199" s="42">
        <v>3.62</v>
      </c>
      <c r="BQ199" s="43" t="s">
        <v>1795</v>
      </c>
      <c r="BR199" s="3" t="str" cm="1">
        <f t="array" ref="BR199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199" s="3" t="str" cm="1">
        <f t="array" ref="BS199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199" s="3" t="str" cm="1">
        <f t="array" ref="BT199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199" s="3" t="str" cm="1">
        <f t="array" ref="BU199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199" s="48">
        <v>75</v>
      </c>
      <c r="BW199" s="1">
        <v>40</v>
      </c>
      <c r="BX199" s="44">
        <v>40</v>
      </c>
      <c r="BY199" s="51">
        <v>45823</v>
      </c>
      <c r="BZ199" s="5">
        <v>45853</v>
      </c>
      <c r="CA199" s="85">
        <v>0</v>
      </c>
      <c r="CB199" s="2">
        <v>0</v>
      </c>
      <c r="CC199" s="2">
        <v>1</v>
      </c>
      <c r="CD199" s="2">
        <v>1</v>
      </c>
      <c r="CE199" s="2">
        <v>1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P199" s="9"/>
      <c r="CQ199" s="10"/>
    </row>
    <row r="200" spans="2:95" x14ac:dyDescent="0.15">
      <c r="B200" s="36" t="s">
        <v>164</v>
      </c>
      <c r="C200" s="1" t="s">
        <v>166</v>
      </c>
      <c r="K200" s="1" t="s">
        <v>1748</v>
      </c>
      <c r="L200" s="1" t="s">
        <v>1750</v>
      </c>
      <c r="M200" s="1" t="s">
        <v>360</v>
      </c>
      <c r="N200" s="6">
        <v>21</v>
      </c>
      <c r="O200" s="1" t="s">
        <v>2</v>
      </c>
      <c r="P200" s="1">
        <v>30</v>
      </c>
      <c r="Q200" s="1">
        <v>12</v>
      </c>
      <c r="R200" s="1">
        <v>10</v>
      </c>
      <c r="S200" s="1">
        <v>30</v>
      </c>
      <c r="T200" s="1">
        <v>40</v>
      </c>
      <c r="U200" s="253">
        <v>5</v>
      </c>
      <c r="V200" s="1">
        <v>65</v>
      </c>
      <c r="W200" s="44">
        <v>120</v>
      </c>
      <c r="X200" s="40">
        <f>_xlfn.XLOOKUP("Ripening", CropPhenology_Millet[Main_Stage], CropPhenology_Millet[Start_GDD], "Not Found")</f>
        <v>1781</v>
      </c>
      <c r="Y200" s="4" cm="1">
        <f t="array" ref="Y200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200" s="3">
        <f t="shared" si="104"/>
        <v>23.574679487179488</v>
      </c>
      <c r="AA200" s="41">
        <f t="shared" si="105"/>
        <v>89.078623577556314</v>
      </c>
      <c r="AB200" s="1">
        <v>8</v>
      </c>
      <c r="AC200" s="1">
        <v>12</v>
      </c>
      <c r="AD200" s="1">
        <v>4</v>
      </c>
      <c r="AE200" s="1">
        <v>85</v>
      </c>
      <c r="AF200" s="1">
        <v>10</v>
      </c>
      <c r="AG200" s="1">
        <v>6</v>
      </c>
      <c r="AH200" s="3">
        <f t="shared" si="106"/>
        <v>3.5811060744810748</v>
      </c>
      <c r="AI200" s="1">
        <v>5.5</v>
      </c>
      <c r="AJ200" s="1">
        <v>7.5</v>
      </c>
      <c r="AK200" s="159">
        <v>2.5</v>
      </c>
      <c r="AL200" s="150">
        <v>0.1</v>
      </c>
      <c r="AM200" s="1">
        <v>200</v>
      </c>
      <c r="AN200" s="1">
        <v>350</v>
      </c>
      <c r="AO200" s="48">
        <v>2</v>
      </c>
      <c r="AP200" s="44">
        <v>80</v>
      </c>
      <c r="AQ200" s="42">
        <v>0.75</v>
      </c>
      <c r="AR200" s="1">
        <v>50</v>
      </c>
      <c r="AS200" s="1">
        <v>10</v>
      </c>
      <c r="AT200" s="1">
        <v>1</v>
      </c>
      <c r="AU200" s="4">
        <f t="shared" si="107"/>
        <v>20</v>
      </c>
      <c r="AV200" s="3">
        <f t="shared" si="108"/>
        <v>6</v>
      </c>
      <c r="AW200" s="1">
        <v>90</v>
      </c>
      <c r="AX200" s="3">
        <f t="shared" si="109"/>
        <v>18</v>
      </c>
      <c r="AY200" s="1">
        <v>4</v>
      </c>
      <c r="AZ200" s="4">
        <f t="shared" si="110"/>
        <v>72</v>
      </c>
      <c r="BA200" s="49">
        <v>0.9</v>
      </c>
      <c r="BB200" s="4">
        <f t="shared" si="111"/>
        <v>64.8</v>
      </c>
      <c r="BC200" s="50">
        <v>0.02</v>
      </c>
      <c r="BD200" s="69">
        <f>IFERROR(
  MAX(0.05, MIN(0.5, CropNorms_Millet[[#This Row],[Leaf_Area_Per_Shoot_m2]] * CropNorms_Millet[[#This Row],[Shoot_Bearing_m2]] )),
  0.2
)</f>
        <v>0.5</v>
      </c>
      <c r="BE200" s="4">
        <f>_xlfn.XLOOKUP(CropNorms_Millet[[#This Row],[LAI_Start_BBCH]], CropPhenology_Millet[Sub_Stage], CropPhenology_Millet[Start_GDD], "Not Found")</f>
        <v>121</v>
      </c>
      <c r="BF200" s="3">
        <f>ROUND(CropNorms_Millet[[#This Row],[Shoot_Bearing_m2]]*CropNorms_Millet[[#This Row],[Leaf_Area_Per_Shoot_m2]],2)</f>
        <v>1.3</v>
      </c>
      <c r="BG200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200" s="3">
        <f>IF(CropNorms_Millet[[#This Row],[Max_LAI]]&gt;=1.2, 0.85*CropNorms_Millet[[#This Row],[Max_LAI]], 1)</f>
        <v>1.105</v>
      </c>
      <c r="BI200" s="41">
        <f>_xlfn.XLOOKUP(CropNorms_Millet[[#This Row],[LAI_End_BBCH]], CropPhenology_Millet[Sub_Stage], CropPhenology_Millet[End_GDD], "Not Found")</f>
        <v>1780</v>
      </c>
      <c r="BJ200" s="3" cm="1">
        <f t="array" ref="BJ200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K200" s="3" cm="1">
        <f t="array" ref="BK200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L200" s="3" cm="1">
        <f t="array" ref="BL200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200" s="3" cm="1">
        <f t="array" ref="BM200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0" s="42">
        <v>0.3</v>
      </c>
      <c r="BO200" s="43">
        <v>0</v>
      </c>
      <c r="BP200" s="42">
        <v>2.34</v>
      </c>
      <c r="BQ200" s="43" t="s">
        <v>1795</v>
      </c>
      <c r="BR200" s="3" t="str" cm="1">
        <f t="array" ref="BR200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00" s="3" t="str" cm="1">
        <f t="array" ref="BS200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200" s="3" t="str" cm="1">
        <f t="array" ref="BT200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200" s="3" t="str" cm="1">
        <f t="array" ref="BU200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00" s="48">
        <v>75</v>
      </c>
      <c r="BW200" s="1">
        <v>40</v>
      </c>
      <c r="BX200" s="44">
        <v>40</v>
      </c>
      <c r="BY200" s="51">
        <v>45823</v>
      </c>
      <c r="BZ200" s="5">
        <v>45853</v>
      </c>
      <c r="CA200" s="85">
        <v>0</v>
      </c>
      <c r="CB200" s="2">
        <v>0</v>
      </c>
      <c r="CC200" s="2">
        <v>1</v>
      </c>
      <c r="CD200" s="2">
        <v>1</v>
      </c>
      <c r="CE200" s="2">
        <v>1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P200" s="9"/>
      <c r="CQ200" s="10"/>
    </row>
    <row r="201" spans="2:95" x14ac:dyDescent="0.15">
      <c r="B201" s="36" t="s">
        <v>164</v>
      </c>
      <c r="C201" s="1" t="s">
        <v>167</v>
      </c>
      <c r="K201" s="1" t="s">
        <v>1748</v>
      </c>
      <c r="L201" s="1" t="s">
        <v>1750</v>
      </c>
      <c r="M201" s="1" t="s">
        <v>360</v>
      </c>
      <c r="N201" s="6">
        <v>21</v>
      </c>
      <c r="O201" s="1" t="s">
        <v>2</v>
      </c>
      <c r="P201" s="1">
        <v>30</v>
      </c>
      <c r="Q201" s="1">
        <v>12</v>
      </c>
      <c r="R201" s="1">
        <v>10</v>
      </c>
      <c r="S201" s="1">
        <v>30</v>
      </c>
      <c r="T201" s="1">
        <v>40</v>
      </c>
      <c r="U201" s="253">
        <v>5</v>
      </c>
      <c r="V201" s="1">
        <v>65</v>
      </c>
      <c r="W201" s="44">
        <v>120</v>
      </c>
      <c r="X201" s="40">
        <f>_xlfn.XLOOKUP("Ripening", CropPhenology_Millet[Main_Stage], CropPhenology_Millet[Start_GDD], "Not Found")</f>
        <v>1781</v>
      </c>
      <c r="Y201" s="4" cm="1">
        <f t="array" ref="Y201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201" s="3">
        <f t="shared" si="104"/>
        <v>23.574679487179488</v>
      </c>
      <c r="AA201" s="41">
        <f t="shared" si="105"/>
        <v>89.078623577556314</v>
      </c>
      <c r="AB201" s="1">
        <v>8</v>
      </c>
      <c r="AC201" s="1">
        <v>12</v>
      </c>
      <c r="AD201" s="1">
        <v>4</v>
      </c>
      <c r="AE201" s="1">
        <v>85</v>
      </c>
      <c r="AF201" s="1">
        <v>10</v>
      </c>
      <c r="AG201" s="1">
        <v>6</v>
      </c>
      <c r="AH201" s="3">
        <f t="shared" si="106"/>
        <v>3.5811060744810748</v>
      </c>
      <c r="AI201" s="1">
        <v>5.5</v>
      </c>
      <c r="AJ201" s="1">
        <v>7.5</v>
      </c>
      <c r="AK201" s="159">
        <v>2.5</v>
      </c>
      <c r="AL201" s="150">
        <v>0.1</v>
      </c>
      <c r="AM201" s="1">
        <v>200</v>
      </c>
      <c r="AN201" s="1">
        <v>350</v>
      </c>
      <c r="AO201" s="48">
        <v>2</v>
      </c>
      <c r="AP201" s="44">
        <v>80</v>
      </c>
      <c r="AQ201" s="42">
        <v>0.78</v>
      </c>
      <c r="AR201" s="1">
        <v>50</v>
      </c>
      <c r="AS201" s="1">
        <v>10</v>
      </c>
      <c r="AT201" s="1">
        <v>1</v>
      </c>
      <c r="AU201" s="4">
        <f t="shared" si="107"/>
        <v>20</v>
      </c>
      <c r="AV201" s="3">
        <f t="shared" si="108"/>
        <v>6</v>
      </c>
      <c r="AW201" s="1">
        <v>90</v>
      </c>
      <c r="AX201" s="3">
        <f t="shared" si="109"/>
        <v>18</v>
      </c>
      <c r="AY201" s="1">
        <v>4</v>
      </c>
      <c r="AZ201" s="4">
        <f t="shared" si="110"/>
        <v>72</v>
      </c>
      <c r="BA201" s="49">
        <v>0.9</v>
      </c>
      <c r="BB201" s="4">
        <f t="shared" si="111"/>
        <v>64.8</v>
      </c>
      <c r="BC201" s="50">
        <v>0.02</v>
      </c>
      <c r="BD201" s="69">
        <f>IFERROR(
  MAX(0.05, MIN(0.5, CropNorms_Millet[[#This Row],[Leaf_Area_Per_Shoot_m2]] * CropNorms_Millet[[#This Row],[Shoot_Bearing_m2]] )),
  0.2
)</f>
        <v>0.5</v>
      </c>
      <c r="BE201" s="4">
        <f>_xlfn.XLOOKUP(CropNorms_Millet[[#This Row],[LAI_Start_BBCH]], CropPhenology_Millet[Sub_Stage], CropPhenology_Millet[Start_GDD], "Not Found")</f>
        <v>121</v>
      </c>
      <c r="BF201" s="3">
        <f>ROUND(CropNorms_Millet[[#This Row],[Shoot_Bearing_m2]]*CropNorms_Millet[[#This Row],[Leaf_Area_Per_Shoot_m2]],2)</f>
        <v>1.3</v>
      </c>
      <c r="BG201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201" s="3">
        <f>IF(CropNorms_Millet[[#This Row],[Max_LAI]]&gt;=1.2, 0.85*CropNorms_Millet[[#This Row],[Max_LAI]], 1)</f>
        <v>1.105</v>
      </c>
      <c r="BI201" s="41">
        <f>_xlfn.XLOOKUP(CropNorms_Millet[[#This Row],[LAI_End_BBCH]], CropPhenology_Millet[Sub_Stage], CropPhenology_Millet[End_GDD], "Not Found")</f>
        <v>1780</v>
      </c>
      <c r="BJ201" s="3" cm="1">
        <f t="array" ref="BJ201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K201" s="3" cm="1">
        <f t="array" ref="BK20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L201" s="3" cm="1">
        <f t="array" ref="BL201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201" s="3" cm="1">
        <f t="array" ref="BM20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1" s="42">
        <v>0.3</v>
      </c>
      <c r="BO201" s="43">
        <v>0</v>
      </c>
      <c r="BP201" s="42">
        <v>2.34</v>
      </c>
      <c r="BQ201" s="43" t="s">
        <v>1795</v>
      </c>
      <c r="BR201" s="3" t="str" cm="1">
        <f t="array" ref="BR20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01" s="3" t="str" cm="1">
        <f t="array" ref="BS20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201" s="3" t="str" cm="1">
        <f t="array" ref="BT201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201" s="3" t="str" cm="1">
        <f t="array" ref="BU201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01" s="48">
        <v>75</v>
      </c>
      <c r="BW201" s="1">
        <v>40</v>
      </c>
      <c r="BX201" s="44">
        <v>40</v>
      </c>
      <c r="BY201" s="51">
        <v>45823</v>
      </c>
      <c r="BZ201" s="5">
        <v>45853</v>
      </c>
      <c r="CA201" s="85">
        <v>0</v>
      </c>
      <c r="CB201" s="2">
        <v>0</v>
      </c>
      <c r="CC201" s="2">
        <v>1</v>
      </c>
      <c r="CD201" s="2">
        <v>1</v>
      </c>
      <c r="CE201" s="2">
        <v>1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P201" s="9"/>
      <c r="CQ201" s="10"/>
    </row>
    <row r="202" spans="2:95" x14ac:dyDescent="0.15">
      <c r="B202" s="36" t="s">
        <v>164</v>
      </c>
      <c r="C202" s="1" t="s">
        <v>169</v>
      </c>
      <c r="K202" s="1" t="s">
        <v>1748</v>
      </c>
      <c r="L202" s="1" t="s">
        <v>1750</v>
      </c>
      <c r="M202" s="1" t="s">
        <v>360</v>
      </c>
      <c r="N202" s="6">
        <v>21</v>
      </c>
      <c r="O202" s="1" t="s">
        <v>2</v>
      </c>
      <c r="P202" s="1">
        <v>30</v>
      </c>
      <c r="Q202" s="1">
        <v>12</v>
      </c>
      <c r="R202" s="1">
        <v>10</v>
      </c>
      <c r="S202" s="1">
        <v>30</v>
      </c>
      <c r="T202" s="1">
        <v>40</v>
      </c>
      <c r="U202" s="253">
        <v>5</v>
      </c>
      <c r="V202" s="1">
        <v>65</v>
      </c>
      <c r="W202" s="44">
        <v>120</v>
      </c>
      <c r="X202" s="40">
        <f>_xlfn.XLOOKUP("Ripening", CropPhenology_Millet[Main_Stage], CropPhenology_Millet[Start_GDD], "Not Found")</f>
        <v>1781</v>
      </c>
      <c r="Y202" s="4" cm="1">
        <f t="array" ref="Y202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202" s="3">
        <f t="shared" si="104"/>
        <v>23.574679487179488</v>
      </c>
      <c r="AA202" s="41">
        <f t="shared" si="105"/>
        <v>89.078623577556314</v>
      </c>
      <c r="AB202" s="1">
        <v>8</v>
      </c>
      <c r="AC202" s="1">
        <v>12</v>
      </c>
      <c r="AD202" s="1">
        <v>4</v>
      </c>
      <c r="AE202" s="1">
        <v>85</v>
      </c>
      <c r="AF202" s="1">
        <v>10</v>
      </c>
      <c r="AG202" s="1">
        <v>6</v>
      </c>
      <c r="AH202" s="3">
        <f t="shared" si="106"/>
        <v>3.5811060744810748</v>
      </c>
      <c r="AI202" s="1">
        <v>5.5</v>
      </c>
      <c r="AJ202" s="1">
        <v>7.5</v>
      </c>
      <c r="AK202" s="159">
        <v>2.5</v>
      </c>
      <c r="AL202" s="150">
        <v>0.1</v>
      </c>
      <c r="AM202" s="1">
        <v>200</v>
      </c>
      <c r="AN202" s="1">
        <v>350</v>
      </c>
      <c r="AO202" s="48">
        <v>2</v>
      </c>
      <c r="AP202" s="44">
        <v>80</v>
      </c>
      <c r="AQ202" s="42">
        <v>0.7</v>
      </c>
      <c r="AR202" s="1">
        <v>50</v>
      </c>
      <c r="AS202" s="1">
        <v>10</v>
      </c>
      <c r="AT202" s="1">
        <v>1</v>
      </c>
      <c r="AU202" s="4">
        <f t="shared" si="107"/>
        <v>20</v>
      </c>
      <c r="AV202" s="3">
        <f t="shared" si="108"/>
        <v>6</v>
      </c>
      <c r="AW202" s="1">
        <v>90</v>
      </c>
      <c r="AX202" s="3">
        <f t="shared" si="109"/>
        <v>18</v>
      </c>
      <c r="AY202" s="1">
        <v>4</v>
      </c>
      <c r="AZ202" s="4">
        <f t="shared" si="110"/>
        <v>72</v>
      </c>
      <c r="BA202" s="49">
        <v>0.9</v>
      </c>
      <c r="BB202" s="4">
        <f t="shared" si="111"/>
        <v>64.8</v>
      </c>
      <c r="BC202" s="50">
        <v>0.02</v>
      </c>
      <c r="BD202" s="69">
        <f>IFERROR(
  MAX(0.05, MIN(0.5, CropNorms_Millet[[#This Row],[Leaf_Area_Per_Shoot_m2]] * CropNorms_Millet[[#This Row],[Shoot_Bearing_m2]] )),
  0.2
)</f>
        <v>0.5</v>
      </c>
      <c r="BE202" s="4">
        <f>_xlfn.XLOOKUP(CropNorms_Millet[[#This Row],[LAI_Start_BBCH]], CropPhenology_Millet[Sub_Stage], CropPhenology_Millet[Start_GDD], "Not Found")</f>
        <v>121</v>
      </c>
      <c r="BF202" s="3">
        <f>ROUND(CropNorms_Millet[[#This Row],[Shoot_Bearing_m2]]*CropNorms_Millet[[#This Row],[Leaf_Area_Per_Shoot_m2]],2)</f>
        <v>1.3</v>
      </c>
      <c r="BG202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202" s="3">
        <f>IF(CropNorms_Millet[[#This Row],[Max_LAI]]&gt;=1.2, 0.85*CropNorms_Millet[[#This Row],[Max_LAI]], 1)</f>
        <v>1.105</v>
      </c>
      <c r="BI202" s="41">
        <f>_xlfn.XLOOKUP(CropNorms_Millet[[#This Row],[LAI_End_BBCH]], CropPhenology_Millet[Sub_Stage], CropPhenology_Millet[End_GDD], "Not Found")</f>
        <v>1780</v>
      </c>
      <c r="BJ202" s="3" cm="1">
        <f t="array" ref="BJ202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K202" s="3" cm="1">
        <f t="array" ref="BK202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L202" s="3" cm="1">
        <f t="array" ref="BL202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202" s="3" cm="1">
        <f t="array" ref="BM202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2" s="42">
        <v>0.3</v>
      </c>
      <c r="BO202" s="43">
        <v>0</v>
      </c>
      <c r="BP202" s="42">
        <v>2.34</v>
      </c>
      <c r="BQ202" s="43" t="s">
        <v>1795</v>
      </c>
      <c r="BR202" s="3" t="str" cm="1">
        <f t="array" ref="BR202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02" s="3" t="str" cm="1">
        <f t="array" ref="BS202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202" s="3" t="str" cm="1">
        <f t="array" ref="BT202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202" s="3" t="str" cm="1">
        <f t="array" ref="BU202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02" s="48">
        <v>75</v>
      </c>
      <c r="BW202" s="1">
        <v>40</v>
      </c>
      <c r="BX202" s="44">
        <v>40</v>
      </c>
      <c r="BY202" s="51">
        <v>45823</v>
      </c>
      <c r="BZ202" s="5">
        <v>45853</v>
      </c>
      <c r="CA202" s="85">
        <v>0</v>
      </c>
      <c r="CB202" s="2">
        <v>0</v>
      </c>
      <c r="CC202" s="2">
        <v>1</v>
      </c>
      <c r="CD202" s="2">
        <v>1</v>
      </c>
      <c r="CE202" s="2">
        <v>1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P202" s="9"/>
      <c r="CQ202" s="10"/>
    </row>
    <row r="203" spans="2:95" ht="11.25" thickBot="1" x14ac:dyDescent="0.2">
      <c r="B203" s="36" t="s">
        <v>164</v>
      </c>
      <c r="C203" s="1" t="s">
        <v>172</v>
      </c>
      <c r="K203" s="1" t="s">
        <v>1748</v>
      </c>
      <c r="L203" s="1" t="s">
        <v>1750</v>
      </c>
      <c r="M203" s="1" t="s">
        <v>360</v>
      </c>
      <c r="N203" s="6">
        <v>21</v>
      </c>
      <c r="O203" s="1" t="s">
        <v>2</v>
      </c>
      <c r="P203" s="1">
        <v>30</v>
      </c>
      <c r="Q203" s="1">
        <v>12</v>
      </c>
      <c r="R203" s="1">
        <v>10</v>
      </c>
      <c r="S203" s="1">
        <v>30</v>
      </c>
      <c r="T203" s="1">
        <v>40</v>
      </c>
      <c r="U203" s="254">
        <v>5</v>
      </c>
      <c r="V203" s="1">
        <v>65</v>
      </c>
      <c r="W203" s="44">
        <v>120</v>
      </c>
      <c r="X203" s="40">
        <f>_xlfn.XLOOKUP("Ripening", CropPhenology_Millet[Main_Stage], CropPhenology_Millet[Start_GDD], "Not Found")</f>
        <v>1781</v>
      </c>
      <c r="Y203" s="4" cm="1">
        <f t="array" ref="Y203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Z203" s="3">
        <f t="shared" si="104"/>
        <v>23.574679487179488</v>
      </c>
      <c r="AA203" s="41">
        <f t="shared" si="105"/>
        <v>89.078623577556314</v>
      </c>
      <c r="AB203" s="1">
        <v>8</v>
      </c>
      <c r="AC203" s="1">
        <v>12</v>
      </c>
      <c r="AD203" s="1">
        <v>4</v>
      </c>
      <c r="AE203" s="1">
        <v>85</v>
      </c>
      <c r="AF203" s="1">
        <v>10</v>
      </c>
      <c r="AG203" s="1">
        <v>6</v>
      </c>
      <c r="AH203" s="3">
        <f t="shared" si="106"/>
        <v>3.5811060744810748</v>
      </c>
      <c r="AI203" s="1">
        <v>5.5</v>
      </c>
      <c r="AJ203" s="1">
        <v>7.5</v>
      </c>
      <c r="AK203" s="160">
        <v>2.5</v>
      </c>
      <c r="AL203" s="161">
        <v>0.1</v>
      </c>
      <c r="AM203" s="1">
        <v>200</v>
      </c>
      <c r="AN203" s="1">
        <v>350</v>
      </c>
      <c r="AO203" s="48">
        <v>2</v>
      </c>
      <c r="AP203" s="44">
        <v>80</v>
      </c>
      <c r="AQ203" s="42">
        <v>0.76</v>
      </c>
      <c r="AR203" s="1">
        <v>50</v>
      </c>
      <c r="AS203" s="1">
        <v>10</v>
      </c>
      <c r="AT203" s="1">
        <v>1</v>
      </c>
      <c r="AU203" s="4">
        <f t="shared" si="107"/>
        <v>20</v>
      </c>
      <c r="AV203" s="3">
        <f t="shared" si="108"/>
        <v>6</v>
      </c>
      <c r="AW203" s="1">
        <v>90</v>
      </c>
      <c r="AX203" s="3">
        <f t="shared" si="109"/>
        <v>18</v>
      </c>
      <c r="AY203" s="1">
        <v>4</v>
      </c>
      <c r="AZ203" s="4">
        <f t="shared" si="110"/>
        <v>72</v>
      </c>
      <c r="BA203" s="49">
        <v>0.9</v>
      </c>
      <c r="BB203" s="4">
        <f t="shared" si="111"/>
        <v>64.8</v>
      </c>
      <c r="BC203" s="50">
        <v>0.02</v>
      </c>
      <c r="BD203" s="69">
        <f>IFERROR(
  MAX(0.05, MIN(0.5, CropNorms_Millet[[#This Row],[Leaf_Area_Per_Shoot_m2]] * CropNorms_Millet[[#This Row],[Shoot_Bearing_m2]] )),
  0.2
)</f>
        <v>0.5</v>
      </c>
      <c r="BE203" s="4">
        <f>_xlfn.XLOOKUP(CropNorms_Millet[[#This Row],[LAI_Start_BBCH]], CropPhenology_Millet[Sub_Stage], CropPhenology_Millet[Start_GDD], "Not Found")</f>
        <v>121</v>
      </c>
      <c r="BF203" s="3">
        <f>ROUND(CropNorms_Millet[[#This Row],[Shoot_Bearing_m2]]*CropNorms_Millet[[#This Row],[Leaf_Area_Per_Shoot_m2]],2)</f>
        <v>1.3</v>
      </c>
      <c r="BG203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H203" s="3">
        <f>IF(CropNorms_Millet[[#This Row],[Max_LAI]]&gt;=1.2, 0.85*CropNorms_Millet[[#This Row],[Max_LAI]], 1)</f>
        <v>1.105</v>
      </c>
      <c r="BI203" s="41">
        <f>_xlfn.XLOOKUP(CropNorms_Millet[[#This Row],[LAI_End_BBCH]], CropPhenology_Millet[Sub_Stage], CropPhenology_Millet[End_GDD], "Not Found")</f>
        <v>1780</v>
      </c>
      <c r="BJ203" s="3" cm="1">
        <f t="array" ref="BJ203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K203" s="3" cm="1">
        <f t="array" ref="BK203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L203" s="3" cm="1">
        <f t="array" ref="BL203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203" s="3" cm="1">
        <f t="array" ref="BM203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3" s="42">
        <v>0.3</v>
      </c>
      <c r="BO203" s="43">
        <v>0</v>
      </c>
      <c r="BP203" s="42">
        <v>2.34</v>
      </c>
      <c r="BQ203" s="43" t="s">
        <v>1795</v>
      </c>
      <c r="BR203" s="3" t="str" cm="1">
        <f t="array" ref="BR203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03" s="3" t="str" cm="1">
        <f t="array" ref="BS203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T203" s="3" t="str" cm="1">
        <f t="array" ref="BT203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U203" s="3" t="str" cm="1">
        <f t="array" ref="BU203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03" s="48">
        <v>75</v>
      </c>
      <c r="BW203" s="1">
        <v>40</v>
      </c>
      <c r="BX203" s="44">
        <v>40</v>
      </c>
      <c r="BY203" s="51">
        <v>45823</v>
      </c>
      <c r="BZ203" s="5">
        <v>45853</v>
      </c>
      <c r="CA203" s="85">
        <v>0</v>
      </c>
      <c r="CB203" s="2">
        <v>0</v>
      </c>
      <c r="CC203" s="2">
        <v>1</v>
      </c>
      <c r="CD203" s="2">
        <v>1</v>
      </c>
      <c r="CE203" s="2">
        <v>1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P203" s="9"/>
      <c r="CQ203" s="10"/>
    </row>
    <row r="204" spans="2:95" ht="11.25" thickBot="1" x14ac:dyDescent="0.2">
      <c r="Y204" s="3"/>
      <c r="Z204" s="4"/>
      <c r="AG204" s="3"/>
      <c r="AR204" s="4"/>
      <c r="AS204" s="3"/>
      <c r="AU204" s="3"/>
      <c r="AW204" s="4"/>
      <c r="AX204" s="49"/>
      <c r="AY204" s="4"/>
      <c r="BV204" s="51"/>
      <c r="BW204" s="51"/>
      <c r="CP204" s="9"/>
      <c r="CQ204" s="10"/>
    </row>
    <row r="205" spans="2:95" ht="11.25" thickBot="1" x14ac:dyDescent="0.2">
      <c r="B205" s="54" t="s">
        <v>1753</v>
      </c>
      <c r="C205" s="53" t="s">
        <v>1754</v>
      </c>
      <c r="D205" s="53" t="s">
        <v>1804</v>
      </c>
      <c r="E205" s="53" t="s">
        <v>1805</v>
      </c>
      <c r="F205" s="53" t="s">
        <v>1806</v>
      </c>
      <c r="G205" s="53" t="s">
        <v>1807</v>
      </c>
      <c r="H205" s="53" t="s">
        <v>1808</v>
      </c>
      <c r="I205" s="53" t="s">
        <v>1809</v>
      </c>
      <c r="J205" s="53" t="s">
        <v>1810</v>
      </c>
      <c r="K205" s="53" t="s">
        <v>1747</v>
      </c>
      <c r="L205" s="54" t="s">
        <v>1749</v>
      </c>
      <c r="M205" s="53" t="s">
        <v>357</v>
      </c>
      <c r="N205" s="55" t="s">
        <v>692</v>
      </c>
      <c r="O205" s="53" t="s">
        <v>325</v>
      </c>
      <c r="P205" s="53" t="s">
        <v>356</v>
      </c>
      <c r="Q205" s="53" t="s">
        <v>326</v>
      </c>
      <c r="R205" s="53" t="s">
        <v>327</v>
      </c>
      <c r="S205" s="53" t="s">
        <v>328</v>
      </c>
      <c r="T205" s="53" t="s">
        <v>329</v>
      </c>
      <c r="U205" s="250" t="s">
        <v>2349</v>
      </c>
      <c r="V205" s="53" t="s">
        <v>330</v>
      </c>
      <c r="W205" s="53" t="s">
        <v>331</v>
      </c>
      <c r="X205" s="56" t="s">
        <v>354</v>
      </c>
      <c r="Y205" s="57" t="s">
        <v>355</v>
      </c>
      <c r="Z205" s="58" t="s">
        <v>413</v>
      </c>
      <c r="AA205" s="59" t="s">
        <v>583</v>
      </c>
      <c r="AB205" s="53" t="s">
        <v>324</v>
      </c>
      <c r="AC205" s="53" t="s">
        <v>332</v>
      </c>
      <c r="AD205" s="53" t="s">
        <v>333</v>
      </c>
      <c r="AE205" s="53" t="s">
        <v>334</v>
      </c>
      <c r="AF205" s="53" t="s">
        <v>335</v>
      </c>
      <c r="AG205" s="53" t="s">
        <v>336</v>
      </c>
      <c r="AH205" s="60" t="s">
        <v>337</v>
      </c>
      <c r="AI205" s="53" t="s">
        <v>338</v>
      </c>
      <c r="AJ205" s="53" t="s">
        <v>339</v>
      </c>
      <c r="AK205" s="157" t="s">
        <v>2346</v>
      </c>
      <c r="AL205" s="158" t="s">
        <v>2347</v>
      </c>
      <c r="AM205" s="53" t="s">
        <v>340</v>
      </c>
      <c r="AN205" s="53" t="s">
        <v>341</v>
      </c>
      <c r="AO205" s="61" t="s">
        <v>342</v>
      </c>
      <c r="AP205" s="62" t="s">
        <v>343</v>
      </c>
      <c r="AQ205" s="55" t="s">
        <v>344</v>
      </c>
      <c r="AR205" s="53" t="s">
        <v>345</v>
      </c>
      <c r="AS205" s="53" t="s">
        <v>346</v>
      </c>
      <c r="AT205" s="53" t="s">
        <v>364</v>
      </c>
      <c r="AU205" s="60" t="s">
        <v>347</v>
      </c>
      <c r="AV205" s="58" t="s">
        <v>363</v>
      </c>
      <c r="AW205" s="53" t="s">
        <v>348</v>
      </c>
      <c r="AX205" s="58" t="s">
        <v>349</v>
      </c>
      <c r="AY205" s="53" t="s">
        <v>366</v>
      </c>
      <c r="AZ205" s="60" t="s">
        <v>350</v>
      </c>
      <c r="BA205" s="53" t="s">
        <v>365</v>
      </c>
      <c r="BB205" s="60" t="s">
        <v>1827</v>
      </c>
      <c r="BC205" s="63" t="s">
        <v>351</v>
      </c>
      <c r="BD205" s="71" t="s">
        <v>1811</v>
      </c>
      <c r="BE205" s="57" t="s">
        <v>352</v>
      </c>
      <c r="BF205" s="58" t="s">
        <v>1812</v>
      </c>
      <c r="BG205" s="57" t="s">
        <v>1752</v>
      </c>
      <c r="BH205" s="60" t="s">
        <v>1813</v>
      </c>
      <c r="BI205" s="59" t="s">
        <v>353</v>
      </c>
      <c r="BJ205" s="71" t="s">
        <v>1828</v>
      </c>
      <c r="BK205" s="58" t="s">
        <v>1829</v>
      </c>
      <c r="BL205" s="58" t="s">
        <v>1830</v>
      </c>
      <c r="BM205" s="72" t="s">
        <v>1831</v>
      </c>
      <c r="BN205" s="64" t="s">
        <v>1154</v>
      </c>
      <c r="BO205" s="65" t="s">
        <v>1742</v>
      </c>
      <c r="BP205" s="64" t="s">
        <v>1155</v>
      </c>
      <c r="BQ205" s="65" t="s">
        <v>1755</v>
      </c>
      <c r="BR205" s="58" t="s">
        <v>367</v>
      </c>
      <c r="BS205" s="58" t="s">
        <v>1751</v>
      </c>
      <c r="BT205" s="58" t="s">
        <v>368</v>
      </c>
      <c r="BU205" s="60" t="s">
        <v>1814</v>
      </c>
      <c r="BV205" s="61" t="s">
        <v>369</v>
      </c>
      <c r="BW205" s="53" t="s">
        <v>370</v>
      </c>
      <c r="BX205" s="62" t="s">
        <v>371</v>
      </c>
      <c r="BY205" s="53" t="s">
        <v>359</v>
      </c>
      <c r="BZ205" s="53" t="s">
        <v>361</v>
      </c>
      <c r="CA205" s="61" t="s">
        <v>1815</v>
      </c>
      <c r="CB205" s="53" t="s">
        <v>1816</v>
      </c>
      <c r="CC205" s="53" t="s">
        <v>1817</v>
      </c>
      <c r="CD205" s="53" t="s">
        <v>1818</v>
      </c>
      <c r="CE205" s="53" t="s">
        <v>1819</v>
      </c>
      <c r="CF205" s="53" t="s">
        <v>1820</v>
      </c>
      <c r="CG205" s="53" t="s">
        <v>1821</v>
      </c>
      <c r="CH205" s="53" t="s">
        <v>1822</v>
      </c>
      <c r="CI205" s="53" t="s">
        <v>1823</v>
      </c>
      <c r="CJ205" s="53" t="s">
        <v>1824</v>
      </c>
      <c r="CK205" s="53" t="s">
        <v>1825</v>
      </c>
      <c r="CL205" s="53" t="s">
        <v>1826</v>
      </c>
      <c r="CP205" s="9"/>
      <c r="CQ205" s="10"/>
    </row>
    <row r="206" spans="2:95" x14ac:dyDescent="0.15">
      <c r="B206" s="36" t="s">
        <v>173</v>
      </c>
      <c r="C206" s="1" t="s">
        <v>176</v>
      </c>
      <c r="K206" s="1" t="s">
        <v>1769</v>
      </c>
      <c r="L206" s="1" t="s">
        <v>1750</v>
      </c>
      <c r="M206" s="1" t="s">
        <v>358</v>
      </c>
      <c r="N206" s="6">
        <v>10.5</v>
      </c>
      <c r="O206" s="1" t="s">
        <v>4</v>
      </c>
      <c r="P206" s="1">
        <v>4</v>
      </c>
      <c r="Q206" s="1">
        <v>8</v>
      </c>
      <c r="R206" s="1">
        <v>2</v>
      </c>
      <c r="S206" s="1">
        <v>22</v>
      </c>
      <c r="T206" s="1">
        <v>32</v>
      </c>
      <c r="U206" s="253">
        <v>4</v>
      </c>
      <c r="V206" s="1">
        <v>90</v>
      </c>
      <c r="W206" s="44">
        <v>160</v>
      </c>
      <c r="X206" s="40">
        <f>_xlfn.XLOOKUP("Ripening", CropPhenology_Mustard[Main_Stage], CropPhenology_Mustard[Start_GDD], "Not Found")</f>
        <v>1651</v>
      </c>
      <c r="Y206" s="4" cm="1">
        <f t="array" ref="Y206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Z206" s="3">
        <f>MIN(Y206/V206,MAX(X206/W206,R206,(X206/W206+Y206/V206)/2))</f>
        <v>15.437152777777779</v>
      </c>
      <c r="AA206" s="41">
        <f t="shared" ref="AA206:AA210" si="112">Y206/Z206</f>
        <v>119.84075215366965</v>
      </c>
      <c r="AB206" s="1">
        <v>7</v>
      </c>
      <c r="AC206" s="1">
        <v>8</v>
      </c>
      <c r="AD206" s="1">
        <v>3</v>
      </c>
      <c r="AE206" s="1">
        <v>85</v>
      </c>
      <c r="AF206" s="1">
        <v>5</v>
      </c>
      <c r="AG206" s="1">
        <v>5</v>
      </c>
      <c r="AH206" s="3">
        <f>IFERROR((Y206-X206)/AA206,0)</f>
        <v>1.6605369744744747</v>
      </c>
      <c r="AI206" s="1">
        <v>6</v>
      </c>
      <c r="AJ206" s="1">
        <v>7.5</v>
      </c>
      <c r="AK206" s="159">
        <v>4.5</v>
      </c>
      <c r="AL206" s="150">
        <v>0.06</v>
      </c>
      <c r="AM206" s="1">
        <v>300</v>
      </c>
      <c r="AN206" s="1">
        <v>450</v>
      </c>
      <c r="AO206" s="48">
        <v>2</v>
      </c>
      <c r="AP206" s="44">
        <v>50</v>
      </c>
      <c r="AQ206" s="42">
        <v>0.75</v>
      </c>
      <c r="AR206" s="1">
        <v>30</v>
      </c>
      <c r="AS206" s="1">
        <v>10</v>
      </c>
      <c r="AT206" s="1">
        <v>1</v>
      </c>
      <c r="AU206" s="4">
        <f>IFERROR(10000/(AS206*AR206),0)*AT206</f>
        <v>33.333333333333336</v>
      </c>
      <c r="AV206" s="3">
        <f>ROUND((P206/1000000)*AU206*10000,2)</f>
        <v>1.33</v>
      </c>
      <c r="AW206" s="1">
        <v>85</v>
      </c>
      <c r="AX206" s="3">
        <f>IFERROR((AU206*AW206/100),0)</f>
        <v>28.333333333333336</v>
      </c>
      <c r="AY206" s="1">
        <v>4</v>
      </c>
      <c r="AZ206" s="4">
        <f>IFERROR(AX206*AY206,0)</f>
        <v>113.33333333333334</v>
      </c>
      <c r="BA206" s="49">
        <v>0.9</v>
      </c>
      <c r="BB206" s="4">
        <f>IFERROR(AZ206*BA206,0)</f>
        <v>102.00000000000001</v>
      </c>
      <c r="BC206" s="50">
        <v>2.3503329864724237E-2</v>
      </c>
      <c r="BD206" s="69">
        <f>IFERROR(
  MAX(0.05, MIN(0.5, CropNorms_Mustard[[#This Row],[Leaf_Area_Per_Shoot_m2]] * CropNorms_Mustard[[#This Row],[Shoot_Bearing_m2]] )),
  0.2
)</f>
        <v>0.5</v>
      </c>
      <c r="BE206" s="4">
        <f>_xlfn.XLOOKUP(CropNorms_Mustard[[#This Row],[LAI_Start_BBCH]], CropPhenology_Mustard[Sub_Stage], CropPhenology_Mustard[Start_GDD], "Not Found")</f>
        <v>161</v>
      </c>
      <c r="BF206" s="3">
        <f>ROUND(CropNorms_Mustard[[#This Row],[Shoot_Bearing_m2]]*CropNorms_Mustard[[#This Row],[Leaf_Area_Per_Shoot_m2]],2)</f>
        <v>2.4</v>
      </c>
      <c r="BG206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H206" s="3">
        <f>IF(CropNorms_Mustard[[#This Row],[Max_LAI]]&gt;=1.2, 0.85*CropNorms_Mustard[[#This Row],[Max_LAI]], 1)</f>
        <v>2.04</v>
      </c>
      <c r="BI206" s="41">
        <f>_xlfn.XLOOKUP(CropNorms_Mustard[[#This Row],[LAI_End_BBCH]], CropPhenology_Mustard[Sub_Stage], CropPhenology_Mustard[End_GDD], "Not Found")</f>
        <v>1650</v>
      </c>
      <c r="BJ206" s="3" cm="1">
        <f t="array" ref="BJ206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K206" s="3" cm="1">
        <f t="array" ref="BK206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0.93429668560425883</v>
      </c>
      <c r="BL206" s="3" cm="1">
        <f t="array" ref="BL206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1.167560102769261</v>
      </c>
      <c r="BM206" s="3" cm="1">
        <f t="array" ref="BM206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6" s="42">
        <v>0.4</v>
      </c>
      <c r="BO206" s="43">
        <v>0.15</v>
      </c>
      <c r="BP206" s="42">
        <v>3.56</v>
      </c>
      <c r="BQ206" s="43" t="s">
        <v>1745</v>
      </c>
      <c r="BR206" s="3" t="str" cm="1">
        <f t="array" ref="BR206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06" s="3" t="str" cm="1">
        <f t="array" ref="BS206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06" s="3" t="str" cm="1">
        <f t="array" ref="BT206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206" s="3" t="str" cm="1">
        <f t="array" ref="BU206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206" s="48">
        <v>80</v>
      </c>
      <c r="BW206" s="1">
        <v>40</v>
      </c>
      <c r="BX206" s="44">
        <v>30</v>
      </c>
      <c r="BY206" s="51">
        <v>45931</v>
      </c>
      <c r="BZ206" s="5">
        <v>45961</v>
      </c>
      <c r="CA206" s="85">
        <v>0</v>
      </c>
      <c r="CB206" s="2">
        <v>0</v>
      </c>
      <c r="CC206" s="2">
        <v>1</v>
      </c>
      <c r="CD206" s="2">
        <v>1</v>
      </c>
      <c r="CE206" s="2">
        <v>1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P206" s="9"/>
      <c r="CQ206" s="10"/>
    </row>
    <row r="207" spans="2:95" x14ac:dyDescent="0.15">
      <c r="B207" s="103" t="s">
        <v>173</v>
      </c>
      <c r="C207" s="1" t="s">
        <v>177</v>
      </c>
      <c r="K207" s="1" t="s">
        <v>1769</v>
      </c>
      <c r="L207" s="1" t="s">
        <v>1750</v>
      </c>
      <c r="M207" s="1" t="s">
        <v>358</v>
      </c>
      <c r="N207" s="6">
        <v>10.5</v>
      </c>
      <c r="O207" s="1" t="s">
        <v>4</v>
      </c>
      <c r="P207" s="1">
        <v>4</v>
      </c>
      <c r="Q207" s="1">
        <v>8</v>
      </c>
      <c r="R207" s="1">
        <v>2</v>
      </c>
      <c r="S207" s="1">
        <v>22</v>
      </c>
      <c r="T207" s="1">
        <v>32</v>
      </c>
      <c r="U207" s="255">
        <v>4</v>
      </c>
      <c r="V207" s="1">
        <v>90</v>
      </c>
      <c r="W207" s="44">
        <v>160</v>
      </c>
      <c r="X207" s="40">
        <f>_xlfn.XLOOKUP("Ripening", CropPhenology_Mustard[Main_Stage], CropPhenology_Mustard[Start_GDD], "Not Found")</f>
        <v>1651</v>
      </c>
      <c r="Y207" s="4" cm="1">
        <f t="array" ref="Y207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Z207" s="3">
        <f>MIN(Y207/V207,MAX(X207/W207,R207,(X207/W207+Y207/V207)/2))</f>
        <v>15.437152777777779</v>
      </c>
      <c r="AA207" s="41">
        <f t="shared" si="112"/>
        <v>119.84075215366965</v>
      </c>
      <c r="AB207" s="1">
        <v>7</v>
      </c>
      <c r="AC207" s="1">
        <v>8</v>
      </c>
      <c r="AD207" s="1">
        <v>3</v>
      </c>
      <c r="AE207" s="1">
        <v>85</v>
      </c>
      <c r="AF207" s="1">
        <v>5</v>
      </c>
      <c r="AG207" s="1">
        <v>5</v>
      </c>
      <c r="AH207" s="3">
        <f>IFERROR((Y207-X207)/AA207,0)</f>
        <v>1.6605369744744747</v>
      </c>
      <c r="AI207" s="1">
        <v>6</v>
      </c>
      <c r="AJ207" s="1">
        <v>7.5</v>
      </c>
      <c r="AK207" s="162">
        <v>4.5</v>
      </c>
      <c r="AL207" s="50">
        <v>0.06</v>
      </c>
      <c r="AM207" s="1">
        <v>300</v>
      </c>
      <c r="AN207" s="1">
        <v>450</v>
      </c>
      <c r="AO207" s="48">
        <v>2</v>
      </c>
      <c r="AP207" s="44">
        <v>50</v>
      </c>
      <c r="AQ207" s="42">
        <v>0.78</v>
      </c>
      <c r="AR207" s="1">
        <v>30</v>
      </c>
      <c r="AS207" s="1">
        <v>10</v>
      </c>
      <c r="AT207" s="1">
        <v>1</v>
      </c>
      <c r="AU207" s="4">
        <f>IFERROR(10000/(AS207*AR207),0)*AT207</f>
        <v>33.333333333333336</v>
      </c>
      <c r="AV207" s="3">
        <f>ROUND((P207/1000000)*AU207*10000,2)</f>
        <v>1.33</v>
      </c>
      <c r="AW207" s="1">
        <v>85</v>
      </c>
      <c r="AX207" s="3">
        <f>IFERROR((AU207*AW207/100),0)</f>
        <v>28.333333333333336</v>
      </c>
      <c r="AY207" s="1">
        <v>4</v>
      </c>
      <c r="AZ207" s="4">
        <f>IFERROR(AX207*AY207,0)</f>
        <v>113.33333333333334</v>
      </c>
      <c r="BA207" s="6">
        <v>0.9</v>
      </c>
      <c r="BB207" s="4">
        <f>IFERROR(AZ207*BA207,0)</f>
        <v>102.00000000000001</v>
      </c>
      <c r="BC207" s="50">
        <v>2.3503329864724237E-2</v>
      </c>
      <c r="BD207" s="69">
        <f>IFERROR(
  MAX(0.05, MIN(0.5, CropNorms_Mustard[[#This Row],[Leaf_Area_Per_Shoot_m2]] * CropNorms_Mustard[[#This Row],[Shoot_Bearing_m2]] )),
  0.2
)</f>
        <v>0.5</v>
      </c>
      <c r="BE207" s="4">
        <f>_xlfn.XLOOKUP(CropNorms_Mustard[[#This Row],[LAI_Start_BBCH]], CropPhenology_Mustard[Sub_Stage], CropPhenology_Mustard[Start_GDD], "Not Found")</f>
        <v>161</v>
      </c>
      <c r="BF207" s="3">
        <f>ROUND(CropNorms_Mustard[[#This Row],[Shoot_Bearing_m2]]*CropNorms_Mustard[[#This Row],[Leaf_Area_Per_Shoot_m2]],2)</f>
        <v>2.4</v>
      </c>
      <c r="BG207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H207" s="3">
        <f>IF(CropNorms_Mustard[[#This Row],[Max_LAI]]&gt;=1.2, 0.85*CropNorms_Mustard[[#This Row],[Max_LAI]], 1)</f>
        <v>2.04</v>
      </c>
      <c r="BI207" s="41">
        <f>_xlfn.XLOOKUP(CropNorms_Mustard[[#This Row],[LAI_End_BBCH]], CropPhenology_Mustard[Sub_Stage], CropPhenology_Mustard[End_GDD], "Not Found")</f>
        <v>1650</v>
      </c>
      <c r="BJ207" s="3" cm="1">
        <f t="array" ref="BJ207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K207" s="3" cm="1">
        <f t="array" ref="BK207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0.93429668560425883</v>
      </c>
      <c r="BL207" s="3" cm="1">
        <f t="array" ref="BL207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1.167560102769261</v>
      </c>
      <c r="BM207" s="3" cm="1">
        <f t="array" ref="BM207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7" s="42">
        <v>0.4</v>
      </c>
      <c r="BO207" s="43">
        <v>0.15</v>
      </c>
      <c r="BP207" s="42">
        <v>3.56</v>
      </c>
      <c r="BQ207" s="43" t="s">
        <v>1745</v>
      </c>
      <c r="BR207" s="3" t="str" cm="1">
        <f t="array" ref="BR207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07" s="3" t="str" cm="1">
        <f t="array" ref="BS207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07" s="3" t="str" cm="1">
        <f t="array" ref="BT207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207" s="3" t="str" cm="1">
        <f t="array" ref="BU207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207" s="48">
        <v>80</v>
      </c>
      <c r="BW207" s="1">
        <v>40</v>
      </c>
      <c r="BX207" s="44">
        <v>30</v>
      </c>
      <c r="BY207" s="51">
        <v>45931</v>
      </c>
      <c r="BZ207" s="5">
        <v>45961</v>
      </c>
      <c r="CA207" s="48">
        <v>0</v>
      </c>
      <c r="CB207" s="1">
        <v>0</v>
      </c>
      <c r="CC207" s="1">
        <v>1</v>
      </c>
      <c r="CD207" s="1">
        <v>1</v>
      </c>
      <c r="CE207" s="1">
        <v>1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P207" s="9"/>
      <c r="CQ207" s="10"/>
    </row>
    <row r="208" spans="2:95" x14ac:dyDescent="0.15">
      <c r="B208" s="103" t="s">
        <v>173</v>
      </c>
      <c r="C208" s="1" t="s">
        <v>178</v>
      </c>
      <c r="K208" s="1" t="s">
        <v>1769</v>
      </c>
      <c r="L208" s="1" t="s">
        <v>1750</v>
      </c>
      <c r="M208" s="1" t="s">
        <v>358</v>
      </c>
      <c r="N208" s="6">
        <v>10.5</v>
      </c>
      <c r="O208" s="1" t="s">
        <v>4</v>
      </c>
      <c r="P208" s="1">
        <v>4</v>
      </c>
      <c r="Q208" s="1">
        <v>8</v>
      </c>
      <c r="R208" s="1">
        <v>2</v>
      </c>
      <c r="S208" s="1">
        <v>22</v>
      </c>
      <c r="T208" s="1">
        <v>32</v>
      </c>
      <c r="U208" s="255">
        <v>4</v>
      </c>
      <c r="V208" s="1">
        <v>88</v>
      </c>
      <c r="W208" s="44">
        <v>99</v>
      </c>
      <c r="X208" s="40">
        <f>_xlfn.XLOOKUP("Ripening", CropPhenology_Mustard[Main_Stage], CropPhenology_Mustard[Start_GDD], "Not Found")</f>
        <v>1651</v>
      </c>
      <c r="Y208" s="4" cm="1">
        <f t="array" ref="Y208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Z208" s="3">
        <f>MIN(Y208/V208,MAX(X208/W208,R208,(X208/W208+Y208/V208)/2))</f>
        <v>18.849747474747474</v>
      </c>
      <c r="AA208" s="41">
        <f t="shared" si="112"/>
        <v>98.144550874137593</v>
      </c>
      <c r="AB208" s="1">
        <v>7</v>
      </c>
      <c r="AC208" s="1">
        <v>8</v>
      </c>
      <c r="AD208" s="1">
        <v>3</v>
      </c>
      <c r="AE208" s="1">
        <v>85</v>
      </c>
      <c r="AF208" s="1">
        <v>5</v>
      </c>
      <c r="AG208" s="1">
        <v>5</v>
      </c>
      <c r="AH208" s="3">
        <f>IFERROR((Y208-X208)/AA208,0)</f>
        <v>2.0276214851214851</v>
      </c>
      <c r="AI208" s="1">
        <v>6</v>
      </c>
      <c r="AJ208" s="1">
        <v>7.5</v>
      </c>
      <c r="AK208" s="162">
        <v>4.5</v>
      </c>
      <c r="AL208" s="50">
        <v>0.06</v>
      </c>
      <c r="AM208" s="1">
        <v>300</v>
      </c>
      <c r="AN208" s="1">
        <v>450</v>
      </c>
      <c r="AO208" s="48">
        <v>2</v>
      </c>
      <c r="AP208" s="44">
        <v>50</v>
      </c>
      <c r="AQ208" s="42">
        <v>0.8</v>
      </c>
      <c r="AR208" s="1">
        <v>30</v>
      </c>
      <c r="AS208" s="1">
        <v>10</v>
      </c>
      <c r="AT208" s="1">
        <v>1</v>
      </c>
      <c r="AU208" s="4">
        <f>IFERROR(10000/(AS208*AR208),0)*AT208</f>
        <v>33.333333333333336</v>
      </c>
      <c r="AV208" s="3">
        <f>ROUND((P208/1000000)*AU208*10000,2)</f>
        <v>1.33</v>
      </c>
      <c r="AW208" s="1">
        <v>85</v>
      </c>
      <c r="AX208" s="3">
        <f>IFERROR((AU208*AW208/100),0)</f>
        <v>28.333333333333336</v>
      </c>
      <c r="AY208" s="1">
        <v>4</v>
      </c>
      <c r="AZ208" s="4">
        <f>IFERROR(AX208*AY208,0)</f>
        <v>113.33333333333334</v>
      </c>
      <c r="BA208" s="6">
        <v>0.9</v>
      </c>
      <c r="BB208" s="4">
        <f>IFERROR(AZ208*BA208,0)</f>
        <v>102.00000000000001</v>
      </c>
      <c r="BC208" s="50">
        <v>2.3503329864724237E-2</v>
      </c>
      <c r="BD208" s="69">
        <f>IFERROR(
  MAX(0.05, MIN(0.5, CropNorms_Mustard[[#This Row],[Leaf_Area_Per_Shoot_m2]] * CropNorms_Mustard[[#This Row],[Shoot_Bearing_m2]] )),
  0.2
)</f>
        <v>0.5</v>
      </c>
      <c r="BE208" s="4">
        <f>_xlfn.XLOOKUP(CropNorms_Mustard[[#This Row],[LAI_Start_BBCH]], CropPhenology_Mustard[Sub_Stage], CropPhenology_Mustard[Start_GDD], "Not Found")</f>
        <v>161</v>
      </c>
      <c r="BF208" s="3">
        <f>ROUND(CropNorms_Mustard[[#This Row],[Shoot_Bearing_m2]]*CropNorms_Mustard[[#This Row],[Leaf_Area_Per_Shoot_m2]],2)</f>
        <v>2.4</v>
      </c>
      <c r="BG208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H208" s="3">
        <f>IF(CropNorms_Mustard[[#This Row],[Max_LAI]]&gt;=1.2, 0.85*CropNorms_Mustard[[#This Row],[Max_LAI]], 1)</f>
        <v>2.04</v>
      </c>
      <c r="BI208" s="41">
        <f>_xlfn.XLOOKUP(CropNorms_Mustard[[#This Row],[LAI_End_BBCH]], CropPhenology_Mustard[Sub_Stage], CropPhenology_Mustard[End_GDD], "Not Found")</f>
        <v>1650</v>
      </c>
      <c r="BJ208" s="3" cm="1">
        <f t="array" ref="BJ208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K208" s="3" cm="1">
        <f t="array" ref="BK208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0.93429668560425883</v>
      </c>
      <c r="BL208" s="3" cm="1">
        <f t="array" ref="BL208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1.167560102769261</v>
      </c>
      <c r="BM208" s="3" cm="1">
        <f t="array" ref="BM208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8" s="42">
        <v>0.4</v>
      </c>
      <c r="BO208" s="43">
        <v>0.15</v>
      </c>
      <c r="BP208" s="42">
        <v>3.56</v>
      </c>
      <c r="BQ208" s="43" t="s">
        <v>1745</v>
      </c>
      <c r="BR208" s="3" t="str" cm="1">
        <f t="array" ref="BR208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08" s="3" t="str" cm="1">
        <f t="array" ref="BS208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08" s="3" t="str" cm="1">
        <f t="array" ref="BT208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208" s="3" t="str" cm="1">
        <f t="array" ref="BU208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208" s="48">
        <v>80</v>
      </c>
      <c r="BW208" s="1">
        <v>40</v>
      </c>
      <c r="BX208" s="44">
        <v>30</v>
      </c>
      <c r="BY208" s="51">
        <v>45931</v>
      </c>
      <c r="BZ208" s="5">
        <v>45961</v>
      </c>
      <c r="CA208" s="48">
        <v>0</v>
      </c>
      <c r="CB208" s="1">
        <v>0</v>
      </c>
      <c r="CC208" s="1">
        <v>1</v>
      </c>
      <c r="CD208" s="1">
        <v>1</v>
      </c>
      <c r="CE208" s="1">
        <v>1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P208" s="9"/>
      <c r="CQ208" s="10"/>
    </row>
    <row r="209" spans="2:95" x14ac:dyDescent="0.15">
      <c r="B209" s="103" t="s">
        <v>173</v>
      </c>
      <c r="C209" s="1" t="s">
        <v>174</v>
      </c>
      <c r="K209" s="1" t="s">
        <v>1769</v>
      </c>
      <c r="L209" s="1" t="s">
        <v>1750</v>
      </c>
      <c r="M209" s="1" t="s">
        <v>358</v>
      </c>
      <c r="N209" s="6">
        <v>10.5</v>
      </c>
      <c r="O209" s="1" t="s">
        <v>2</v>
      </c>
      <c r="P209" s="1">
        <v>4</v>
      </c>
      <c r="Q209" s="1">
        <v>8</v>
      </c>
      <c r="R209" s="1">
        <v>2</v>
      </c>
      <c r="S209" s="1">
        <v>22</v>
      </c>
      <c r="T209" s="1">
        <v>32</v>
      </c>
      <c r="U209" s="255">
        <v>4</v>
      </c>
      <c r="V209" s="1">
        <v>90</v>
      </c>
      <c r="W209" s="44">
        <v>160</v>
      </c>
      <c r="X209" s="40">
        <f>_xlfn.XLOOKUP("Ripening", CropPhenology_Mustard[Main_Stage], CropPhenology_Mustard[Start_GDD], "Not Found")</f>
        <v>1651</v>
      </c>
      <c r="Y209" s="4" cm="1">
        <f t="array" ref="Y209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Z209" s="3">
        <f>MIN(Y209/V209,MAX(X209/W209,R209,(X209/W209+Y209/V209)/2))</f>
        <v>15.437152777777779</v>
      </c>
      <c r="AA209" s="41">
        <f t="shared" si="112"/>
        <v>119.84075215366965</v>
      </c>
      <c r="AB209" s="1">
        <v>7</v>
      </c>
      <c r="AC209" s="1">
        <v>8</v>
      </c>
      <c r="AD209" s="1">
        <v>3</v>
      </c>
      <c r="AE209" s="1">
        <v>85</v>
      </c>
      <c r="AF209" s="1">
        <v>5</v>
      </c>
      <c r="AG209" s="1">
        <v>5</v>
      </c>
      <c r="AH209" s="3">
        <f>IFERROR((Y209-X209)/AA209,0)</f>
        <v>1.6605369744744747</v>
      </c>
      <c r="AI209" s="1">
        <v>6</v>
      </c>
      <c r="AJ209" s="1">
        <v>7.5</v>
      </c>
      <c r="AK209" s="162">
        <v>4.5</v>
      </c>
      <c r="AL209" s="50">
        <v>0.06</v>
      </c>
      <c r="AM209" s="1">
        <v>200</v>
      </c>
      <c r="AN209" s="1">
        <v>350</v>
      </c>
      <c r="AO209" s="48">
        <v>2</v>
      </c>
      <c r="AP209" s="44">
        <v>50</v>
      </c>
      <c r="AQ209" s="42">
        <v>0.7</v>
      </c>
      <c r="AR209" s="1">
        <v>30</v>
      </c>
      <c r="AS209" s="1">
        <v>10</v>
      </c>
      <c r="AT209" s="1">
        <v>1</v>
      </c>
      <c r="AU209" s="4">
        <f>IFERROR(10000/(AS209*AR209),0)*AT209</f>
        <v>33.333333333333336</v>
      </c>
      <c r="AV209" s="3">
        <f>ROUND((P209/1000000)*AU209*10000,2)</f>
        <v>1.33</v>
      </c>
      <c r="AW209" s="1">
        <v>85</v>
      </c>
      <c r="AX209" s="3">
        <f>IFERROR((AU209*AW209/100),0)</f>
        <v>28.333333333333336</v>
      </c>
      <c r="AY209" s="1">
        <v>4</v>
      </c>
      <c r="AZ209" s="4">
        <f>IFERROR(AX209*AY209,0)</f>
        <v>113.33333333333334</v>
      </c>
      <c r="BA209" s="6">
        <v>0.9</v>
      </c>
      <c r="BB209" s="4">
        <f>IFERROR(AZ209*BA209,0)</f>
        <v>102.00000000000001</v>
      </c>
      <c r="BC209" s="50">
        <v>1.7159016393442625E-2</v>
      </c>
      <c r="BD209" s="69">
        <f>IFERROR(
  MAX(0.05, MIN(0.5, CropNorms_Mustard[[#This Row],[Leaf_Area_Per_Shoot_m2]] * CropNorms_Mustard[[#This Row],[Shoot_Bearing_m2]] )),
  0.2
)</f>
        <v>0.5</v>
      </c>
      <c r="BE209" s="4">
        <f>_xlfn.XLOOKUP(CropNorms_Mustard[[#This Row],[LAI_Start_BBCH]], CropPhenology_Mustard[Sub_Stage], CropPhenology_Mustard[Start_GDD], "Not Found")</f>
        <v>161</v>
      </c>
      <c r="BF209" s="3">
        <f>ROUND(CropNorms_Mustard[[#This Row],[Shoot_Bearing_m2]]*CropNorms_Mustard[[#This Row],[Leaf_Area_Per_Shoot_m2]],2)</f>
        <v>1.75</v>
      </c>
      <c r="BG209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H209" s="3">
        <f>IF(CropNorms_Mustard[[#This Row],[Max_LAI]]&gt;=1.2, 0.85*CropNorms_Mustard[[#This Row],[Max_LAI]], 1)</f>
        <v>1.4875</v>
      </c>
      <c r="BI209" s="41">
        <f>_xlfn.XLOOKUP(CropNorms_Mustard[[#This Row],[LAI_End_BBCH]], CropPhenology_Mustard[Sub_Stage], CropPhenology_Mustard[End_GDD], "Not Found")</f>
        <v>1650</v>
      </c>
      <c r="BJ209" s="3" cm="1">
        <f t="array" ref="BJ209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1.9708332276526295</v>
      </c>
      <c r="BK209" s="3" cm="1">
        <f t="array" ref="BK209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0.93473035714163555</v>
      </c>
      <c r="BL209" s="3" cm="1">
        <f t="array" ref="BL209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0.83761228176315794</v>
      </c>
      <c r="BM209" s="3" cm="1">
        <f t="array" ref="BM209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09" s="42">
        <v>0.37</v>
      </c>
      <c r="BO209" s="43">
        <v>0.15</v>
      </c>
      <c r="BP209" s="42">
        <v>2.14</v>
      </c>
      <c r="BQ209" s="43" t="s">
        <v>1745</v>
      </c>
      <c r="BR209" s="3" t="str" cm="1">
        <f t="array" ref="BR209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09" s="3" t="str" cm="1">
        <f t="array" ref="BS209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09" s="3" t="str" cm="1">
        <f t="array" ref="BT209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209" s="3" t="str" cm="1">
        <f t="array" ref="BU209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209" s="48">
        <v>80</v>
      </c>
      <c r="BW209" s="1">
        <v>40</v>
      </c>
      <c r="BX209" s="44">
        <v>30</v>
      </c>
      <c r="BY209" s="51">
        <v>45931</v>
      </c>
      <c r="BZ209" s="5">
        <v>45961</v>
      </c>
      <c r="CA209" s="48">
        <v>0</v>
      </c>
      <c r="CB209" s="1">
        <v>0</v>
      </c>
      <c r="CC209" s="1">
        <v>1</v>
      </c>
      <c r="CD209" s="1">
        <v>1</v>
      </c>
      <c r="CE209" s="1">
        <v>1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P209" s="9"/>
      <c r="CQ209" s="10"/>
    </row>
    <row r="210" spans="2:95" ht="11.25" thickBot="1" x14ac:dyDescent="0.2">
      <c r="B210" s="36" t="s">
        <v>173</v>
      </c>
      <c r="C210" s="1" t="s">
        <v>175</v>
      </c>
      <c r="K210" s="1" t="s">
        <v>1769</v>
      </c>
      <c r="L210" s="1" t="s">
        <v>1750</v>
      </c>
      <c r="M210" s="1" t="s">
        <v>358</v>
      </c>
      <c r="N210" s="6">
        <v>10.5</v>
      </c>
      <c r="O210" s="1" t="s">
        <v>2</v>
      </c>
      <c r="P210" s="1">
        <v>4</v>
      </c>
      <c r="Q210" s="1">
        <v>8</v>
      </c>
      <c r="R210" s="1">
        <v>2</v>
      </c>
      <c r="S210" s="1">
        <v>22</v>
      </c>
      <c r="T210" s="1">
        <v>32</v>
      </c>
      <c r="U210" s="256">
        <v>4</v>
      </c>
      <c r="V210" s="1">
        <v>90</v>
      </c>
      <c r="W210" s="44">
        <v>160</v>
      </c>
      <c r="X210" s="40">
        <f>_xlfn.XLOOKUP("Ripening", CropPhenology_Mustard[Main_Stage], CropPhenology_Mustard[Start_GDD], "Not Found")</f>
        <v>1651</v>
      </c>
      <c r="Y210" s="4" cm="1">
        <f t="array" ref="Y210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Z210" s="3">
        <f>MIN(Y210/V210,MAX(X210/W210,R210,(X210/W210+Y210/V210)/2))</f>
        <v>15.437152777777779</v>
      </c>
      <c r="AA210" s="41">
        <f t="shared" si="112"/>
        <v>119.84075215366965</v>
      </c>
      <c r="AB210" s="1">
        <v>7</v>
      </c>
      <c r="AC210" s="1">
        <v>8</v>
      </c>
      <c r="AD210" s="1">
        <v>3</v>
      </c>
      <c r="AE210" s="1">
        <v>85</v>
      </c>
      <c r="AF210" s="1">
        <v>5</v>
      </c>
      <c r="AG210" s="1">
        <v>5</v>
      </c>
      <c r="AH210" s="3">
        <f>IFERROR((Y210-X210)/AA210,0)</f>
        <v>1.6605369744744747</v>
      </c>
      <c r="AI210" s="1">
        <v>6</v>
      </c>
      <c r="AJ210" s="1">
        <v>7.5</v>
      </c>
      <c r="AK210" s="163">
        <v>4.5</v>
      </c>
      <c r="AL210" s="164">
        <v>0.06</v>
      </c>
      <c r="AM210" s="1">
        <v>200</v>
      </c>
      <c r="AN210" s="1">
        <v>350</v>
      </c>
      <c r="AO210" s="48">
        <v>2</v>
      </c>
      <c r="AP210" s="44">
        <v>50</v>
      </c>
      <c r="AQ210" s="42">
        <v>0.72</v>
      </c>
      <c r="AR210" s="1">
        <v>30</v>
      </c>
      <c r="AS210" s="1">
        <v>10</v>
      </c>
      <c r="AT210" s="1">
        <v>1</v>
      </c>
      <c r="AU210" s="4">
        <f>IFERROR(10000/(AS210*AR210),0)*AT210</f>
        <v>33.333333333333336</v>
      </c>
      <c r="AV210" s="3">
        <f>ROUND((P210/1000000)*AU210*10000,2)</f>
        <v>1.33</v>
      </c>
      <c r="AW210" s="1">
        <v>85</v>
      </c>
      <c r="AX210" s="3">
        <f>IFERROR((AU210*AW210/100),0)</f>
        <v>28.333333333333336</v>
      </c>
      <c r="AY210" s="1">
        <v>4</v>
      </c>
      <c r="AZ210" s="4">
        <f>IFERROR(AX210*AY210,0)</f>
        <v>113.33333333333334</v>
      </c>
      <c r="BA210" s="49">
        <v>0.9</v>
      </c>
      <c r="BB210" s="4">
        <f>IFERROR(AZ210*BA210,0)</f>
        <v>102.00000000000001</v>
      </c>
      <c r="BC210" s="50">
        <v>1.7159016393442625E-2</v>
      </c>
      <c r="BD210" s="69">
        <f>IFERROR(
  MAX(0.05, MIN(0.5, CropNorms_Mustard[[#This Row],[Leaf_Area_Per_Shoot_m2]] * CropNorms_Mustard[[#This Row],[Shoot_Bearing_m2]] )),
  0.2
)</f>
        <v>0.5</v>
      </c>
      <c r="BE210" s="4">
        <f>_xlfn.XLOOKUP(CropNorms_Mustard[[#This Row],[LAI_Start_BBCH]], CropPhenology_Mustard[Sub_Stage], CropPhenology_Mustard[Start_GDD], "Not Found")</f>
        <v>161</v>
      </c>
      <c r="BF210" s="3">
        <f>ROUND(CropNorms_Mustard[[#This Row],[Shoot_Bearing_m2]]*CropNorms_Mustard[[#This Row],[Leaf_Area_Per_Shoot_m2]],2)</f>
        <v>1.75</v>
      </c>
      <c r="BG210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H210" s="3">
        <f>IF(CropNorms_Mustard[[#This Row],[Max_LAI]]&gt;=1.2, 0.85*CropNorms_Mustard[[#This Row],[Max_LAI]], 1)</f>
        <v>1.4875</v>
      </c>
      <c r="BI210" s="41">
        <f>_xlfn.XLOOKUP(CropNorms_Mustard[[#This Row],[LAI_End_BBCH]], CropPhenology_Mustard[Sub_Stage], CropPhenology_Mustard[End_GDD], "Not Found")</f>
        <v>1650</v>
      </c>
      <c r="BJ210" s="3" cm="1">
        <f t="array" ref="BJ210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1.9708332276526295</v>
      </c>
      <c r="BK210" s="3" cm="1">
        <f t="array" ref="BK210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0.93473035714163555</v>
      </c>
      <c r="BL210" s="3" cm="1">
        <f t="array" ref="BL210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0.83761228176315794</v>
      </c>
      <c r="BM210" s="3" cm="1">
        <f t="array" ref="BM210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0" s="42">
        <v>0.37</v>
      </c>
      <c r="BO210" s="43">
        <v>0.15</v>
      </c>
      <c r="BP210" s="42">
        <v>2.14</v>
      </c>
      <c r="BQ210" s="43" t="s">
        <v>1745</v>
      </c>
      <c r="BR210" s="3" t="str" cm="1">
        <f t="array" ref="BR210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10" s="3" t="str" cm="1">
        <f t="array" ref="BS210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10" s="3" t="str" cm="1">
        <f t="array" ref="BT210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210" s="3" t="str" cm="1">
        <f t="array" ref="BU210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210" s="48">
        <v>80</v>
      </c>
      <c r="BW210" s="1">
        <v>40</v>
      </c>
      <c r="BX210" s="44">
        <v>30</v>
      </c>
      <c r="BY210" s="51">
        <v>45931</v>
      </c>
      <c r="BZ210" s="5">
        <v>45961</v>
      </c>
      <c r="CA210" s="85">
        <v>0</v>
      </c>
      <c r="CB210" s="2">
        <v>0</v>
      </c>
      <c r="CC210" s="2">
        <v>1</v>
      </c>
      <c r="CD210" s="2">
        <v>1</v>
      </c>
      <c r="CE210" s="2">
        <v>1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P210" s="9"/>
      <c r="CQ210" s="10"/>
    </row>
    <row r="211" spans="2:95" ht="11.25" thickBot="1" x14ac:dyDescent="0.2">
      <c r="Y211" s="3"/>
      <c r="Z211" s="4"/>
      <c r="AG211" s="3"/>
      <c r="AR211" s="4"/>
      <c r="AS211" s="3"/>
      <c r="AU211" s="3"/>
      <c r="AW211" s="4"/>
      <c r="AX211" s="49"/>
      <c r="AY211" s="4"/>
      <c r="BV211" s="51"/>
      <c r="BW211" s="51"/>
      <c r="CP211" s="9"/>
      <c r="CQ211" s="10"/>
    </row>
    <row r="212" spans="2:95" ht="11.25" thickBot="1" x14ac:dyDescent="0.2">
      <c r="B212" s="54" t="s">
        <v>1753</v>
      </c>
      <c r="C212" s="53" t="s">
        <v>1754</v>
      </c>
      <c r="D212" s="53" t="s">
        <v>1804</v>
      </c>
      <c r="E212" s="53" t="s">
        <v>1805</v>
      </c>
      <c r="F212" s="53" t="s">
        <v>1806</v>
      </c>
      <c r="G212" s="53" t="s">
        <v>1807</v>
      </c>
      <c r="H212" s="53" t="s">
        <v>1808</v>
      </c>
      <c r="I212" s="53" t="s">
        <v>1809</v>
      </c>
      <c r="J212" s="53" t="s">
        <v>1810</v>
      </c>
      <c r="K212" s="53" t="s">
        <v>1747</v>
      </c>
      <c r="L212" s="54" t="s">
        <v>1749</v>
      </c>
      <c r="M212" s="53" t="s">
        <v>357</v>
      </c>
      <c r="N212" s="55" t="s">
        <v>692</v>
      </c>
      <c r="O212" s="53" t="s">
        <v>325</v>
      </c>
      <c r="P212" s="53" t="s">
        <v>356</v>
      </c>
      <c r="Q212" s="53" t="s">
        <v>326</v>
      </c>
      <c r="R212" s="53" t="s">
        <v>327</v>
      </c>
      <c r="S212" s="53" t="s">
        <v>328</v>
      </c>
      <c r="T212" s="53" t="s">
        <v>329</v>
      </c>
      <c r="U212" s="250" t="s">
        <v>2349</v>
      </c>
      <c r="V212" s="53" t="s">
        <v>330</v>
      </c>
      <c r="W212" s="53" t="s">
        <v>331</v>
      </c>
      <c r="X212" s="56" t="s">
        <v>354</v>
      </c>
      <c r="Y212" s="57" t="s">
        <v>355</v>
      </c>
      <c r="Z212" s="58" t="s">
        <v>413</v>
      </c>
      <c r="AA212" s="59" t="s">
        <v>583</v>
      </c>
      <c r="AB212" s="53" t="s">
        <v>324</v>
      </c>
      <c r="AC212" s="53" t="s">
        <v>332</v>
      </c>
      <c r="AD212" s="53" t="s">
        <v>333</v>
      </c>
      <c r="AE212" s="53" t="s">
        <v>334</v>
      </c>
      <c r="AF212" s="53" t="s">
        <v>335</v>
      </c>
      <c r="AG212" s="53" t="s">
        <v>336</v>
      </c>
      <c r="AH212" s="60" t="s">
        <v>337</v>
      </c>
      <c r="AI212" s="53" t="s">
        <v>338</v>
      </c>
      <c r="AJ212" s="53" t="s">
        <v>339</v>
      </c>
      <c r="AK212" s="157" t="s">
        <v>2346</v>
      </c>
      <c r="AL212" s="158" t="s">
        <v>2347</v>
      </c>
      <c r="AM212" s="53" t="s">
        <v>340</v>
      </c>
      <c r="AN212" s="53" t="s">
        <v>341</v>
      </c>
      <c r="AO212" s="61" t="s">
        <v>342</v>
      </c>
      <c r="AP212" s="62" t="s">
        <v>343</v>
      </c>
      <c r="AQ212" s="55" t="s">
        <v>344</v>
      </c>
      <c r="AR212" s="53" t="s">
        <v>345</v>
      </c>
      <c r="AS212" s="53" t="s">
        <v>346</v>
      </c>
      <c r="AT212" s="53" t="s">
        <v>364</v>
      </c>
      <c r="AU212" s="60" t="s">
        <v>347</v>
      </c>
      <c r="AV212" s="58" t="s">
        <v>363</v>
      </c>
      <c r="AW212" s="53" t="s">
        <v>348</v>
      </c>
      <c r="AX212" s="58" t="s">
        <v>349</v>
      </c>
      <c r="AY212" s="53" t="s">
        <v>366</v>
      </c>
      <c r="AZ212" s="60" t="s">
        <v>350</v>
      </c>
      <c r="BA212" s="53" t="s">
        <v>365</v>
      </c>
      <c r="BB212" s="60" t="s">
        <v>1827</v>
      </c>
      <c r="BC212" s="63" t="s">
        <v>351</v>
      </c>
      <c r="BD212" s="71" t="s">
        <v>1811</v>
      </c>
      <c r="BE212" s="57" t="s">
        <v>352</v>
      </c>
      <c r="BF212" s="58" t="s">
        <v>1812</v>
      </c>
      <c r="BG212" s="57" t="s">
        <v>1752</v>
      </c>
      <c r="BH212" s="60" t="s">
        <v>1813</v>
      </c>
      <c r="BI212" s="59" t="s">
        <v>353</v>
      </c>
      <c r="BJ212" s="71" t="s">
        <v>1828</v>
      </c>
      <c r="BK212" s="58" t="s">
        <v>1829</v>
      </c>
      <c r="BL212" s="58" t="s">
        <v>1830</v>
      </c>
      <c r="BM212" s="72" t="s">
        <v>1831</v>
      </c>
      <c r="BN212" s="64" t="s">
        <v>1154</v>
      </c>
      <c r="BO212" s="65" t="s">
        <v>1742</v>
      </c>
      <c r="BP212" s="64" t="s">
        <v>1155</v>
      </c>
      <c r="BQ212" s="65" t="s">
        <v>1755</v>
      </c>
      <c r="BR212" s="58" t="s">
        <v>367</v>
      </c>
      <c r="BS212" s="58" t="s">
        <v>1751</v>
      </c>
      <c r="BT212" s="58" t="s">
        <v>368</v>
      </c>
      <c r="BU212" s="60" t="s">
        <v>1814</v>
      </c>
      <c r="BV212" s="61" t="s">
        <v>369</v>
      </c>
      <c r="BW212" s="53" t="s">
        <v>370</v>
      </c>
      <c r="BX212" s="62" t="s">
        <v>371</v>
      </c>
      <c r="BY212" s="53" t="s">
        <v>359</v>
      </c>
      <c r="BZ212" s="53" t="s">
        <v>361</v>
      </c>
      <c r="CA212" s="61" t="s">
        <v>1815</v>
      </c>
      <c r="CB212" s="53" t="s">
        <v>1816</v>
      </c>
      <c r="CC212" s="53" t="s">
        <v>1817</v>
      </c>
      <c r="CD212" s="53" t="s">
        <v>1818</v>
      </c>
      <c r="CE212" s="53" t="s">
        <v>1819</v>
      </c>
      <c r="CF212" s="53" t="s">
        <v>1820</v>
      </c>
      <c r="CG212" s="53" t="s">
        <v>1821</v>
      </c>
      <c r="CH212" s="53" t="s">
        <v>1822</v>
      </c>
      <c r="CI212" s="53" t="s">
        <v>1823</v>
      </c>
      <c r="CJ212" s="53" t="s">
        <v>1824</v>
      </c>
      <c r="CK212" s="53" t="s">
        <v>1825</v>
      </c>
      <c r="CL212" s="53" t="s">
        <v>1826</v>
      </c>
      <c r="CP212" s="9"/>
      <c r="CQ212" s="10"/>
    </row>
    <row r="213" spans="2:95" x14ac:dyDescent="0.15">
      <c r="B213" s="36" t="s">
        <v>179</v>
      </c>
      <c r="C213" s="1" t="s">
        <v>180</v>
      </c>
      <c r="K213" s="1" t="s">
        <v>1748</v>
      </c>
      <c r="L213" s="1" t="s">
        <v>1750</v>
      </c>
      <c r="M213" s="1" t="s">
        <v>358</v>
      </c>
      <c r="N213" s="6">
        <v>10.5</v>
      </c>
      <c r="O213" s="1" t="s">
        <v>4</v>
      </c>
      <c r="P213" s="1">
        <v>30</v>
      </c>
      <c r="Q213" s="1">
        <v>5</v>
      </c>
      <c r="R213" s="1">
        <v>2</v>
      </c>
      <c r="S213" s="1">
        <v>20</v>
      </c>
      <c r="T213" s="1">
        <v>30</v>
      </c>
      <c r="U213" s="253">
        <v>5</v>
      </c>
      <c r="V213" s="1">
        <v>90</v>
      </c>
      <c r="W213" s="44">
        <v>130</v>
      </c>
      <c r="X213" s="40">
        <f>_xlfn.XLOOKUP("Ripening", CropPhenology_Oat[Main_Stage], CropPhenology_Oat[Start_GDD], "Not Found")</f>
        <v>1841</v>
      </c>
      <c r="Y213" s="4" cm="1">
        <f t="array" ref="Y213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3" s="3">
        <f t="shared" ref="Z213:Z222" si="113">MIN(Y213/V213,MAX(X213/W213,R213,(X213/W213+Y213/V213)/2))</f>
        <v>18.191880341880342</v>
      </c>
      <c r="AA213" s="41">
        <f t="shared" ref="AA213:AA222" si="114">Y213/Z213</f>
        <v>109.9391576029505</v>
      </c>
      <c r="AB213" s="1">
        <v>8</v>
      </c>
      <c r="AC213" s="1">
        <v>10</v>
      </c>
      <c r="AD213" s="1">
        <v>3</v>
      </c>
      <c r="AE213" s="1">
        <v>85</v>
      </c>
      <c r="AF213" s="1">
        <v>5</v>
      </c>
      <c r="AG213" s="1">
        <v>5</v>
      </c>
      <c r="AH213" s="3">
        <f t="shared" ref="AH213:AH222" si="115">IFERROR((Y213-X213)/AA213,0)</f>
        <v>1.4462544871794871</v>
      </c>
      <c r="AI213" s="1">
        <v>6</v>
      </c>
      <c r="AJ213" s="1">
        <v>7</v>
      </c>
      <c r="AK213" s="159">
        <v>3.7</v>
      </c>
      <c r="AL213" s="150">
        <v>0.12</v>
      </c>
      <c r="AM213" s="1">
        <v>400</v>
      </c>
      <c r="AN213" s="1">
        <v>600</v>
      </c>
      <c r="AO213" s="48">
        <v>5</v>
      </c>
      <c r="AP213" s="44">
        <v>100</v>
      </c>
      <c r="AQ213" s="42">
        <v>0.8</v>
      </c>
      <c r="AR213" s="1">
        <v>20</v>
      </c>
      <c r="AS213" s="1">
        <v>50</v>
      </c>
      <c r="AT213" s="1">
        <v>1</v>
      </c>
      <c r="AU213" s="4">
        <f t="shared" ref="AU213:AU222" si="116">IFERROR(10000/(AS213*AR213),0)*AT213</f>
        <v>10</v>
      </c>
      <c r="AV213" s="3">
        <f t="shared" ref="AV213:AV222" si="117">ROUND((P213/1000000)*AU213*10000,2)</f>
        <v>3</v>
      </c>
      <c r="AW213" s="1">
        <v>85</v>
      </c>
      <c r="AX213" s="3">
        <f t="shared" ref="AX213:AX222" si="118">IFERROR((AU213*AW213/100),0)</f>
        <v>8.5</v>
      </c>
      <c r="AY213" s="1">
        <v>5</v>
      </c>
      <c r="AZ213" s="4">
        <f t="shared" ref="AZ213:AZ222" si="119">IFERROR(AX213*AY213,0)</f>
        <v>42.5</v>
      </c>
      <c r="BA213" s="49">
        <v>0.89</v>
      </c>
      <c r="BB213" s="4">
        <f t="shared" ref="BB213:BB222" si="120">IFERROR(AZ213*BA213,0)</f>
        <v>37.825000000000003</v>
      </c>
      <c r="BC213" s="50">
        <v>0.12171909814323602</v>
      </c>
      <c r="BD213" s="69">
        <f>IFERROR(
  MAX(0.05, MIN(0.5, CropNorms_Oat[[#This Row],[Leaf_Area_Per_Shoot_m2]] * CropNorms_Oat[[#This Row],[Shoot_Bearing_m2]] )),
  0.2
)</f>
        <v>0.5</v>
      </c>
      <c r="BE213" s="4">
        <f>_xlfn.XLOOKUP(CropNorms_Oat[[#This Row],[LAI_Start_BBCH]], CropPhenology_Oat[Sub_Stage], CropPhenology_Oat[Start_GDD], "Not Found")</f>
        <v>131</v>
      </c>
      <c r="BF213" s="3">
        <f>ROUND(CropNorms_Oat[[#This Row],[Shoot_Bearing_m2]]*CropNorms_Oat[[#This Row],[Leaf_Area_Per_Shoot_m2]],2)</f>
        <v>4.5999999999999996</v>
      </c>
      <c r="BG213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3" s="3">
        <f>IF(CropNorms_Oat[[#This Row],[Max_LAI]]&gt;=1.2, 0.85*CropNorms_Oat[[#This Row],[Max_LAI]], 1)</f>
        <v>3.9099999999999997</v>
      </c>
      <c r="BI213" s="41">
        <f>_xlfn.XLOOKUP(CropNorms_Oat[[#This Row],[LAI_End_BBCH]], CropPhenology_Oat[Sub_Stage], CropPhenology_Oat[End_GDD], "Not Found")</f>
        <v>1840</v>
      </c>
      <c r="BJ213" s="3" cm="1">
        <f t="array" ref="BJ213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K213" s="3" cm="1">
        <f t="array" ref="BK213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L213" s="3" cm="1">
        <f t="array" ref="BL213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M213" s="3" cm="1">
        <f t="array" ref="BM213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3" s="42">
        <v>0.4</v>
      </c>
      <c r="BO213" s="43">
        <v>0</v>
      </c>
      <c r="BP213" s="42">
        <v>4.04</v>
      </c>
      <c r="BQ213" s="43" t="s">
        <v>1795</v>
      </c>
      <c r="BR213" s="3" t="str" cm="1">
        <f t="array" ref="BR213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3" s="3" t="str" cm="1">
        <f t="array" ref="BS213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3" s="3" t="str" cm="1">
        <f t="array" ref="BT213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3" s="3" t="str" cm="1">
        <f t="array" ref="BU213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3" s="48">
        <v>75</v>
      </c>
      <c r="BW213" s="1">
        <v>20</v>
      </c>
      <c r="BX213" s="44">
        <v>40</v>
      </c>
      <c r="BY213" s="51">
        <v>45931</v>
      </c>
      <c r="BZ213" s="5">
        <v>45991</v>
      </c>
      <c r="CA213" s="85">
        <v>0</v>
      </c>
      <c r="CB213" s="2">
        <v>0</v>
      </c>
      <c r="CC213" s="2">
        <v>1</v>
      </c>
      <c r="CD213" s="2">
        <v>1</v>
      </c>
      <c r="CE213" s="2">
        <v>1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P213" s="9"/>
      <c r="CQ213" s="10"/>
    </row>
    <row r="214" spans="2:95" x14ac:dyDescent="0.15">
      <c r="B214" s="36" t="s">
        <v>179</v>
      </c>
      <c r="C214" s="1" t="s">
        <v>182</v>
      </c>
      <c r="K214" s="1" t="s">
        <v>1748</v>
      </c>
      <c r="L214" s="1" t="s">
        <v>1750</v>
      </c>
      <c r="M214" s="1" t="s">
        <v>358</v>
      </c>
      <c r="N214" s="6">
        <v>10.5</v>
      </c>
      <c r="O214" s="1" t="s">
        <v>4</v>
      </c>
      <c r="P214" s="1">
        <v>30</v>
      </c>
      <c r="Q214" s="1">
        <v>5</v>
      </c>
      <c r="R214" s="1">
        <v>2</v>
      </c>
      <c r="S214" s="1">
        <v>20</v>
      </c>
      <c r="T214" s="1">
        <v>30</v>
      </c>
      <c r="U214" s="253">
        <v>5</v>
      </c>
      <c r="V214" s="1">
        <v>90</v>
      </c>
      <c r="W214" s="44">
        <v>130</v>
      </c>
      <c r="X214" s="40">
        <f>_xlfn.XLOOKUP("Ripening", CropPhenology_Oat[Main_Stage], CropPhenology_Oat[Start_GDD], "Not Found")</f>
        <v>1841</v>
      </c>
      <c r="Y214" s="4" cm="1">
        <f t="array" ref="Y214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4" s="3">
        <f t="shared" si="113"/>
        <v>18.191880341880342</v>
      </c>
      <c r="AA214" s="41">
        <f t="shared" si="114"/>
        <v>109.9391576029505</v>
      </c>
      <c r="AB214" s="1">
        <v>8</v>
      </c>
      <c r="AC214" s="1">
        <v>10</v>
      </c>
      <c r="AD214" s="1">
        <v>3</v>
      </c>
      <c r="AE214" s="1">
        <v>85</v>
      </c>
      <c r="AF214" s="1">
        <v>5</v>
      </c>
      <c r="AG214" s="1">
        <v>5</v>
      </c>
      <c r="AH214" s="3">
        <f t="shared" si="115"/>
        <v>1.4462544871794871</v>
      </c>
      <c r="AI214" s="1">
        <v>6</v>
      </c>
      <c r="AJ214" s="1">
        <v>7</v>
      </c>
      <c r="AK214" s="159">
        <v>3.7</v>
      </c>
      <c r="AL214" s="150">
        <v>0.12</v>
      </c>
      <c r="AM214" s="1">
        <v>400</v>
      </c>
      <c r="AN214" s="1">
        <v>600</v>
      </c>
      <c r="AO214" s="48">
        <v>5</v>
      </c>
      <c r="AP214" s="44">
        <v>100</v>
      </c>
      <c r="AQ214" s="42">
        <v>0.82</v>
      </c>
      <c r="AR214" s="1">
        <v>20</v>
      </c>
      <c r="AS214" s="1">
        <v>50</v>
      </c>
      <c r="AT214" s="1">
        <v>1</v>
      </c>
      <c r="AU214" s="4">
        <f t="shared" si="116"/>
        <v>10</v>
      </c>
      <c r="AV214" s="3">
        <f t="shared" si="117"/>
        <v>3</v>
      </c>
      <c r="AW214" s="1">
        <v>85</v>
      </c>
      <c r="AX214" s="3">
        <f t="shared" si="118"/>
        <v>8.5</v>
      </c>
      <c r="AY214" s="1">
        <v>5</v>
      </c>
      <c r="AZ214" s="4">
        <f t="shared" si="119"/>
        <v>42.5</v>
      </c>
      <c r="BA214" s="49">
        <v>0.89</v>
      </c>
      <c r="BB214" s="4">
        <f t="shared" si="120"/>
        <v>37.825000000000003</v>
      </c>
      <c r="BC214" s="50">
        <v>0.12171909814323602</v>
      </c>
      <c r="BD214" s="69">
        <f>IFERROR(
  MAX(0.05, MIN(0.5, CropNorms_Oat[[#This Row],[Leaf_Area_Per_Shoot_m2]] * CropNorms_Oat[[#This Row],[Shoot_Bearing_m2]] )),
  0.2
)</f>
        <v>0.5</v>
      </c>
      <c r="BE214" s="4">
        <f>_xlfn.XLOOKUP(CropNorms_Oat[[#This Row],[LAI_Start_BBCH]], CropPhenology_Oat[Sub_Stage], CropPhenology_Oat[Start_GDD], "Not Found")</f>
        <v>131</v>
      </c>
      <c r="BF214" s="3">
        <f>ROUND(CropNorms_Oat[[#This Row],[Shoot_Bearing_m2]]*CropNorms_Oat[[#This Row],[Leaf_Area_Per_Shoot_m2]],2)</f>
        <v>4.5999999999999996</v>
      </c>
      <c r="BG214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4" s="3">
        <f>IF(CropNorms_Oat[[#This Row],[Max_LAI]]&gt;=1.2, 0.85*CropNorms_Oat[[#This Row],[Max_LAI]], 1)</f>
        <v>3.9099999999999997</v>
      </c>
      <c r="BI214" s="41">
        <f>_xlfn.XLOOKUP(CropNorms_Oat[[#This Row],[LAI_End_BBCH]], CropPhenology_Oat[Sub_Stage], CropPhenology_Oat[End_GDD], "Not Found")</f>
        <v>1840</v>
      </c>
      <c r="BJ214" s="3" cm="1">
        <f t="array" ref="BJ214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K214" s="3" cm="1">
        <f t="array" ref="BK214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L214" s="3" cm="1">
        <f t="array" ref="BL214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M214" s="3" cm="1">
        <f t="array" ref="BM214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4" s="42">
        <v>0.4</v>
      </c>
      <c r="BO214" s="43">
        <v>0</v>
      </c>
      <c r="BP214" s="42">
        <v>4.04</v>
      </c>
      <c r="BQ214" s="43" t="s">
        <v>1795</v>
      </c>
      <c r="BR214" s="3" t="str" cm="1">
        <f t="array" ref="BR214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4" s="3" t="str" cm="1">
        <f t="array" ref="BS214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4" s="3" t="str" cm="1">
        <f t="array" ref="BT214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4" s="3" t="str" cm="1">
        <f t="array" ref="BU214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4" s="48">
        <v>75</v>
      </c>
      <c r="BW214" s="1">
        <v>20</v>
      </c>
      <c r="BX214" s="44">
        <v>40</v>
      </c>
      <c r="BY214" s="51">
        <v>45931</v>
      </c>
      <c r="BZ214" s="5">
        <v>45991</v>
      </c>
      <c r="CA214" s="85">
        <v>0</v>
      </c>
      <c r="CB214" s="2">
        <v>0</v>
      </c>
      <c r="CC214" s="2">
        <v>1</v>
      </c>
      <c r="CD214" s="2">
        <v>1</v>
      </c>
      <c r="CE214" s="2">
        <v>1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P214" s="9"/>
      <c r="CQ214" s="10"/>
    </row>
    <row r="215" spans="2:95" x14ac:dyDescent="0.15">
      <c r="B215" s="36" t="s">
        <v>179</v>
      </c>
      <c r="C215" s="1" t="s">
        <v>184</v>
      </c>
      <c r="K215" s="1" t="s">
        <v>1748</v>
      </c>
      <c r="L215" s="1" t="s">
        <v>1750</v>
      </c>
      <c r="M215" s="1" t="s">
        <v>358</v>
      </c>
      <c r="N215" s="6">
        <v>10.5</v>
      </c>
      <c r="O215" s="1" t="s">
        <v>4</v>
      </c>
      <c r="P215" s="1">
        <v>30</v>
      </c>
      <c r="Q215" s="1">
        <v>5</v>
      </c>
      <c r="R215" s="1">
        <v>2</v>
      </c>
      <c r="S215" s="1">
        <v>20</v>
      </c>
      <c r="T215" s="1">
        <v>30</v>
      </c>
      <c r="U215" s="253">
        <v>5</v>
      </c>
      <c r="V215" s="1">
        <v>90</v>
      </c>
      <c r="W215" s="44">
        <v>130</v>
      </c>
      <c r="X215" s="40">
        <f>_xlfn.XLOOKUP("Ripening", CropPhenology_Oat[Main_Stage], CropPhenology_Oat[Start_GDD], "Not Found")</f>
        <v>1841</v>
      </c>
      <c r="Y215" s="4" cm="1">
        <f t="array" ref="Y215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5" s="3">
        <f t="shared" si="113"/>
        <v>18.191880341880342</v>
      </c>
      <c r="AA215" s="41">
        <f t="shared" si="114"/>
        <v>109.9391576029505</v>
      </c>
      <c r="AB215" s="1">
        <v>8</v>
      </c>
      <c r="AC215" s="1">
        <v>10</v>
      </c>
      <c r="AD215" s="1">
        <v>3</v>
      </c>
      <c r="AE215" s="1">
        <v>85</v>
      </c>
      <c r="AF215" s="1">
        <v>5</v>
      </c>
      <c r="AG215" s="1">
        <v>5</v>
      </c>
      <c r="AH215" s="3">
        <f t="shared" si="115"/>
        <v>1.4462544871794871</v>
      </c>
      <c r="AI215" s="1">
        <v>6</v>
      </c>
      <c r="AJ215" s="1">
        <v>7</v>
      </c>
      <c r="AK215" s="159">
        <v>3.7</v>
      </c>
      <c r="AL215" s="150">
        <v>0.12</v>
      </c>
      <c r="AM215" s="1">
        <v>400</v>
      </c>
      <c r="AN215" s="1">
        <v>600</v>
      </c>
      <c r="AO215" s="48">
        <v>5</v>
      </c>
      <c r="AP215" s="44">
        <v>100</v>
      </c>
      <c r="AQ215" s="42">
        <v>0.78</v>
      </c>
      <c r="AR215" s="1">
        <v>20</v>
      </c>
      <c r="AS215" s="1">
        <v>50</v>
      </c>
      <c r="AT215" s="1">
        <v>1</v>
      </c>
      <c r="AU215" s="4">
        <f t="shared" si="116"/>
        <v>10</v>
      </c>
      <c r="AV215" s="3">
        <f t="shared" si="117"/>
        <v>3</v>
      </c>
      <c r="AW215" s="1">
        <v>85</v>
      </c>
      <c r="AX215" s="3">
        <f t="shared" si="118"/>
        <v>8.5</v>
      </c>
      <c r="AY215" s="1">
        <v>5</v>
      </c>
      <c r="AZ215" s="4">
        <f t="shared" si="119"/>
        <v>42.5</v>
      </c>
      <c r="BA215" s="49">
        <v>0.89</v>
      </c>
      <c r="BB215" s="4">
        <f t="shared" si="120"/>
        <v>37.825000000000003</v>
      </c>
      <c r="BC215" s="50">
        <v>0.12171909814323602</v>
      </c>
      <c r="BD215" s="69">
        <f>IFERROR(
  MAX(0.05, MIN(0.5, CropNorms_Oat[[#This Row],[Leaf_Area_Per_Shoot_m2]] * CropNorms_Oat[[#This Row],[Shoot_Bearing_m2]] )),
  0.2
)</f>
        <v>0.5</v>
      </c>
      <c r="BE215" s="4">
        <f>_xlfn.XLOOKUP(CropNorms_Oat[[#This Row],[LAI_Start_BBCH]], CropPhenology_Oat[Sub_Stage], CropPhenology_Oat[Start_GDD], "Not Found")</f>
        <v>131</v>
      </c>
      <c r="BF215" s="3">
        <f>ROUND(CropNorms_Oat[[#This Row],[Shoot_Bearing_m2]]*CropNorms_Oat[[#This Row],[Leaf_Area_Per_Shoot_m2]],2)</f>
        <v>4.5999999999999996</v>
      </c>
      <c r="BG215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5" s="3">
        <f>IF(CropNorms_Oat[[#This Row],[Max_LAI]]&gt;=1.2, 0.85*CropNorms_Oat[[#This Row],[Max_LAI]], 1)</f>
        <v>3.9099999999999997</v>
      </c>
      <c r="BI215" s="41">
        <f>_xlfn.XLOOKUP(CropNorms_Oat[[#This Row],[LAI_End_BBCH]], CropPhenology_Oat[Sub_Stage], CropPhenology_Oat[End_GDD], "Not Found")</f>
        <v>1840</v>
      </c>
      <c r="BJ215" s="3" cm="1">
        <f t="array" ref="BJ215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K215" s="3" cm="1">
        <f t="array" ref="BK215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L215" s="3" cm="1">
        <f t="array" ref="BL215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M215" s="3" cm="1">
        <f t="array" ref="BM215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5" s="42">
        <v>0.4</v>
      </c>
      <c r="BO215" s="43">
        <v>0</v>
      </c>
      <c r="BP215" s="42">
        <v>4.04</v>
      </c>
      <c r="BQ215" s="43" t="s">
        <v>1795</v>
      </c>
      <c r="BR215" s="3" t="str" cm="1">
        <f t="array" ref="BR215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5" s="3" t="str" cm="1">
        <f t="array" ref="BS215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5" s="3" t="str" cm="1">
        <f t="array" ref="BT215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5" s="3" t="str" cm="1">
        <f t="array" ref="BU215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5" s="48">
        <v>75</v>
      </c>
      <c r="BW215" s="1">
        <v>20</v>
      </c>
      <c r="BX215" s="44">
        <v>40</v>
      </c>
      <c r="BY215" s="51">
        <v>45931</v>
      </c>
      <c r="BZ215" s="5">
        <v>45991</v>
      </c>
      <c r="CA215" s="85">
        <v>0</v>
      </c>
      <c r="CB215" s="2">
        <v>0</v>
      </c>
      <c r="CC215" s="2">
        <v>1</v>
      </c>
      <c r="CD215" s="2">
        <v>1</v>
      </c>
      <c r="CE215" s="2">
        <v>1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P215" s="9"/>
      <c r="CQ215" s="10"/>
    </row>
    <row r="216" spans="2:95" x14ac:dyDescent="0.15">
      <c r="B216" s="36" t="s">
        <v>179</v>
      </c>
      <c r="C216" s="1" t="s">
        <v>186</v>
      </c>
      <c r="K216" s="1" t="s">
        <v>1748</v>
      </c>
      <c r="L216" s="1" t="s">
        <v>1750</v>
      </c>
      <c r="M216" s="1" t="s">
        <v>358</v>
      </c>
      <c r="N216" s="6">
        <v>10.5</v>
      </c>
      <c r="O216" s="1" t="s">
        <v>4</v>
      </c>
      <c r="P216" s="1">
        <v>30</v>
      </c>
      <c r="Q216" s="1">
        <v>5</v>
      </c>
      <c r="R216" s="1">
        <v>2</v>
      </c>
      <c r="S216" s="1">
        <v>20</v>
      </c>
      <c r="T216" s="1">
        <v>30</v>
      </c>
      <c r="U216" s="253">
        <v>5</v>
      </c>
      <c r="V216" s="1">
        <v>90</v>
      </c>
      <c r="W216" s="44">
        <v>130</v>
      </c>
      <c r="X216" s="40">
        <f>_xlfn.XLOOKUP("Ripening", CropPhenology_Oat[Main_Stage], CropPhenology_Oat[Start_GDD], "Not Found")</f>
        <v>1841</v>
      </c>
      <c r="Y216" s="4" cm="1">
        <f t="array" ref="Y216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6" s="3">
        <f t="shared" si="113"/>
        <v>18.191880341880342</v>
      </c>
      <c r="AA216" s="41">
        <f t="shared" si="114"/>
        <v>109.9391576029505</v>
      </c>
      <c r="AB216" s="1">
        <v>8</v>
      </c>
      <c r="AC216" s="1">
        <v>10</v>
      </c>
      <c r="AD216" s="1">
        <v>3</v>
      </c>
      <c r="AE216" s="1">
        <v>85</v>
      </c>
      <c r="AF216" s="1">
        <v>5</v>
      </c>
      <c r="AG216" s="1">
        <v>5</v>
      </c>
      <c r="AH216" s="3">
        <f t="shared" si="115"/>
        <v>1.4462544871794871</v>
      </c>
      <c r="AI216" s="1">
        <v>6</v>
      </c>
      <c r="AJ216" s="1">
        <v>7</v>
      </c>
      <c r="AK216" s="159">
        <v>3.7</v>
      </c>
      <c r="AL216" s="150">
        <v>0.12</v>
      </c>
      <c r="AM216" s="1">
        <v>400</v>
      </c>
      <c r="AN216" s="1">
        <v>600</v>
      </c>
      <c r="AO216" s="48">
        <v>5</v>
      </c>
      <c r="AP216" s="44">
        <v>100</v>
      </c>
      <c r="AQ216" s="42">
        <v>0.75</v>
      </c>
      <c r="AR216" s="1">
        <v>20</v>
      </c>
      <c r="AS216" s="1">
        <v>50</v>
      </c>
      <c r="AT216" s="1">
        <v>1</v>
      </c>
      <c r="AU216" s="4">
        <f t="shared" si="116"/>
        <v>10</v>
      </c>
      <c r="AV216" s="3">
        <f t="shared" si="117"/>
        <v>3</v>
      </c>
      <c r="AW216" s="1">
        <v>85</v>
      </c>
      <c r="AX216" s="3">
        <f t="shared" si="118"/>
        <v>8.5</v>
      </c>
      <c r="AY216" s="1">
        <v>5</v>
      </c>
      <c r="AZ216" s="4">
        <f t="shared" si="119"/>
        <v>42.5</v>
      </c>
      <c r="BA216" s="49">
        <v>0.89</v>
      </c>
      <c r="BB216" s="4">
        <f t="shared" si="120"/>
        <v>37.825000000000003</v>
      </c>
      <c r="BC216" s="50">
        <v>0.12171909814323602</v>
      </c>
      <c r="BD216" s="69">
        <f>IFERROR(
  MAX(0.05, MIN(0.5, CropNorms_Oat[[#This Row],[Leaf_Area_Per_Shoot_m2]] * CropNorms_Oat[[#This Row],[Shoot_Bearing_m2]] )),
  0.2
)</f>
        <v>0.5</v>
      </c>
      <c r="BE216" s="4">
        <f>_xlfn.XLOOKUP(CropNorms_Oat[[#This Row],[LAI_Start_BBCH]], CropPhenology_Oat[Sub_Stage], CropPhenology_Oat[Start_GDD], "Not Found")</f>
        <v>131</v>
      </c>
      <c r="BF216" s="3">
        <f>ROUND(CropNorms_Oat[[#This Row],[Shoot_Bearing_m2]]*CropNorms_Oat[[#This Row],[Leaf_Area_Per_Shoot_m2]],2)</f>
        <v>4.5999999999999996</v>
      </c>
      <c r="BG216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6" s="3">
        <f>IF(CropNorms_Oat[[#This Row],[Max_LAI]]&gt;=1.2, 0.85*CropNorms_Oat[[#This Row],[Max_LAI]], 1)</f>
        <v>3.9099999999999997</v>
      </c>
      <c r="BI216" s="41">
        <f>_xlfn.XLOOKUP(CropNorms_Oat[[#This Row],[LAI_End_BBCH]], CropPhenology_Oat[Sub_Stage], CropPhenology_Oat[End_GDD], "Not Found")</f>
        <v>1840</v>
      </c>
      <c r="BJ216" s="3" cm="1">
        <f t="array" ref="BJ216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K216" s="3" cm="1">
        <f t="array" ref="BK216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L216" s="3" cm="1">
        <f t="array" ref="BL216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M216" s="3" cm="1">
        <f t="array" ref="BM216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6" s="42">
        <v>0.4</v>
      </c>
      <c r="BO216" s="43">
        <v>0</v>
      </c>
      <c r="BP216" s="42">
        <v>4.04</v>
      </c>
      <c r="BQ216" s="43" t="s">
        <v>1795</v>
      </c>
      <c r="BR216" s="3" t="str" cm="1">
        <f t="array" ref="BR216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6" s="3" t="str" cm="1">
        <f t="array" ref="BS216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6" s="3" t="str" cm="1">
        <f t="array" ref="BT216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6" s="3" t="str" cm="1">
        <f t="array" ref="BU216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6" s="48">
        <v>75</v>
      </c>
      <c r="BW216" s="1">
        <v>20</v>
      </c>
      <c r="BX216" s="44">
        <v>40</v>
      </c>
      <c r="BY216" s="51">
        <v>45931</v>
      </c>
      <c r="BZ216" s="5">
        <v>45991</v>
      </c>
      <c r="CA216" s="85">
        <v>0</v>
      </c>
      <c r="CB216" s="2">
        <v>0</v>
      </c>
      <c r="CC216" s="2">
        <v>1</v>
      </c>
      <c r="CD216" s="2">
        <v>1</v>
      </c>
      <c r="CE216" s="2">
        <v>1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P216" s="9"/>
      <c r="CQ216" s="10"/>
    </row>
    <row r="217" spans="2:95" x14ac:dyDescent="0.15">
      <c r="B217" s="36" t="s">
        <v>179</v>
      </c>
      <c r="C217" s="1" t="s">
        <v>188</v>
      </c>
      <c r="K217" s="1" t="s">
        <v>1748</v>
      </c>
      <c r="L217" s="1" t="s">
        <v>1750</v>
      </c>
      <c r="M217" s="1" t="s">
        <v>358</v>
      </c>
      <c r="N217" s="6">
        <v>10.5</v>
      </c>
      <c r="O217" s="1" t="s">
        <v>4</v>
      </c>
      <c r="P217" s="1">
        <v>30</v>
      </c>
      <c r="Q217" s="1">
        <v>5</v>
      </c>
      <c r="R217" s="1">
        <v>2</v>
      </c>
      <c r="S217" s="1">
        <v>20</v>
      </c>
      <c r="T217" s="1">
        <v>30</v>
      </c>
      <c r="U217" s="253">
        <v>5</v>
      </c>
      <c r="V217" s="1">
        <v>90</v>
      </c>
      <c r="W217" s="44">
        <v>130</v>
      </c>
      <c r="X217" s="40">
        <f>_xlfn.XLOOKUP("Ripening", CropPhenology_Oat[Main_Stage], CropPhenology_Oat[Start_GDD], "Not Found")</f>
        <v>1841</v>
      </c>
      <c r="Y217" s="4" cm="1">
        <f t="array" ref="Y217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7" s="3">
        <f t="shared" si="113"/>
        <v>18.191880341880342</v>
      </c>
      <c r="AA217" s="41">
        <f t="shared" si="114"/>
        <v>109.9391576029505</v>
      </c>
      <c r="AB217" s="1">
        <v>8</v>
      </c>
      <c r="AC217" s="1">
        <v>10</v>
      </c>
      <c r="AD217" s="1">
        <v>3</v>
      </c>
      <c r="AE217" s="1">
        <v>85</v>
      </c>
      <c r="AF217" s="1">
        <v>5</v>
      </c>
      <c r="AG217" s="1">
        <v>5</v>
      </c>
      <c r="AH217" s="3">
        <f t="shared" si="115"/>
        <v>1.4462544871794871</v>
      </c>
      <c r="AI217" s="1">
        <v>6</v>
      </c>
      <c r="AJ217" s="1">
        <v>7</v>
      </c>
      <c r="AK217" s="159">
        <v>3.7</v>
      </c>
      <c r="AL217" s="150">
        <v>0.12</v>
      </c>
      <c r="AM217" s="1">
        <v>400</v>
      </c>
      <c r="AN217" s="1">
        <v>600</v>
      </c>
      <c r="AO217" s="48">
        <v>5</v>
      </c>
      <c r="AP217" s="44">
        <v>100</v>
      </c>
      <c r="AQ217" s="42">
        <v>0.85</v>
      </c>
      <c r="AR217" s="1">
        <v>20</v>
      </c>
      <c r="AS217" s="1">
        <v>50</v>
      </c>
      <c r="AT217" s="1">
        <v>1</v>
      </c>
      <c r="AU217" s="4">
        <f t="shared" si="116"/>
        <v>10</v>
      </c>
      <c r="AV217" s="3">
        <f t="shared" si="117"/>
        <v>3</v>
      </c>
      <c r="AW217" s="1">
        <v>85</v>
      </c>
      <c r="AX217" s="3">
        <f t="shared" si="118"/>
        <v>8.5</v>
      </c>
      <c r="AY217" s="1">
        <v>5</v>
      </c>
      <c r="AZ217" s="4">
        <f t="shared" si="119"/>
        <v>42.5</v>
      </c>
      <c r="BA217" s="49">
        <v>0.89</v>
      </c>
      <c r="BB217" s="4">
        <f t="shared" si="120"/>
        <v>37.825000000000003</v>
      </c>
      <c r="BC217" s="50">
        <v>0.12171909814323602</v>
      </c>
      <c r="BD217" s="69">
        <f>IFERROR(
  MAX(0.05, MIN(0.5, CropNorms_Oat[[#This Row],[Leaf_Area_Per_Shoot_m2]] * CropNorms_Oat[[#This Row],[Shoot_Bearing_m2]] )),
  0.2
)</f>
        <v>0.5</v>
      </c>
      <c r="BE217" s="4">
        <f>_xlfn.XLOOKUP(CropNorms_Oat[[#This Row],[LAI_Start_BBCH]], CropPhenology_Oat[Sub_Stage], CropPhenology_Oat[Start_GDD], "Not Found")</f>
        <v>131</v>
      </c>
      <c r="BF217" s="3">
        <f>ROUND(CropNorms_Oat[[#This Row],[Shoot_Bearing_m2]]*CropNorms_Oat[[#This Row],[Leaf_Area_Per_Shoot_m2]],2)</f>
        <v>4.5999999999999996</v>
      </c>
      <c r="BG217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7" s="3">
        <f>IF(CropNorms_Oat[[#This Row],[Max_LAI]]&gt;=1.2, 0.85*CropNorms_Oat[[#This Row],[Max_LAI]], 1)</f>
        <v>3.9099999999999997</v>
      </c>
      <c r="BI217" s="41">
        <f>_xlfn.XLOOKUP(CropNorms_Oat[[#This Row],[LAI_End_BBCH]], CropPhenology_Oat[Sub_Stage], CropPhenology_Oat[End_GDD], "Not Found")</f>
        <v>1840</v>
      </c>
      <c r="BJ217" s="3" cm="1">
        <f t="array" ref="BJ217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K217" s="3" cm="1">
        <f t="array" ref="BK217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L217" s="3" cm="1">
        <f t="array" ref="BL217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M217" s="3" cm="1">
        <f t="array" ref="BM217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7" s="42">
        <v>0.4</v>
      </c>
      <c r="BO217" s="43">
        <v>0</v>
      </c>
      <c r="BP217" s="42">
        <v>4.04</v>
      </c>
      <c r="BQ217" s="43" t="s">
        <v>1795</v>
      </c>
      <c r="BR217" s="3" t="str" cm="1">
        <f t="array" ref="BR217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7" s="3" t="str" cm="1">
        <f t="array" ref="BS217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7" s="3" t="str" cm="1">
        <f t="array" ref="BT217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7" s="3" t="str" cm="1">
        <f t="array" ref="BU217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7" s="48">
        <v>75</v>
      </c>
      <c r="BW217" s="1">
        <v>20</v>
      </c>
      <c r="BX217" s="44">
        <v>40</v>
      </c>
      <c r="BY217" s="51">
        <v>45931</v>
      </c>
      <c r="BZ217" s="5">
        <v>45991</v>
      </c>
      <c r="CA217" s="85">
        <v>0</v>
      </c>
      <c r="CB217" s="2">
        <v>0</v>
      </c>
      <c r="CC217" s="2">
        <v>1</v>
      </c>
      <c r="CD217" s="2">
        <v>1</v>
      </c>
      <c r="CE217" s="2">
        <v>1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P217" s="9"/>
      <c r="CQ217" s="10"/>
    </row>
    <row r="218" spans="2:95" x14ac:dyDescent="0.15">
      <c r="B218" s="36" t="s">
        <v>179</v>
      </c>
      <c r="C218" s="1" t="s">
        <v>181</v>
      </c>
      <c r="K218" s="1" t="s">
        <v>1748</v>
      </c>
      <c r="L218" s="1" t="s">
        <v>1750</v>
      </c>
      <c r="M218" s="1" t="s">
        <v>358</v>
      </c>
      <c r="N218" s="6">
        <v>10.5</v>
      </c>
      <c r="O218" s="1" t="s">
        <v>2</v>
      </c>
      <c r="P218" s="1">
        <v>30</v>
      </c>
      <c r="Q218" s="1">
        <v>5</v>
      </c>
      <c r="R218" s="1">
        <v>2</v>
      </c>
      <c r="S218" s="1">
        <v>20</v>
      </c>
      <c r="T218" s="1">
        <v>30</v>
      </c>
      <c r="U218" s="253">
        <v>5</v>
      </c>
      <c r="V218" s="1">
        <v>90</v>
      </c>
      <c r="W218" s="44">
        <v>130</v>
      </c>
      <c r="X218" s="40">
        <f>_xlfn.XLOOKUP("Ripening", CropPhenology_Oat[Main_Stage], CropPhenology_Oat[Start_GDD], "Not Found")</f>
        <v>1841</v>
      </c>
      <c r="Y218" s="4" cm="1">
        <f t="array" ref="Y218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8" s="3">
        <f t="shared" si="113"/>
        <v>18.191880341880342</v>
      </c>
      <c r="AA218" s="41">
        <f t="shared" si="114"/>
        <v>109.9391576029505</v>
      </c>
      <c r="AB218" s="1">
        <v>8</v>
      </c>
      <c r="AC218" s="1">
        <v>10</v>
      </c>
      <c r="AD218" s="1">
        <v>3</v>
      </c>
      <c r="AE218" s="1">
        <v>85</v>
      </c>
      <c r="AF218" s="1">
        <v>5</v>
      </c>
      <c r="AG218" s="1">
        <v>5</v>
      </c>
      <c r="AH218" s="3">
        <f t="shared" si="115"/>
        <v>1.4462544871794871</v>
      </c>
      <c r="AI218" s="1">
        <v>6</v>
      </c>
      <c r="AJ218" s="1">
        <v>7</v>
      </c>
      <c r="AK218" s="159">
        <v>3.7</v>
      </c>
      <c r="AL218" s="150">
        <v>0.12</v>
      </c>
      <c r="AM218" s="1">
        <v>200</v>
      </c>
      <c r="AN218" s="1">
        <v>350</v>
      </c>
      <c r="AO218" s="48">
        <v>5</v>
      </c>
      <c r="AP218" s="44">
        <v>100</v>
      </c>
      <c r="AQ218" s="42">
        <v>0.7</v>
      </c>
      <c r="AR218" s="1">
        <v>20</v>
      </c>
      <c r="AS218" s="1">
        <v>50</v>
      </c>
      <c r="AT218" s="1">
        <v>1</v>
      </c>
      <c r="AU218" s="4">
        <f t="shared" si="116"/>
        <v>10</v>
      </c>
      <c r="AV218" s="3">
        <f t="shared" si="117"/>
        <v>3</v>
      </c>
      <c r="AW218" s="1">
        <v>85</v>
      </c>
      <c r="AX218" s="3">
        <f t="shared" si="118"/>
        <v>8.5</v>
      </c>
      <c r="AY218" s="1">
        <v>5</v>
      </c>
      <c r="AZ218" s="4">
        <f t="shared" si="119"/>
        <v>42.5</v>
      </c>
      <c r="BA218" s="49">
        <v>0.89</v>
      </c>
      <c r="BB218" s="4">
        <f t="shared" si="120"/>
        <v>37.825000000000003</v>
      </c>
      <c r="BC218" s="50">
        <v>9.5099660592780494E-2</v>
      </c>
      <c r="BD218" s="69">
        <f>IFERROR(
  MAX(0.05, MIN(0.5, CropNorms_Oat[[#This Row],[Leaf_Area_Per_Shoot_m2]] * CropNorms_Oat[[#This Row],[Shoot_Bearing_m2]] )),
  0.2
)</f>
        <v>0.5</v>
      </c>
      <c r="BE218" s="4">
        <f>_xlfn.XLOOKUP(CropNorms_Oat[[#This Row],[LAI_Start_BBCH]], CropPhenology_Oat[Sub_Stage], CropPhenology_Oat[Start_GDD], "Not Found")</f>
        <v>131</v>
      </c>
      <c r="BF218" s="3">
        <f>ROUND(CropNorms_Oat[[#This Row],[Shoot_Bearing_m2]]*CropNorms_Oat[[#This Row],[Leaf_Area_Per_Shoot_m2]],2)</f>
        <v>3.6</v>
      </c>
      <c r="BG218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8" s="3">
        <f>IF(CropNorms_Oat[[#This Row],[Max_LAI]]&gt;=1.2, 0.85*CropNorms_Oat[[#This Row],[Max_LAI]], 1)</f>
        <v>3.06</v>
      </c>
      <c r="BI218" s="41">
        <f>_xlfn.XLOOKUP(CropNorms_Oat[[#This Row],[LAI_End_BBCH]], CropPhenology_Oat[Sub_Stage], CropPhenology_Oat[End_GDD], "Not Found")</f>
        <v>1840</v>
      </c>
      <c r="BJ218" s="3" cm="1">
        <f t="array" ref="BJ218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K218" s="3" cm="1">
        <f t="array" ref="BK218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L218" s="3" cm="1">
        <f t="array" ref="BL218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M218" s="3" cm="1">
        <f t="array" ref="BM218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8" s="42">
        <v>0.4</v>
      </c>
      <c r="BO218" s="43">
        <v>0</v>
      </c>
      <c r="BP218" s="42">
        <v>2.94</v>
      </c>
      <c r="BQ218" s="43" t="s">
        <v>1795</v>
      </c>
      <c r="BR218" s="3" t="str" cm="1">
        <f t="array" ref="BR218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8" s="3" t="str" cm="1">
        <f t="array" ref="BS218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8" s="3" t="str" cm="1">
        <f t="array" ref="BT218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8" s="3" t="str" cm="1">
        <f t="array" ref="BU218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8" s="48">
        <v>75</v>
      </c>
      <c r="BW218" s="1">
        <v>20</v>
      </c>
      <c r="BX218" s="44">
        <v>40</v>
      </c>
      <c r="BY218" s="51">
        <v>45931</v>
      </c>
      <c r="BZ218" s="5">
        <v>45991</v>
      </c>
      <c r="CA218" s="85">
        <v>0</v>
      </c>
      <c r="CB218" s="2">
        <v>0</v>
      </c>
      <c r="CC218" s="2">
        <v>1</v>
      </c>
      <c r="CD218" s="2">
        <v>1</v>
      </c>
      <c r="CE218" s="2">
        <v>1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P218" s="9"/>
      <c r="CQ218" s="10"/>
    </row>
    <row r="219" spans="2:95" x14ac:dyDescent="0.15">
      <c r="B219" s="36" t="s">
        <v>179</v>
      </c>
      <c r="C219" s="1" t="s">
        <v>183</v>
      </c>
      <c r="K219" s="1" t="s">
        <v>1748</v>
      </c>
      <c r="L219" s="1" t="s">
        <v>1750</v>
      </c>
      <c r="M219" s="1" t="s">
        <v>358</v>
      </c>
      <c r="N219" s="6">
        <v>10.5</v>
      </c>
      <c r="O219" s="1" t="s">
        <v>2</v>
      </c>
      <c r="P219" s="1">
        <v>30</v>
      </c>
      <c r="Q219" s="1">
        <v>5</v>
      </c>
      <c r="R219" s="1">
        <v>2</v>
      </c>
      <c r="S219" s="1">
        <v>20</v>
      </c>
      <c r="T219" s="1">
        <v>30</v>
      </c>
      <c r="U219" s="253">
        <v>5</v>
      </c>
      <c r="V219" s="1">
        <v>90</v>
      </c>
      <c r="W219" s="44">
        <v>130</v>
      </c>
      <c r="X219" s="40">
        <f>_xlfn.XLOOKUP("Ripening", CropPhenology_Oat[Main_Stage], CropPhenology_Oat[Start_GDD], "Not Found")</f>
        <v>1841</v>
      </c>
      <c r="Y219" s="4" cm="1">
        <f t="array" ref="Y219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19" s="3">
        <f t="shared" si="113"/>
        <v>18.191880341880342</v>
      </c>
      <c r="AA219" s="41">
        <f t="shared" si="114"/>
        <v>109.9391576029505</v>
      </c>
      <c r="AB219" s="1">
        <v>8</v>
      </c>
      <c r="AC219" s="1">
        <v>10</v>
      </c>
      <c r="AD219" s="1">
        <v>3</v>
      </c>
      <c r="AE219" s="1">
        <v>85</v>
      </c>
      <c r="AF219" s="1">
        <v>5</v>
      </c>
      <c r="AG219" s="1">
        <v>5</v>
      </c>
      <c r="AH219" s="3">
        <f t="shared" si="115"/>
        <v>1.4462544871794871</v>
      </c>
      <c r="AI219" s="1">
        <v>6</v>
      </c>
      <c r="AJ219" s="1">
        <v>7</v>
      </c>
      <c r="AK219" s="159">
        <v>3.7</v>
      </c>
      <c r="AL219" s="150">
        <v>0.12</v>
      </c>
      <c r="AM219" s="1">
        <v>200</v>
      </c>
      <c r="AN219" s="1">
        <v>350</v>
      </c>
      <c r="AO219" s="48">
        <v>5</v>
      </c>
      <c r="AP219" s="44">
        <v>100</v>
      </c>
      <c r="AQ219" s="42">
        <v>0.68</v>
      </c>
      <c r="AR219" s="1">
        <v>20</v>
      </c>
      <c r="AS219" s="1">
        <v>50</v>
      </c>
      <c r="AT219" s="1">
        <v>1</v>
      </c>
      <c r="AU219" s="4">
        <f t="shared" si="116"/>
        <v>10</v>
      </c>
      <c r="AV219" s="3">
        <f t="shared" si="117"/>
        <v>3</v>
      </c>
      <c r="AW219" s="1">
        <v>85</v>
      </c>
      <c r="AX219" s="3">
        <f t="shared" si="118"/>
        <v>8.5</v>
      </c>
      <c r="AY219" s="1">
        <v>5</v>
      </c>
      <c r="AZ219" s="4">
        <f t="shared" si="119"/>
        <v>42.5</v>
      </c>
      <c r="BA219" s="49">
        <v>0.89</v>
      </c>
      <c r="BB219" s="4">
        <f t="shared" si="120"/>
        <v>37.825000000000003</v>
      </c>
      <c r="BC219" s="50">
        <v>9.5099660592780494E-2</v>
      </c>
      <c r="BD219" s="69">
        <f>IFERROR(
  MAX(0.05, MIN(0.5, CropNorms_Oat[[#This Row],[Leaf_Area_Per_Shoot_m2]] * CropNorms_Oat[[#This Row],[Shoot_Bearing_m2]] )),
  0.2
)</f>
        <v>0.5</v>
      </c>
      <c r="BE219" s="4">
        <f>_xlfn.XLOOKUP(CropNorms_Oat[[#This Row],[LAI_Start_BBCH]], CropPhenology_Oat[Sub_Stage], CropPhenology_Oat[Start_GDD], "Not Found")</f>
        <v>131</v>
      </c>
      <c r="BF219" s="3">
        <f>ROUND(CropNorms_Oat[[#This Row],[Shoot_Bearing_m2]]*CropNorms_Oat[[#This Row],[Leaf_Area_Per_Shoot_m2]],2)</f>
        <v>3.6</v>
      </c>
      <c r="BG219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19" s="3">
        <f>IF(CropNorms_Oat[[#This Row],[Max_LAI]]&gt;=1.2, 0.85*CropNorms_Oat[[#This Row],[Max_LAI]], 1)</f>
        <v>3.06</v>
      </c>
      <c r="BI219" s="41">
        <f>_xlfn.XLOOKUP(CropNorms_Oat[[#This Row],[LAI_End_BBCH]], CropPhenology_Oat[Sub_Stage], CropPhenology_Oat[End_GDD], "Not Found")</f>
        <v>1840</v>
      </c>
      <c r="BJ219" s="3" cm="1">
        <f t="array" ref="BJ219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K219" s="3" cm="1">
        <f t="array" ref="BK219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L219" s="3" cm="1">
        <f t="array" ref="BL219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M219" s="3" cm="1">
        <f t="array" ref="BM219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19" s="42">
        <v>0.4</v>
      </c>
      <c r="BO219" s="43">
        <v>0</v>
      </c>
      <c r="BP219" s="42">
        <v>2.94</v>
      </c>
      <c r="BQ219" s="43" t="s">
        <v>1795</v>
      </c>
      <c r="BR219" s="3" t="str" cm="1">
        <f t="array" ref="BR219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19" s="3" t="str" cm="1">
        <f t="array" ref="BS219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19" s="3" t="str" cm="1">
        <f t="array" ref="BT219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19" s="3" t="str" cm="1">
        <f t="array" ref="BU219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19" s="48">
        <v>75</v>
      </c>
      <c r="BW219" s="1">
        <v>20</v>
      </c>
      <c r="BX219" s="44">
        <v>40</v>
      </c>
      <c r="BY219" s="51">
        <v>45931</v>
      </c>
      <c r="BZ219" s="5">
        <v>45991</v>
      </c>
      <c r="CA219" s="85">
        <v>0</v>
      </c>
      <c r="CB219" s="2">
        <v>0</v>
      </c>
      <c r="CC219" s="2">
        <v>1</v>
      </c>
      <c r="CD219" s="2">
        <v>1</v>
      </c>
      <c r="CE219" s="2">
        <v>1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P219" s="9"/>
      <c r="CQ219" s="10"/>
    </row>
    <row r="220" spans="2:95" x14ac:dyDescent="0.15">
      <c r="B220" s="36" t="s">
        <v>179</v>
      </c>
      <c r="C220" s="1" t="s">
        <v>185</v>
      </c>
      <c r="K220" s="1" t="s">
        <v>1748</v>
      </c>
      <c r="L220" s="1" t="s">
        <v>1750</v>
      </c>
      <c r="M220" s="1" t="s">
        <v>358</v>
      </c>
      <c r="N220" s="6">
        <v>10.5</v>
      </c>
      <c r="O220" s="1" t="s">
        <v>2</v>
      </c>
      <c r="P220" s="1">
        <v>30</v>
      </c>
      <c r="Q220" s="1">
        <v>5</v>
      </c>
      <c r="R220" s="1">
        <v>2</v>
      </c>
      <c r="S220" s="1">
        <v>20</v>
      </c>
      <c r="T220" s="1">
        <v>30</v>
      </c>
      <c r="U220" s="253">
        <v>5</v>
      </c>
      <c r="V220" s="1">
        <v>90</v>
      </c>
      <c r="W220" s="44">
        <v>130</v>
      </c>
      <c r="X220" s="40">
        <f>_xlfn.XLOOKUP("Ripening", CropPhenology_Oat[Main_Stage], CropPhenology_Oat[Start_GDD], "Not Found")</f>
        <v>1841</v>
      </c>
      <c r="Y220" s="4" cm="1">
        <f t="array" ref="Y220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20" s="3">
        <f t="shared" si="113"/>
        <v>18.191880341880342</v>
      </c>
      <c r="AA220" s="41">
        <f t="shared" si="114"/>
        <v>109.9391576029505</v>
      </c>
      <c r="AB220" s="1">
        <v>8</v>
      </c>
      <c r="AC220" s="1">
        <v>10</v>
      </c>
      <c r="AD220" s="1">
        <v>3</v>
      </c>
      <c r="AE220" s="1">
        <v>85</v>
      </c>
      <c r="AF220" s="1">
        <v>5</v>
      </c>
      <c r="AG220" s="1">
        <v>5</v>
      </c>
      <c r="AH220" s="3">
        <f t="shared" si="115"/>
        <v>1.4462544871794871</v>
      </c>
      <c r="AI220" s="1">
        <v>6</v>
      </c>
      <c r="AJ220" s="1">
        <v>7</v>
      </c>
      <c r="AK220" s="159">
        <v>3.7</v>
      </c>
      <c r="AL220" s="150">
        <v>0.12</v>
      </c>
      <c r="AM220" s="1">
        <v>200</v>
      </c>
      <c r="AN220" s="1">
        <v>350</v>
      </c>
      <c r="AO220" s="48">
        <v>5</v>
      </c>
      <c r="AP220" s="44">
        <v>100</v>
      </c>
      <c r="AQ220" s="42">
        <v>0.68</v>
      </c>
      <c r="AR220" s="1">
        <v>20</v>
      </c>
      <c r="AS220" s="1">
        <v>50</v>
      </c>
      <c r="AT220" s="1">
        <v>1</v>
      </c>
      <c r="AU220" s="4">
        <f t="shared" si="116"/>
        <v>10</v>
      </c>
      <c r="AV220" s="3">
        <f t="shared" si="117"/>
        <v>3</v>
      </c>
      <c r="AW220" s="1">
        <v>85</v>
      </c>
      <c r="AX220" s="3">
        <f t="shared" si="118"/>
        <v>8.5</v>
      </c>
      <c r="AY220" s="1">
        <v>5</v>
      </c>
      <c r="AZ220" s="4">
        <f t="shared" si="119"/>
        <v>42.5</v>
      </c>
      <c r="BA220" s="49">
        <v>0.89</v>
      </c>
      <c r="BB220" s="4">
        <f t="shared" si="120"/>
        <v>37.825000000000003</v>
      </c>
      <c r="BC220" s="50">
        <v>9.5099660592780494E-2</v>
      </c>
      <c r="BD220" s="69">
        <f>IFERROR(
  MAX(0.05, MIN(0.5, CropNorms_Oat[[#This Row],[Leaf_Area_Per_Shoot_m2]] * CropNorms_Oat[[#This Row],[Shoot_Bearing_m2]] )),
  0.2
)</f>
        <v>0.5</v>
      </c>
      <c r="BE220" s="4">
        <f>_xlfn.XLOOKUP(CropNorms_Oat[[#This Row],[LAI_Start_BBCH]], CropPhenology_Oat[Sub_Stage], CropPhenology_Oat[Start_GDD], "Not Found")</f>
        <v>131</v>
      </c>
      <c r="BF220" s="3">
        <f>ROUND(CropNorms_Oat[[#This Row],[Shoot_Bearing_m2]]*CropNorms_Oat[[#This Row],[Leaf_Area_Per_Shoot_m2]],2)</f>
        <v>3.6</v>
      </c>
      <c r="BG220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20" s="3">
        <f>IF(CropNorms_Oat[[#This Row],[Max_LAI]]&gt;=1.2, 0.85*CropNorms_Oat[[#This Row],[Max_LAI]], 1)</f>
        <v>3.06</v>
      </c>
      <c r="BI220" s="41">
        <f>_xlfn.XLOOKUP(CropNorms_Oat[[#This Row],[LAI_End_BBCH]], CropPhenology_Oat[Sub_Stage], CropPhenology_Oat[End_GDD], "Not Found")</f>
        <v>1840</v>
      </c>
      <c r="BJ220" s="3" cm="1">
        <f t="array" ref="BJ220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K220" s="3" cm="1">
        <f t="array" ref="BK220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L220" s="3" cm="1">
        <f t="array" ref="BL220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M220" s="3" cm="1">
        <f t="array" ref="BM220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0" s="42">
        <v>0.4</v>
      </c>
      <c r="BO220" s="43">
        <v>0</v>
      </c>
      <c r="BP220" s="42">
        <v>2.94</v>
      </c>
      <c r="BQ220" s="43" t="s">
        <v>1795</v>
      </c>
      <c r="BR220" s="3" t="str" cm="1">
        <f t="array" ref="BR220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20" s="3" t="str" cm="1">
        <f t="array" ref="BS220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20" s="3" t="str" cm="1">
        <f t="array" ref="BT220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20" s="3" t="str" cm="1">
        <f t="array" ref="BU220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20" s="48">
        <v>75</v>
      </c>
      <c r="BW220" s="1">
        <v>20</v>
      </c>
      <c r="BX220" s="44">
        <v>40</v>
      </c>
      <c r="BY220" s="51">
        <v>45931</v>
      </c>
      <c r="BZ220" s="5">
        <v>45991</v>
      </c>
      <c r="CA220" s="85">
        <v>0</v>
      </c>
      <c r="CB220" s="2">
        <v>0</v>
      </c>
      <c r="CC220" s="2">
        <v>1</v>
      </c>
      <c r="CD220" s="2">
        <v>1</v>
      </c>
      <c r="CE220" s="2">
        <v>1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P220" s="9"/>
      <c r="CQ220" s="10"/>
    </row>
    <row r="221" spans="2:95" x14ac:dyDescent="0.15">
      <c r="B221" s="36" t="s">
        <v>179</v>
      </c>
      <c r="C221" s="1" t="s">
        <v>187</v>
      </c>
      <c r="K221" s="1" t="s">
        <v>1748</v>
      </c>
      <c r="L221" s="1" t="s">
        <v>1750</v>
      </c>
      <c r="M221" s="1" t="s">
        <v>358</v>
      </c>
      <c r="N221" s="6">
        <v>10.5</v>
      </c>
      <c r="O221" s="1" t="s">
        <v>2</v>
      </c>
      <c r="P221" s="1">
        <v>30</v>
      </c>
      <c r="Q221" s="1">
        <v>5</v>
      </c>
      <c r="R221" s="1">
        <v>2</v>
      </c>
      <c r="S221" s="1">
        <v>20</v>
      </c>
      <c r="T221" s="1">
        <v>30</v>
      </c>
      <c r="U221" s="253">
        <v>5</v>
      </c>
      <c r="V221" s="1">
        <v>90</v>
      </c>
      <c r="W221" s="44">
        <v>130</v>
      </c>
      <c r="X221" s="40">
        <f>_xlfn.XLOOKUP("Ripening", CropPhenology_Oat[Main_Stage], CropPhenology_Oat[Start_GDD], "Not Found")</f>
        <v>1841</v>
      </c>
      <c r="Y221" s="4" cm="1">
        <f t="array" ref="Y221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21" s="3">
        <f t="shared" si="113"/>
        <v>18.191880341880342</v>
      </c>
      <c r="AA221" s="41">
        <f t="shared" si="114"/>
        <v>109.9391576029505</v>
      </c>
      <c r="AB221" s="1">
        <v>8</v>
      </c>
      <c r="AC221" s="1">
        <v>10</v>
      </c>
      <c r="AD221" s="1">
        <v>3</v>
      </c>
      <c r="AE221" s="1">
        <v>85</v>
      </c>
      <c r="AF221" s="1">
        <v>5</v>
      </c>
      <c r="AG221" s="1">
        <v>5</v>
      </c>
      <c r="AH221" s="3">
        <f t="shared" si="115"/>
        <v>1.4462544871794871</v>
      </c>
      <c r="AI221" s="1">
        <v>6</v>
      </c>
      <c r="AJ221" s="1">
        <v>7</v>
      </c>
      <c r="AK221" s="159">
        <v>3.7</v>
      </c>
      <c r="AL221" s="150">
        <v>0.12</v>
      </c>
      <c r="AM221" s="1">
        <v>200</v>
      </c>
      <c r="AN221" s="1">
        <v>350</v>
      </c>
      <c r="AO221" s="48">
        <v>5</v>
      </c>
      <c r="AP221" s="44">
        <v>100</v>
      </c>
      <c r="AQ221" s="42">
        <v>0.72</v>
      </c>
      <c r="AR221" s="1">
        <v>20</v>
      </c>
      <c r="AS221" s="1">
        <v>50</v>
      </c>
      <c r="AT221" s="1">
        <v>1</v>
      </c>
      <c r="AU221" s="4">
        <f t="shared" si="116"/>
        <v>10</v>
      </c>
      <c r="AV221" s="3">
        <f t="shared" si="117"/>
        <v>3</v>
      </c>
      <c r="AW221" s="1">
        <v>85</v>
      </c>
      <c r="AX221" s="3">
        <f t="shared" si="118"/>
        <v>8.5</v>
      </c>
      <c r="AY221" s="1">
        <v>5</v>
      </c>
      <c r="AZ221" s="4">
        <f t="shared" si="119"/>
        <v>42.5</v>
      </c>
      <c r="BA221" s="49">
        <v>0.89</v>
      </c>
      <c r="BB221" s="4">
        <f t="shared" si="120"/>
        <v>37.825000000000003</v>
      </c>
      <c r="BC221" s="50">
        <v>9.5099660592780494E-2</v>
      </c>
      <c r="BD221" s="69">
        <f>IFERROR(
  MAX(0.05, MIN(0.5, CropNorms_Oat[[#This Row],[Leaf_Area_Per_Shoot_m2]] * CropNorms_Oat[[#This Row],[Shoot_Bearing_m2]] )),
  0.2
)</f>
        <v>0.5</v>
      </c>
      <c r="BE221" s="4">
        <f>_xlfn.XLOOKUP(CropNorms_Oat[[#This Row],[LAI_Start_BBCH]], CropPhenology_Oat[Sub_Stage], CropPhenology_Oat[Start_GDD], "Not Found")</f>
        <v>131</v>
      </c>
      <c r="BF221" s="3">
        <f>ROUND(CropNorms_Oat[[#This Row],[Shoot_Bearing_m2]]*CropNorms_Oat[[#This Row],[Leaf_Area_Per_Shoot_m2]],2)</f>
        <v>3.6</v>
      </c>
      <c r="BG221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21" s="3">
        <f>IF(CropNorms_Oat[[#This Row],[Max_LAI]]&gt;=1.2, 0.85*CropNorms_Oat[[#This Row],[Max_LAI]], 1)</f>
        <v>3.06</v>
      </c>
      <c r="BI221" s="41">
        <f>_xlfn.XLOOKUP(CropNorms_Oat[[#This Row],[LAI_End_BBCH]], CropPhenology_Oat[Sub_Stage], CropPhenology_Oat[End_GDD], "Not Found")</f>
        <v>1840</v>
      </c>
      <c r="BJ221" s="3" cm="1">
        <f t="array" ref="BJ221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K221" s="3" cm="1">
        <f t="array" ref="BK22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L221" s="3" cm="1">
        <f t="array" ref="BL221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M221" s="3" cm="1">
        <f t="array" ref="BM22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1" s="42">
        <v>0.4</v>
      </c>
      <c r="BO221" s="43">
        <v>0</v>
      </c>
      <c r="BP221" s="42">
        <v>2.94</v>
      </c>
      <c r="BQ221" s="43" t="s">
        <v>1795</v>
      </c>
      <c r="BR221" s="3" t="str" cm="1">
        <f t="array" ref="BR22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21" s="3" t="str" cm="1">
        <f t="array" ref="BS22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21" s="3" t="str" cm="1">
        <f t="array" ref="BT221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21" s="3" t="str" cm="1">
        <f t="array" ref="BU221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21" s="48">
        <v>75</v>
      </c>
      <c r="BW221" s="1">
        <v>20</v>
      </c>
      <c r="BX221" s="44">
        <v>40</v>
      </c>
      <c r="BY221" s="51">
        <v>45931</v>
      </c>
      <c r="BZ221" s="5">
        <v>45991</v>
      </c>
      <c r="CA221" s="85">
        <v>0</v>
      </c>
      <c r="CB221" s="2">
        <v>0</v>
      </c>
      <c r="CC221" s="2">
        <v>1</v>
      </c>
      <c r="CD221" s="2">
        <v>1</v>
      </c>
      <c r="CE221" s="2">
        <v>1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P221" s="9"/>
      <c r="CQ221" s="10"/>
    </row>
    <row r="222" spans="2:95" ht="11.25" thickBot="1" x14ac:dyDescent="0.2">
      <c r="B222" s="36" t="s">
        <v>179</v>
      </c>
      <c r="C222" s="1" t="s">
        <v>189</v>
      </c>
      <c r="K222" s="1" t="s">
        <v>1748</v>
      </c>
      <c r="L222" s="1" t="s">
        <v>1750</v>
      </c>
      <c r="M222" s="1" t="s">
        <v>358</v>
      </c>
      <c r="N222" s="6">
        <v>10.5</v>
      </c>
      <c r="O222" s="1" t="s">
        <v>2</v>
      </c>
      <c r="P222" s="1">
        <v>30</v>
      </c>
      <c r="Q222" s="1">
        <v>5</v>
      </c>
      <c r="R222" s="1">
        <v>2</v>
      </c>
      <c r="S222" s="1">
        <v>20</v>
      </c>
      <c r="T222" s="1">
        <v>30</v>
      </c>
      <c r="U222" s="254">
        <v>5</v>
      </c>
      <c r="V222" s="1">
        <v>90</v>
      </c>
      <c r="W222" s="44">
        <v>130</v>
      </c>
      <c r="X222" s="40">
        <f>_xlfn.XLOOKUP("Ripening", CropPhenology_Oat[Main_Stage], CropPhenology_Oat[Start_GDD], "Not Found")</f>
        <v>1841</v>
      </c>
      <c r="Y222" s="4" cm="1">
        <f t="array" ref="Y222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Z222" s="3">
        <f t="shared" si="113"/>
        <v>18.191880341880342</v>
      </c>
      <c r="AA222" s="41">
        <f t="shared" si="114"/>
        <v>109.9391576029505</v>
      </c>
      <c r="AB222" s="1">
        <v>8</v>
      </c>
      <c r="AC222" s="1">
        <v>10</v>
      </c>
      <c r="AD222" s="1">
        <v>3</v>
      </c>
      <c r="AE222" s="1">
        <v>85</v>
      </c>
      <c r="AF222" s="1">
        <v>5</v>
      </c>
      <c r="AG222" s="1">
        <v>5</v>
      </c>
      <c r="AH222" s="3">
        <f t="shared" si="115"/>
        <v>1.4462544871794871</v>
      </c>
      <c r="AI222" s="1">
        <v>6</v>
      </c>
      <c r="AJ222" s="1">
        <v>7</v>
      </c>
      <c r="AK222" s="160">
        <v>3.7</v>
      </c>
      <c r="AL222" s="161">
        <v>0.12</v>
      </c>
      <c r="AM222" s="1">
        <v>200</v>
      </c>
      <c r="AN222" s="1">
        <v>350</v>
      </c>
      <c r="AO222" s="48">
        <v>5</v>
      </c>
      <c r="AP222" s="44">
        <v>100</v>
      </c>
      <c r="AQ222" s="42">
        <v>0.7</v>
      </c>
      <c r="AR222" s="1">
        <v>20</v>
      </c>
      <c r="AS222" s="1">
        <v>50</v>
      </c>
      <c r="AT222" s="1">
        <v>1</v>
      </c>
      <c r="AU222" s="4">
        <f t="shared" si="116"/>
        <v>10</v>
      </c>
      <c r="AV222" s="3">
        <f t="shared" si="117"/>
        <v>3</v>
      </c>
      <c r="AW222" s="1">
        <v>85</v>
      </c>
      <c r="AX222" s="3">
        <f t="shared" si="118"/>
        <v>8.5</v>
      </c>
      <c r="AY222" s="1">
        <v>5</v>
      </c>
      <c r="AZ222" s="4">
        <f t="shared" si="119"/>
        <v>42.5</v>
      </c>
      <c r="BA222" s="49">
        <v>0.89</v>
      </c>
      <c r="BB222" s="4">
        <f t="shared" si="120"/>
        <v>37.825000000000003</v>
      </c>
      <c r="BC222" s="50">
        <v>9.5099660592780494E-2</v>
      </c>
      <c r="BD222" s="69">
        <f>IFERROR(
  MAX(0.05, MIN(0.5, CropNorms_Oat[[#This Row],[Leaf_Area_Per_Shoot_m2]] * CropNorms_Oat[[#This Row],[Shoot_Bearing_m2]] )),
  0.2
)</f>
        <v>0.5</v>
      </c>
      <c r="BE222" s="4">
        <f>_xlfn.XLOOKUP(CropNorms_Oat[[#This Row],[LAI_Start_BBCH]], CropPhenology_Oat[Sub_Stage], CropPhenology_Oat[Start_GDD], "Not Found")</f>
        <v>131</v>
      </c>
      <c r="BF222" s="3">
        <f>ROUND(CropNorms_Oat[[#This Row],[Shoot_Bearing_m2]]*CropNorms_Oat[[#This Row],[Leaf_Area_Per_Shoot_m2]],2)</f>
        <v>3.6</v>
      </c>
      <c r="BG222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H222" s="3">
        <f>IF(CropNorms_Oat[[#This Row],[Max_LAI]]&gt;=1.2, 0.85*CropNorms_Oat[[#This Row],[Max_LAI]], 1)</f>
        <v>3.06</v>
      </c>
      <c r="BI222" s="41">
        <f>_xlfn.XLOOKUP(CropNorms_Oat[[#This Row],[LAI_End_BBCH]], CropPhenology_Oat[Sub_Stage], CropPhenology_Oat[End_GDD], "Not Found")</f>
        <v>1840</v>
      </c>
      <c r="BJ222" s="3" cm="1">
        <f t="array" ref="BJ222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K222" s="3" cm="1">
        <f t="array" ref="BK222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L222" s="3" cm="1">
        <f t="array" ref="BL222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M222" s="3" cm="1">
        <f t="array" ref="BM222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2" s="42">
        <v>0.4</v>
      </c>
      <c r="BO222" s="43">
        <v>0</v>
      </c>
      <c r="BP222" s="42">
        <v>2.94</v>
      </c>
      <c r="BQ222" s="43" t="s">
        <v>1795</v>
      </c>
      <c r="BR222" s="3" t="str" cm="1">
        <f t="array" ref="BR222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222" s="3" t="str" cm="1">
        <f t="array" ref="BS222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T222" s="3" t="str" cm="1">
        <f t="array" ref="BT222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22" s="3" t="str" cm="1">
        <f t="array" ref="BU222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22" s="48">
        <v>75</v>
      </c>
      <c r="BW222" s="1">
        <v>20</v>
      </c>
      <c r="BX222" s="44">
        <v>40</v>
      </c>
      <c r="BY222" s="51">
        <v>45931</v>
      </c>
      <c r="BZ222" s="5">
        <v>45991</v>
      </c>
      <c r="CA222" s="85">
        <v>0</v>
      </c>
      <c r="CB222" s="2">
        <v>0</v>
      </c>
      <c r="CC222" s="2">
        <v>1</v>
      </c>
      <c r="CD222" s="2">
        <v>1</v>
      </c>
      <c r="CE222" s="2">
        <v>1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P222" s="9"/>
      <c r="CQ222" s="10"/>
    </row>
    <row r="223" spans="2:95" ht="11.25" thickBot="1" x14ac:dyDescent="0.2">
      <c r="Y223" s="3"/>
      <c r="Z223" s="4"/>
      <c r="AG223" s="3"/>
      <c r="AR223" s="4"/>
      <c r="AS223" s="3"/>
      <c r="AU223" s="3"/>
      <c r="AW223" s="4"/>
      <c r="AX223" s="49"/>
      <c r="AY223" s="4"/>
      <c r="BV223" s="51"/>
      <c r="BW223" s="51"/>
      <c r="CP223" s="9"/>
      <c r="CQ223" s="10"/>
    </row>
    <row r="224" spans="2:95" ht="11.25" thickBot="1" x14ac:dyDescent="0.2">
      <c r="B224" s="54" t="s">
        <v>1753</v>
      </c>
      <c r="C224" s="53" t="s">
        <v>1754</v>
      </c>
      <c r="D224" s="53" t="s">
        <v>1804</v>
      </c>
      <c r="E224" s="53" t="s">
        <v>1805</v>
      </c>
      <c r="F224" s="53" t="s">
        <v>1806</v>
      </c>
      <c r="G224" s="53" t="s">
        <v>1807</v>
      </c>
      <c r="H224" s="53" t="s">
        <v>1808</v>
      </c>
      <c r="I224" s="53" t="s">
        <v>1809</v>
      </c>
      <c r="J224" s="53" t="s">
        <v>1810</v>
      </c>
      <c r="K224" s="53" t="s">
        <v>1747</v>
      </c>
      <c r="L224" s="54" t="s">
        <v>1749</v>
      </c>
      <c r="M224" s="53" t="s">
        <v>357</v>
      </c>
      <c r="N224" s="55" t="s">
        <v>692</v>
      </c>
      <c r="O224" s="53" t="s">
        <v>325</v>
      </c>
      <c r="P224" s="53" t="s">
        <v>356</v>
      </c>
      <c r="Q224" s="53" t="s">
        <v>326</v>
      </c>
      <c r="R224" s="53" t="s">
        <v>327</v>
      </c>
      <c r="S224" s="53" t="s">
        <v>328</v>
      </c>
      <c r="T224" s="53" t="s">
        <v>329</v>
      </c>
      <c r="U224" s="250" t="s">
        <v>2349</v>
      </c>
      <c r="V224" s="53" t="s">
        <v>330</v>
      </c>
      <c r="W224" s="53" t="s">
        <v>331</v>
      </c>
      <c r="X224" s="56" t="s">
        <v>354</v>
      </c>
      <c r="Y224" s="57" t="s">
        <v>355</v>
      </c>
      <c r="Z224" s="58" t="s">
        <v>413</v>
      </c>
      <c r="AA224" s="59" t="s">
        <v>583</v>
      </c>
      <c r="AB224" s="53" t="s">
        <v>324</v>
      </c>
      <c r="AC224" s="53" t="s">
        <v>332</v>
      </c>
      <c r="AD224" s="53" t="s">
        <v>333</v>
      </c>
      <c r="AE224" s="53" t="s">
        <v>334</v>
      </c>
      <c r="AF224" s="53" t="s">
        <v>335</v>
      </c>
      <c r="AG224" s="53" t="s">
        <v>336</v>
      </c>
      <c r="AH224" s="60" t="s">
        <v>337</v>
      </c>
      <c r="AI224" s="53" t="s">
        <v>338</v>
      </c>
      <c r="AJ224" s="53" t="s">
        <v>339</v>
      </c>
      <c r="AK224" s="157" t="s">
        <v>2346</v>
      </c>
      <c r="AL224" s="158" t="s">
        <v>2347</v>
      </c>
      <c r="AM224" s="53" t="s">
        <v>340</v>
      </c>
      <c r="AN224" s="53" t="s">
        <v>341</v>
      </c>
      <c r="AO224" s="61" t="s">
        <v>342</v>
      </c>
      <c r="AP224" s="62" t="s">
        <v>343</v>
      </c>
      <c r="AQ224" s="55" t="s">
        <v>344</v>
      </c>
      <c r="AR224" s="53" t="s">
        <v>345</v>
      </c>
      <c r="AS224" s="53" t="s">
        <v>346</v>
      </c>
      <c r="AT224" s="53" t="s">
        <v>364</v>
      </c>
      <c r="AU224" s="60" t="s">
        <v>347</v>
      </c>
      <c r="AV224" s="58" t="s">
        <v>363</v>
      </c>
      <c r="AW224" s="53" t="s">
        <v>348</v>
      </c>
      <c r="AX224" s="58" t="s">
        <v>349</v>
      </c>
      <c r="AY224" s="53" t="s">
        <v>366</v>
      </c>
      <c r="AZ224" s="60" t="s">
        <v>350</v>
      </c>
      <c r="BA224" s="53" t="s">
        <v>365</v>
      </c>
      <c r="BB224" s="60" t="s">
        <v>1827</v>
      </c>
      <c r="BC224" s="63" t="s">
        <v>351</v>
      </c>
      <c r="BD224" s="71" t="s">
        <v>1811</v>
      </c>
      <c r="BE224" s="57" t="s">
        <v>352</v>
      </c>
      <c r="BF224" s="58" t="s">
        <v>1812</v>
      </c>
      <c r="BG224" s="57" t="s">
        <v>1752</v>
      </c>
      <c r="BH224" s="60" t="s">
        <v>1813</v>
      </c>
      <c r="BI224" s="59" t="s">
        <v>353</v>
      </c>
      <c r="BJ224" s="71" t="s">
        <v>1828</v>
      </c>
      <c r="BK224" s="58" t="s">
        <v>1829</v>
      </c>
      <c r="BL224" s="58" t="s">
        <v>1830</v>
      </c>
      <c r="BM224" s="72" t="s">
        <v>1831</v>
      </c>
      <c r="BN224" s="64" t="s">
        <v>1154</v>
      </c>
      <c r="BO224" s="65" t="s">
        <v>1742</v>
      </c>
      <c r="BP224" s="64" t="s">
        <v>1155</v>
      </c>
      <c r="BQ224" s="65" t="s">
        <v>1755</v>
      </c>
      <c r="BR224" s="58" t="s">
        <v>367</v>
      </c>
      <c r="BS224" s="58" t="s">
        <v>1751</v>
      </c>
      <c r="BT224" s="58" t="s">
        <v>368</v>
      </c>
      <c r="BU224" s="60" t="s">
        <v>1814</v>
      </c>
      <c r="BV224" s="61" t="s">
        <v>369</v>
      </c>
      <c r="BW224" s="53" t="s">
        <v>370</v>
      </c>
      <c r="BX224" s="62" t="s">
        <v>371</v>
      </c>
      <c r="BY224" s="53" t="s">
        <v>359</v>
      </c>
      <c r="BZ224" s="53" t="s">
        <v>361</v>
      </c>
      <c r="CA224" s="61" t="s">
        <v>1815</v>
      </c>
      <c r="CB224" s="53" t="s">
        <v>1816</v>
      </c>
      <c r="CC224" s="53" t="s">
        <v>1817</v>
      </c>
      <c r="CD224" s="53" t="s">
        <v>1818</v>
      </c>
      <c r="CE224" s="53" t="s">
        <v>1819</v>
      </c>
      <c r="CF224" s="53" t="s">
        <v>1820</v>
      </c>
      <c r="CG224" s="53" t="s">
        <v>1821</v>
      </c>
      <c r="CH224" s="53" t="s">
        <v>1822</v>
      </c>
      <c r="CI224" s="53" t="s">
        <v>1823</v>
      </c>
      <c r="CJ224" s="53" t="s">
        <v>1824</v>
      </c>
      <c r="CK224" s="53" t="s">
        <v>1825</v>
      </c>
      <c r="CL224" s="53" t="s">
        <v>1826</v>
      </c>
      <c r="CP224" s="9"/>
      <c r="CQ224" s="10"/>
    </row>
    <row r="225" spans="2:95" x14ac:dyDescent="0.15">
      <c r="B225" s="36" t="s">
        <v>190</v>
      </c>
      <c r="C225" s="1" t="s">
        <v>191</v>
      </c>
      <c r="K225" s="1" t="s">
        <v>1763</v>
      </c>
      <c r="L225" s="1" t="s">
        <v>1750</v>
      </c>
      <c r="M225" s="1" t="s">
        <v>362</v>
      </c>
      <c r="N225" s="6">
        <v>14</v>
      </c>
      <c r="O225" s="1" t="s">
        <v>4</v>
      </c>
      <c r="P225" s="1">
        <v>30</v>
      </c>
      <c r="Q225" s="1">
        <v>12</v>
      </c>
      <c r="R225" s="1">
        <v>10</v>
      </c>
      <c r="S225" s="1">
        <v>30</v>
      </c>
      <c r="T225" s="1">
        <v>38</v>
      </c>
      <c r="U225" s="253">
        <v>4</v>
      </c>
      <c r="V225" s="1">
        <v>45</v>
      </c>
      <c r="W225" s="44">
        <v>100</v>
      </c>
      <c r="X225" s="40">
        <f>_xlfn.XLOOKUP("Ripening", CropPhenology_Okra[Main_Stage], CropPhenology_Okra[Start_GDD], "Not Found")</f>
        <v>1401</v>
      </c>
      <c r="Y225" s="4" cm="1">
        <f t="array" ref="Y225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Z225" s="3">
        <f>MIN(Y225/V225,MAX(X225/W225,R225,(X225/W225+Y225/V225)/2))</f>
        <v>27.004999999999999</v>
      </c>
      <c r="AA225" s="41">
        <f t="shared" ref="AA225:AA229" si="121">Y225/Z225</f>
        <v>66.654323273467881</v>
      </c>
      <c r="AB225" s="1">
        <v>8</v>
      </c>
      <c r="AC225" s="1">
        <v>15</v>
      </c>
      <c r="AD225" s="1">
        <v>3</v>
      </c>
      <c r="AE225" s="1">
        <v>90</v>
      </c>
      <c r="AF225" s="1">
        <v>10</v>
      </c>
      <c r="AG225" s="1">
        <v>5</v>
      </c>
      <c r="AH225" s="3">
        <f t="shared" si="99"/>
        <v>5.9861083333333331</v>
      </c>
      <c r="AI225" s="1">
        <v>6</v>
      </c>
      <c r="AJ225" s="1">
        <v>7.5</v>
      </c>
      <c r="AK225" s="159">
        <v>2</v>
      </c>
      <c r="AL225" s="150">
        <v>0.1</v>
      </c>
      <c r="AM225" s="1">
        <v>400</v>
      </c>
      <c r="AN225" s="1">
        <v>600</v>
      </c>
      <c r="AO225" s="48">
        <v>2</v>
      </c>
      <c r="AP225" s="44">
        <v>50</v>
      </c>
      <c r="AQ225" s="42">
        <v>0.85</v>
      </c>
      <c r="AR225" s="1">
        <v>60</v>
      </c>
      <c r="AS225" s="1">
        <v>20</v>
      </c>
      <c r="AT225" s="1">
        <v>1</v>
      </c>
      <c r="AU225" s="4">
        <f t="shared" si="100"/>
        <v>8.3333333333333339</v>
      </c>
      <c r="AV225" s="3">
        <f>ROUND((P225/1000000)*AU225*10000,2)</f>
        <v>2.5</v>
      </c>
      <c r="AW225" s="1">
        <v>85</v>
      </c>
      <c r="AX225" s="3">
        <f t="shared" ref="AX225:AX229" si="122">IFERROR((AU225*AW225/100),0)</f>
        <v>7.0833333333333339</v>
      </c>
      <c r="AY225" s="1">
        <v>3</v>
      </c>
      <c r="AZ225" s="4">
        <f t="shared" ref="AZ225:AZ229" si="123">IFERROR(AX225*AY225,0)</f>
        <v>21.25</v>
      </c>
      <c r="BA225" s="49">
        <v>0.86</v>
      </c>
      <c r="BB225" s="4">
        <f t="shared" si="103"/>
        <v>18.274999999999999</v>
      </c>
      <c r="BC225" s="50">
        <v>0.1</v>
      </c>
      <c r="BD225" s="69">
        <f>IFERROR(
  MAX(0.05, MIN(0.5, CropNorms_Okra[[#This Row],[Leaf_Area_Per_Shoot_m2]] * CropNorms_Okra[[#This Row],[Shoot_Bearing_m2]] )),
  0.2
)</f>
        <v>0.5</v>
      </c>
      <c r="BE225" s="4">
        <f>_xlfn.XLOOKUP(CropNorms_Okra[[#This Row],[LAI_Start_BBCH]], CropPhenology_Okra[Sub_Stage], CropPhenology_Okra[Start_GDD], "Not Found")</f>
        <v>141</v>
      </c>
      <c r="BF225" s="3">
        <f>ROUND(CropNorms_Okra[[#This Row],[Shoot_Bearing_m2]]*CropNorms_Okra[[#This Row],[Leaf_Area_Per_Shoot_m2]],2)</f>
        <v>1.83</v>
      </c>
      <c r="BG225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H225" s="3">
        <f>IF(CropNorms_Okra[[#This Row],[Max_LAI]]&gt;=1.2, 0.85*CropNorms_Okra[[#This Row],[Max_LAI]], 1)</f>
        <v>1.5555000000000001</v>
      </c>
      <c r="BI225" s="41">
        <f>_xlfn.XLOOKUP(CropNorms_Okra[[#This Row],[LAI_End_BBCH]], CropPhenology_Okra[Sub_Stage], CropPhenology_Okra[End_GDD], "Not Found")</f>
        <v>1400</v>
      </c>
      <c r="BJ225" s="3" cm="1">
        <f t="array" ref="BJ225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K225" s="3" cm="1">
        <f t="array" ref="BK225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L225" s="3" cm="1">
        <f t="array" ref="BL225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M225" s="3" cm="1">
        <f t="array" ref="BM225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5" s="42">
        <v>0.2</v>
      </c>
      <c r="BO225" s="43">
        <v>0.9</v>
      </c>
      <c r="BP225" s="42">
        <v>18.72</v>
      </c>
      <c r="BQ225" s="43" t="s">
        <v>1798</v>
      </c>
      <c r="BR225" s="3" t="str" cm="1">
        <f t="array" ref="BR225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25" s="3" t="str" cm="1">
        <f t="array" ref="BS225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T225" s="3" t="str" cm="1">
        <f t="array" ref="BT225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225" s="3" t="str" cm="1">
        <f t="array" ref="BU225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225" s="48">
        <v>90</v>
      </c>
      <c r="BW225" s="1">
        <v>60</v>
      </c>
      <c r="BX225" s="44">
        <v>60</v>
      </c>
      <c r="BY225" s="51">
        <v>45703</v>
      </c>
      <c r="BZ225" s="5">
        <v>45731</v>
      </c>
      <c r="CA225" s="85">
        <v>0</v>
      </c>
      <c r="CB225" s="2">
        <v>0</v>
      </c>
      <c r="CC225" s="2">
        <v>1</v>
      </c>
      <c r="CD225" s="2">
        <v>1</v>
      </c>
      <c r="CE225" s="2">
        <v>1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P225" s="9"/>
      <c r="CQ225" s="10"/>
    </row>
    <row r="226" spans="2:95" x14ac:dyDescent="0.15">
      <c r="B226" s="36" t="s">
        <v>190</v>
      </c>
      <c r="C226" s="1" t="s">
        <v>192</v>
      </c>
      <c r="K226" s="1" t="s">
        <v>1763</v>
      </c>
      <c r="L226" s="1" t="s">
        <v>1750</v>
      </c>
      <c r="M226" s="1" t="s">
        <v>362</v>
      </c>
      <c r="N226" s="6">
        <v>14</v>
      </c>
      <c r="O226" s="1" t="s">
        <v>4</v>
      </c>
      <c r="P226" s="1">
        <v>30</v>
      </c>
      <c r="Q226" s="1">
        <v>12</v>
      </c>
      <c r="R226" s="1">
        <v>10</v>
      </c>
      <c r="S226" s="1">
        <v>30</v>
      </c>
      <c r="T226" s="1">
        <v>38</v>
      </c>
      <c r="U226" s="253">
        <v>4</v>
      </c>
      <c r="V226" s="1">
        <v>45</v>
      </c>
      <c r="W226" s="44">
        <v>100</v>
      </c>
      <c r="X226" s="40">
        <f>_xlfn.XLOOKUP("Ripening", CropPhenology_Okra[Main_Stage], CropPhenology_Okra[Start_GDD], "Not Found")</f>
        <v>1401</v>
      </c>
      <c r="Y226" s="4" cm="1">
        <f t="array" ref="Y226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Z226" s="3">
        <f>MIN(Y226/V226,MAX(X226/W226,R226,(X226/W226+Y226/V226)/2))</f>
        <v>27.004999999999999</v>
      </c>
      <c r="AA226" s="41">
        <f t="shared" si="121"/>
        <v>66.654323273467881</v>
      </c>
      <c r="AB226" s="1">
        <v>8</v>
      </c>
      <c r="AC226" s="1">
        <v>15</v>
      </c>
      <c r="AD226" s="1">
        <v>3</v>
      </c>
      <c r="AE226" s="1">
        <v>90</v>
      </c>
      <c r="AF226" s="1">
        <v>10</v>
      </c>
      <c r="AG226" s="1">
        <v>5</v>
      </c>
      <c r="AH226" s="3">
        <f t="shared" si="99"/>
        <v>5.9861083333333331</v>
      </c>
      <c r="AI226" s="1">
        <v>6</v>
      </c>
      <c r="AJ226" s="1">
        <v>7.5</v>
      </c>
      <c r="AK226" s="159">
        <v>2</v>
      </c>
      <c r="AL226" s="150">
        <v>0.1</v>
      </c>
      <c r="AM226" s="1">
        <v>400</v>
      </c>
      <c r="AN226" s="1">
        <v>600</v>
      </c>
      <c r="AO226" s="48">
        <v>2</v>
      </c>
      <c r="AP226" s="44">
        <v>50</v>
      </c>
      <c r="AQ226" s="42">
        <v>0.8</v>
      </c>
      <c r="AR226" s="1">
        <v>60</v>
      </c>
      <c r="AS226" s="1">
        <v>20</v>
      </c>
      <c r="AT226" s="1">
        <v>1</v>
      </c>
      <c r="AU226" s="4">
        <f t="shared" ref="AU226:AU295" si="124">IFERROR(10000/(AS226*AR226),0)*AT226</f>
        <v>8.3333333333333339</v>
      </c>
      <c r="AV226" s="3">
        <f>ROUND((P226/1000000)*AU226*10000,2)</f>
        <v>2.5</v>
      </c>
      <c r="AW226" s="1">
        <v>85</v>
      </c>
      <c r="AX226" s="3">
        <f t="shared" si="122"/>
        <v>7.0833333333333339</v>
      </c>
      <c r="AY226" s="1">
        <v>3</v>
      </c>
      <c r="AZ226" s="4">
        <f t="shared" si="123"/>
        <v>21.25</v>
      </c>
      <c r="BA226" s="49">
        <v>0.86</v>
      </c>
      <c r="BB226" s="4">
        <f t="shared" ref="BB226:BB295" si="125">IFERROR(AZ226*BA226,0)</f>
        <v>18.274999999999999</v>
      </c>
      <c r="BC226" s="50">
        <v>0.1</v>
      </c>
      <c r="BD226" s="69">
        <f>IFERROR(
  MAX(0.05, MIN(0.5, CropNorms_Okra[[#This Row],[Leaf_Area_Per_Shoot_m2]] * CropNorms_Okra[[#This Row],[Shoot_Bearing_m2]] )),
  0.2
)</f>
        <v>0.5</v>
      </c>
      <c r="BE226" s="4">
        <f>_xlfn.XLOOKUP(CropNorms_Okra[[#This Row],[LAI_Start_BBCH]], CropPhenology_Okra[Sub_Stage], CropPhenology_Okra[Start_GDD], "Not Found")</f>
        <v>141</v>
      </c>
      <c r="BF226" s="3">
        <f>ROUND(CropNorms_Okra[[#This Row],[Shoot_Bearing_m2]]*CropNorms_Okra[[#This Row],[Leaf_Area_Per_Shoot_m2]],2)</f>
        <v>1.83</v>
      </c>
      <c r="BG226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H226" s="3">
        <f>IF(CropNorms_Okra[[#This Row],[Max_LAI]]&gt;=1.2, 0.85*CropNorms_Okra[[#This Row],[Max_LAI]], 1)</f>
        <v>1.5555000000000001</v>
      </c>
      <c r="BI226" s="41">
        <f>_xlfn.XLOOKUP(CropNorms_Okra[[#This Row],[LAI_End_BBCH]], CropPhenology_Okra[Sub_Stage], CropPhenology_Okra[End_GDD], "Not Found")</f>
        <v>1400</v>
      </c>
      <c r="BJ226" s="3" cm="1">
        <f t="array" ref="BJ226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K226" s="3" cm="1">
        <f t="array" ref="BK226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L226" s="3" cm="1">
        <f t="array" ref="BL226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M226" s="3" cm="1">
        <f t="array" ref="BM226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6" s="42">
        <v>0.2</v>
      </c>
      <c r="BO226" s="43">
        <v>0.9</v>
      </c>
      <c r="BP226" s="42">
        <v>18.72</v>
      </c>
      <c r="BQ226" s="43" t="s">
        <v>1798</v>
      </c>
      <c r="BR226" s="3" t="str" cm="1">
        <f t="array" ref="BR226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26" s="3" t="str" cm="1">
        <f t="array" ref="BS226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T226" s="3" t="str" cm="1">
        <f t="array" ref="BT226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226" s="3" t="str" cm="1">
        <f t="array" ref="BU226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226" s="48">
        <v>90</v>
      </c>
      <c r="BW226" s="1">
        <v>60</v>
      </c>
      <c r="BX226" s="44">
        <v>60</v>
      </c>
      <c r="BY226" s="51">
        <v>45703</v>
      </c>
      <c r="BZ226" s="5">
        <v>45731</v>
      </c>
      <c r="CA226" s="85">
        <v>0</v>
      </c>
      <c r="CB226" s="2">
        <v>0</v>
      </c>
      <c r="CC226" s="2">
        <v>1</v>
      </c>
      <c r="CD226" s="2">
        <v>1</v>
      </c>
      <c r="CE226" s="2">
        <v>1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P226" s="9"/>
      <c r="CQ226" s="10"/>
    </row>
    <row r="227" spans="2:95" x14ac:dyDescent="0.15">
      <c r="B227" s="36" t="s">
        <v>190</v>
      </c>
      <c r="C227" s="1" t="s">
        <v>193</v>
      </c>
      <c r="K227" s="1" t="s">
        <v>1763</v>
      </c>
      <c r="L227" s="1" t="s">
        <v>1750</v>
      </c>
      <c r="M227" s="1" t="s">
        <v>362</v>
      </c>
      <c r="N227" s="6">
        <v>14</v>
      </c>
      <c r="O227" s="1" t="s">
        <v>4</v>
      </c>
      <c r="P227" s="1">
        <v>30</v>
      </c>
      <c r="Q227" s="1">
        <v>12</v>
      </c>
      <c r="R227" s="1">
        <v>10</v>
      </c>
      <c r="S227" s="1">
        <v>30</v>
      </c>
      <c r="T227" s="1">
        <v>38</v>
      </c>
      <c r="U227" s="253">
        <v>4</v>
      </c>
      <c r="V227" s="1">
        <v>45</v>
      </c>
      <c r="W227" s="44">
        <v>100</v>
      </c>
      <c r="X227" s="40">
        <f>_xlfn.XLOOKUP("Ripening", CropPhenology_Okra[Main_Stage], CropPhenology_Okra[Start_GDD], "Not Found")</f>
        <v>1401</v>
      </c>
      <c r="Y227" s="4" cm="1">
        <f t="array" ref="Y227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Z227" s="3">
        <f>MIN(Y227/V227,MAX(X227/W227,R227,(X227/W227+Y227/V227)/2))</f>
        <v>27.004999999999999</v>
      </c>
      <c r="AA227" s="41">
        <f t="shared" si="121"/>
        <v>66.654323273467881</v>
      </c>
      <c r="AB227" s="1">
        <v>8</v>
      </c>
      <c r="AC227" s="1">
        <v>15</v>
      </c>
      <c r="AD227" s="1">
        <v>3</v>
      </c>
      <c r="AE227" s="1">
        <v>90</v>
      </c>
      <c r="AF227" s="1">
        <v>10</v>
      </c>
      <c r="AG227" s="1">
        <v>5</v>
      </c>
      <c r="AH227" s="3">
        <f t="shared" si="99"/>
        <v>5.9861083333333331</v>
      </c>
      <c r="AI227" s="1">
        <v>6</v>
      </c>
      <c r="AJ227" s="1">
        <v>7.5</v>
      </c>
      <c r="AK227" s="159">
        <v>2</v>
      </c>
      <c r="AL227" s="150">
        <v>0.1</v>
      </c>
      <c r="AM227" s="1">
        <v>400</v>
      </c>
      <c r="AN227" s="1">
        <v>600</v>
      </c>
      <c r="AO227" s="48">
        <v>2</v>
      </c>
      <c r="AP227" s="44">
        <v>50</v>
      </c>
      <c r="AQ227" s="42">
        <v>0.82</v>
      </c>
      <c r="AR227" s="1">
        <v>60</v>
      </c>
      <c r="AS227" s="1">
        <v>20</v>
      </c>
      <c r="AT227" s="1">
        <v>1</v>
      </c>
      <c r="AU227" s="4">
        <f t="shared" si="124"/>
        <v>8.3333333333333339</v>
      </c>
      <c r="AV227" s="3">
        <f>ROUND((P227/1000000)*AU227*10000,2)</f>
        <v>2.5</v>
      </c>
      <c r="AW227" s="1">
        <v>85</v>
      </c>
      <c r="AX227" s="3">
        <f t="shared" si="122"/>
        <v>7.0833333333333339</v>
      </c>
      <c r="AY227" s="1">
        <v>3</v>
      </c>
      <c r="AZ227" s="4">
        <f t="shared" si="123"/>
        <v>21.25</v>
      </c>
      <c r="BA227" s="49">
        <v>0.86</v>
      </c>
      <c r="BB227" s="4">
        <f t="shared" si="125"/>
        <v>18.274999999999999</v>
      </c>
      <c r="BC227" s="50">
        <v>0.1</v>
      </c>
      <c r="BD227" s="69">
        <f>IFERROR(
  MAX(0.05, MIN(0.5, CropNorms_Okra[[#This Row],[Leaf_Area_Per_Shoot_m2]] * CropNorms_Okra[[#This Row],[Shoot_Bearing_m2]] )),
  0.2
)</f>
        <v>0.5</v>
      </c>
      <c r="BE227" s="4">
        <f>_xlfn.XLOOKUP(CropNorms_Okra[[#This Row],[LAI_Start_BBCH]], CropPhenology_Okra[Sub_Stage], CropPhenology_Okra[Start_GDD], "Not Found")</f>
        <v>141</v>
      </c>
      <c r="BF227" s="3">
        <f>ROUND(CropNorms_Okra[[#This Row],[Shoot_Bearing_m2]]*CropNorms_Okra[[#This Row],[Leaf_Area_Per_Shoot_m2]],2)</f>
        <v>1.83</v>
      </c>
      <c r="BG227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H227" s="3">
        <f>IF(CropNorms_Okra[[#This Row],[Max_LAI]]&gt;=1.2, 0.85*CropNorms_Okra[[#This Row],[Max_LAI]], 1)</f>
        <v>1.5555000000000001</v>
      </c>
      <c r="BI227" s="41">
        <f>_xlfn.XLOOKUP(CropNorms_Okra[[#This Row],[LAI_End_BBCH]], CropPhenology_Okra[Sub_Stage], CropPhenology_Okra[End_GDD], "Not Found")</f>
        <v>1400</v>
      </c>
      <c r="BJ227" s="3" cm="1">
        <f t="array" ref="BJ227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K227" s="3" cm="1">
        <f t="array" ref="BK227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L227" s="3" cm="1">
        <f t="array" ref="BL227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M227" s="3" cm="1">
        <f t="array" ref="BM227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7" s="42">
        <v>0.2</v>
      </c>
      <c r="BO227" s="43">
        <v>0.9</v>
      </c>
      <c r="BP227" s="42">
        <v>18.72</v>
      </c>
      <c r="BQ227" s="43" t="s">
        <v>1798</v>
      </c>
      <c r="BR227" s="3" t="str" cm="1">
        <f t="array" ref="BR227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27" s="3" t="str" cm="1">
        <f t="array" ref="BS227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T227" s="3" t="str" cm="1">
        <f t="array" ref="BT227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227" s="3" t="str" cm="1">
        <f t="array" ref="BU227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227" s="48">
        <v>90</v>
      </c>
      <c r="BW227" s="1">
        <v>60</v>
      </c>
      <c r="BX227" s="44">
        <v>60</v>
      </c>
      <c r="BY227" s="51">
        <v>45703</v>
      </c>
      <c r="BZ227" s="5">
        <v>45731</v>
      </c>
      <c r="CA227" s="85">
        <v>0</v>
      </c>
      <c r="CB227" s="2">
        <v>0</v>
      </c>
      <c r="CC227" s="2">
        <v>1</v>
      </c>
      <c r="CD227" s="2">
        <v>1</v>
      </c>
      <c r="CE227" s="2">
        <v>1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P227" s="9"/>
      <c r="CQ227" s="10"/>
    </row>
    <row r="228" spans="2:95" x14ac:dyDescent="0.15">
      <c r="B228" s="36" t="s">
        <v>190</v>
      </c>
      <c r="C228" s="1" t="s">
        <v>194</v>
      </c>
      <c r="K228" s="1" t="s">
        <v>1763</v>
      </c>
      <c r="L228" s="1" t="s">
        <v>1750</v>
      </c>
      <c r="M228" s="1" t="s">
        <v>362</v>
      </c>
      <c r="N228" s="6">
        <v>14</v>
      </c>
      <c r="O228" s="1" t="s">
        <v>4</v>
      </c>
      <c r="P228" s="1">
        <v>30</v>
      </c>
      <c r="Q228" s="1">
        <v>12</v>
      </c>
      <c r="R228" s="1">
        <v>10</v>
      </c>
      <c r="S228" s="1">
        <v>30</v>
      </c>
      <c r="T228" s="1">
        <v>38</v>
      </c>
      <c r="U228" s="253">
        <v>4</v>
      </c>
      <c r="V228" s="1">
        <v>45</v>
      </c>
      <c r="W228" s="44">
        <v>100</v>
      </c>
      <c r="X228" s="40">
        <f>_xlfn.XLOOKUP("Ripening", CropPhenology_Okra[Main_Stage], CropPhenology_Okra[Start_GDD], "Not Found")</f>
        <v>1401</v>
      </c>
      <c r="Y228" s="4" cm="1">
        <f t="array" ref="Y228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Z228" s="3">
        <f>MIN(Y228/V228,MAX(X228/W228,R228,(X228/W228+Y228/V228)/2))</f>
        <v>27.004999999999999</v>
      </c>
      <c r="AA228" s="41">
        <f t="shared" si="121"/>
        <v>66.654323273467881</v>
      </c>
      <c r="AB228" s="1">
        <v>8</v>
      </c>
      <c r="AC228" s="1">
        <v>15</v>
      </c>
      <c r="AD228" s="1">
        <v>3</v>
      </c>
      <c r="AE228" s="1">
        <v>90</v>
      </c>
      <c r="AF228" s="1">
        <v>10</v>
      </c>
      <c r="AG228" s="1">
        <v>5</v>
      </c>
      <c r="AH228" s="3">
        <f t="shared" ref="AH228:AH229" si="126">IFERROR((Y228-X228)/AA228,0)</f>
        <v>5.9861083333333331</v>
      </c>
      <c r="AI228" s="1">
        <v>6</v>
      </c>
      <c r="AJ228" s="1">
        <v>7.5</v>
      </c>
      <c r="AK228" s="159">
        <v>2</v>
      </c>
      <c r="AL228" s="150">
        <v>0.1</v>
      </c>
      <c r="AM228" s="1">
        <v>400</v>
      </c>
      <c r="AN228" s="1">
        <v>600</v>
      </c>
      <c r="AO228" s="48">
        <v>2</v>
      </c>
      <c r="AP228" s="44">
        <v>50</v>
      </c>
      <c r="AQ228" s="42">
        <v>0.78</v>
      </c>
      <c r="AR228" s="1">
        <v>60</v>
      </c>
      <c r="AS228" s="1">
        <v>20</v>
      </c>
      <c r="AT228" s="1">
        <v>1</v>
      </c>
      <c r="AU228" s="4">
        <f t="shared" si="124"/>
        <v>8.3333333333333339</v>
      </c>
      <c r="AV228" s="3">
        <f>ROUND((P228/1000000)*AU228*10000,2)</f>
        <v>2.5</v>
      </c>
      <c r="AW228" s="1">
        <v>85</v>
      </c>
      <c r="AX228" s="3">
        <f t="shared" si="122"/>
        <v>7.0833333333333339</v>
      </c>
      <c r="AY228" s="1">
        <v>3</v>
      </c>
      <c r="AZ228" s="4">
        <f t="shared" si="123"/>
        <v>21.25</v>
      </c>
      <c r="BA228" s="49">
        <v>0.86</v>
      </c>
      <c r="BB228" s="4">
        <f t="shared" si="125"/>
        <v>18.274999999999999</v>
      </c>
      <c r="BC228" s="50">
        <v>0.1</v>
      </c>
      <c r="BD228" s="69">
        <f>IFERROR(
  MAX(0.05, MIN(0.5, CropNorms_Okra[[#This Row],[Leaf_Area_Per_Shoot_m2]] * CropNorms_Okra[[#This Row],[Shoot_Bearing_m2]] )),
  0.2
)</f>
        <v>0.5</v>
      </c>
      <c r="BE228" s="4">
        <f>_xlfn.XLOOKUP(CropNorms_Okra[[#This Row],[LAI_Start_BBCH]], CropPhenology_Okra[Sub_Stage], CropPhenology_Okra[Start_GDD], "Not Found")</f>
        <v>141</v>
      </c>
      <c r="BF228" s="3">
        <f>ROUND(CropNorms_Okra[[#This Row],[Shoot_Bearing_m2]]*CropNorms_Okra[[#This Row],[Leaf_Area_Per_Shoot_m2]],2)</f>
        <v>1.83</v>
      </c>
      <c r="BG228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H228" s="3">
        <f>IF(CropNorms_Okra[[#This Row],[Max_LAI]]&gt;=1.2, 0.85*CropNorms_Okra[[#This Row],[Max_LAI]], 1)</f>
        <v>1.5555000000000001</v>
      </c>
      <c r="BI228" s="41">
        <f>_xlfn.XLOOKUP(CropNorms_Okra[[#This Row],[LAI_End_BBCH]], CropPhenology_Okra[Sub_Stage], CropPhenology_Okra[End_GDD], "Not Found")</f>
        <v>1400</v>
      </c>
      <c r="BJ228" s="3" cm="1">
        <f t="array" ref="BJ228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K228" s="3" cm="1">
        <f t="array" ref="BK228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L228" s="3" cm="1">
        <f t="array" ref="BL228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M228" s="3" cm="1">
        <f t="array" ref="BM228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8" s="42">
        <v>0.2</v>
      </c>
      <c r="BO228" s="43">
        <v>0.9</v>
      </c>
      <c r="BP228" s="42">
        <v>18.72</v>
      </c>
      <c r="BQ228" s="43" t="s">
        <v>1798</v>
      </c>
      <c r="BR228" s="3" t="str" cm="1">
        <f t="array" ref="BR228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28" s="3" t="str" cm="1">
        <f t="array" ref="BS228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T228" s="3" t="str" cm="1">
        <f t="array" ref="BT228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228" s="3" t="str" cm="1">
        <f t="array" ref="BU228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228" s="48">
        <v>90</v>
      </c>
      <c r="BW228" s="1">
        <v>60</v>
      </c>
      <c r="BX228" s="44">
        <v>60</v>
      </c>
      <c r="BY228" s="51">
        <v>45703</v>
      </c>
      <c r="BZ228" s="5">
        <v>45731</v>
      </c>
      <c r="CA228" s="85">
        <v>0</v>
      </c>
      <c r="CB228" s="2">
        <v>0</v>
      </c>
      <c r="CC228" s="2">
        <v>1</v>
      </c>
      <c r="CD228" s="2">
        <v>1</v>
      </c>
      <c r="CE228" s="2">
        <v>1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P228" s="9"/>
      <c r="CQ228" s="10"/>
    </row>
    <row r="229" spans="2:95" ht="11.25" thickBot="1" x14ac:dyDescent="0.2">
      <c r="B229" s="36" t="s">
        <v>190</v>
      </c>
      <c r="C229" s="1" t="s">
        <v>195</v>
      </c>
      <c r="K229" s="1" t="s">
        <v>1763</v>
      </c>
      <c r="L229" s="1" t="s">
        <v>1750</v>
      </c>
      <c r="M229" s="1" t="s">
        <v>362</v>
      </c>
      <c r="N229" s="6">
        <v>14</v>
      </c>
      <c r="O229" s="1" t="s">
        <v>4</v>
      </c>
      <c r="P229" s="1">
        <v>30</v>
      </c>
      <c r="Q229" s="1">
        <v>12</v>
      </c>
      <c r="R229" s="1">
        <v>10</v>
      </c>
      <c r="S229" s="1">
        <v>30</v>
      </c>
      <c r="T229" s="1">
        <v>38</v>
      </c>
      <c r="U229" s="254">
        <v>4</v>
      </c>
      <c r="V229" s="1">
        <v>45</v>
      </c>
      <c r="W229" s="44">
        <v>100</v>
      </c>
      <c r="X229" s="40">
        <f>_xlfn.XLOOKUP("Ripening", CropPhenology_Okra[Main_Stage], CropPhenology_Okra[Start_GDD], "Not Found")</f>
        <v>1401</v>
      </c>
      <c r="Y229" s="4" cm="1">
        <f t="array" ref="Y229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Z229" s="3">
        <f>MIN(Y229/V229,MAX(X229/W229,R229,(X229/W229+Y229/V229)/2))</f>
        <v>27.004999999999999</v>
      </c>
      <c r="AA229" s="41">
        <f t="shared" si="121"/>
        <v>66.654323273467881</v>
      </c>
      <c r="AB229" s="1">
        <v>8</v>
      </c>
      <c r="AC229" s="1">
        <v>15</v>
      </c>
      <c r="AD229" s="1">
        <v>3</v>
      </c>
      <c r="AE229" s="1">
        <v>90</v>
      </c>
      <c r="AF229" s="1">
        <v>10</v>
      </c>
      <c r="AG229" s="1">
        <v>5</v>
      </c>
      <c r="AH229" s="3">
        <f t="shared" si="126"/>
        <v>5.9861083333333331</v>
      </c>
      <c r="AI229" s="1">
        <v>6</v>
      </c>
      <c r="AJ229" s="1">
        <v>7.5</v>
      </c>
      <c r="AK229" s="160">
        <v>2</v>
      </c>
      <c r="AL229" s="161">
        <v>0.1</v>
      </c>
      <c r="AM229" s="1">
        <v>400</v>
      </c>
      <c r="AN229" s="1">
        <v>600</v>
      </c>
      <c r="AO229" s="48">
        <v>2</v>
      </c>
      <c r="AP229" s="44">
        <v>50</v>
      </c>
      <c r="AQ229" s="42">
        <v>0.88</v>
      </c>
      <c r="AR229" s="1">
        <v>60</v>
      </c>
      <c r="AS229" s="1">
        <v>20</v>
      </c>
      <c r="AT229" s="1">
        <v>1</v>
      </c>
      <c r="AU229" s="4">
        <f t="shared" si="124"/>
        <v>8.3333333333333339</v>
      </c>
      <c r="AV229" s="3">
        <f>ROUND((P229/1000000)*AU229*10000,2)</f>
        <v>2.5</v>
      </c>
      <c r="AW229" s="1">
        <v>85</v>
      </c>
      <c r="AX229" s="3">
        <f t="shared" si="122"/>
        <v>7.0833333333333339</v>
      </c>
      <c r="AY229" s="1">
        <v>3</v>
      </c>
      <c r="AZ229" s="4">
        <f t="shared" si="123"/>
        <v>21.25</v>
      </c>
      <c r="BA229" s="49">
        <v>0.86</v>
      </c>
      <c r="BB229" s="4">
        <f t="shared" si="125"/>
        <v>18.274999999999999</v>
      </c>
      <c r="BC229" s="50">
        <v>0.1</v>
      </c>
      <c r="BD229" s="69">
        <f>IFERROR(
  MAX(0.05, MIN(0.5, CropNorms_Okra[[#This Row],[Leaf_Area_Per_Shoot_m2]] * CropNorms_Okra[[#This Row],[Shoot_Bearing_m2]] )),
  0.2
)</f>
        <v>0.5</v>
      </c>
      <c r="BE229" s="4">
        <f>_xlfn.XLOOKUP(CropNorms_Okra[[#This Row],[LAI_Start_BBCH]], CropPhenology_Okra[Sub_Stage], CropPhenology_Okra[Start_GDD], "Not Found")</f>
        <v>141</v>
      </c>
      <c r="BF229" s="3">
        <f>ROUND(CropNorms_Okra[[#This Row],[Shoot_Bearing_m2]]*CropNorms_Okra[[#This Row],[Leaf_Area_Per_Shoot_m2]],2)</f>
        <v>1.83</v>
      </c>
      <c r="BG229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H229" s="3">
        <f>IF(CropNorms_Okra[[#This Row],[Max_LAI]]&gt;=1.2, 0.85*CropNorms_Okra[[#This Row],[Max_LAI]], 1)</f>
        <v>1.5555000000000001</v>
      </c>
      <c r="BI229" s="41">
        <f>_xlfn.XLOOKUP(CropNorms_Okra[[#This Row],[LAI_End_BBCH]], CropPhenology_Okra[Sub_Stage], CropPhenology_Okra[End_GDD], "Not Found")</f>
        <v>1400</v>
      </c>
      <c r="BJ229" s="3" cm="1">
        <f t="array" ref="BJ229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K229" s="3" cm="1">
        <f t="array" ref="BK229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L229" s="3" cm="1">
        <f t="array" ref="BL229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M229" s="3" cm="1">
        <f t="array" ref="BM229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29" s="42">
        <v>0.2</v>
      </c>
      <c r="BO229" s="43">
        <v>0.9</v>
      </c>
      <c r="BP229" s="42">
        <v>18.72</v>
      </c>
      <c r="BQ229" s="43" t="s">
        <v>1798</v>
      </c>
      <c r="BR229" s="3" t="str" cm="1">
        <f t="array" ref="BR229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29" s="3" t="str" cm="1">
        <f t="array" ref="BS229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T229" s="3" t="str" cm="1">
        <f t="array" ref="BT229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229" s="3" t="str" cm="1">
        <f t="array" ref="BU229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229" s="48">
        <v>90</v>
      </c>
      <c r="BW229" s="1">
        <v>60</v>
      </c>
      <c r="BX229" s="44">
        <v>60</v>
      </c>
      <c r="BY229" s="51">
        <v>45703</v>
      </c>
      <c r="BZ229" s="5">
        <v>45731</v>
      </c>
      <c r="CA229" s="85">
        <v>0</v>
      </c>
      <c r="CB229" s="2">
        <v>0</v>
      </c>
      <c r="CC229" s="2">
        <v>1</v>
      </c>
      <c r="CD229" s="2">
        <v>1</v>
      </c>
      <c r="CE229" s="2">
        <v>1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P229" s="9"/>
      <c r="CQ229" s="10"/>
    </row>
    <row r="230" spans="2:95" ht="11.25" thickBot="1" x14ac:dyDescent="0.2">
      <c r="Y230" s="3"/>
      <c r="Z230" s="4"/>
      <c r="AG230" s="3"/>
      <c r="AR230" s="4"/>
      <c r="AS230" s="3"/>
      <c r="AU230" s="3"/>
      <c r="AW230" s="4"/>
      <c r="AX230" s="49"/>
      <c r="AY230" s="4"/>
      <c r="BV230" s="51"/>
      <c r="BW230" s="51"/>
      <c r="CP230" s="9"/>
      <c r="CQ230" s="10"/>
    </row>
    <row r="231" spans="2:95" ht="11.25" thickBot="1" x14ac:dyDescent="0.2">
      <c r="B231" s="54" t="s">
        <v>1753</v>
      </c>
      <c r="C231" s="53" t="s">
        <v>1754</v>
      </c>
      <c r="D231" s="53" t="s">
        <v>1804</v>
      </c>
      <c r="E231" s="53" t="s">
        <v>1805</v>
      </c>
      <c r="F231" s="53" t="s">
        <v>1806</v>
      </c>
      <c r="G231" s="53" t="s">
        <v>1807</v>
      </c>
      <c r="H231" s="53" t="s">
        <v>1808</v>
      </c>
      <c r="I231" s="53" t="s">
        <v>1809</v>
      </c>
      <c r="J231" s="53" t="s">
        <v>1810</v>
      </c>
      <c r="K231" s="53" t="s">
        <v>1747</v>
      </c>
      <c r="L231" s="54" t="s">
        <v>1749</v>
      </c>
      <c r="M231" s="53" t="s">
        <v>357</v>
      </c>
      <c r="N231" s="55" t="s">
        <v>692</v>
      </c>
      <c r="O231" s="53" t="s">
        <v>325</v>
      </c>
      <c r="P231" s="53" t="s">
        <v>356</v>
      </c>
      <c r="Q231" s="53" t="s">
        <v>326</v>
      </c>
      <c r="R231" s="53" t="s">
        <v>327</v>
      </c>
      <c r="S231" s="53" t="s">
        <v>328</v>
      </c>
      <c r="T231" s="53" t="s">
        <v>329</v>
      </c>
      <c r="U231" s="250" t="s">
        <v>2349</v>
      </c>
      <c r="V231" s="53" t="s">
        <v>330</v>
      </c>
      <c r="W231" s="53" t="s">
        <v>331</v>
      </c>
      <c r="X231" s="56" t="s">
        <v>354</v>
      </c>
      <c r="Y231" s="57" t="s">
        <v>355</v>
      </c>
      <c r="Z231" s="58" t="s">
        <v>413</v>
      </c>
      <c r="AA231" s="59" t="s">
        <v>583</v>
      </c>
      <c r="AB231" s="53" t="s">
        <v>324</v>
      </c>
      <c r="AC231" s="53" t="s">
        <v>332</v>
      </c>
      <c r="AD231" s="53" t="s">
        <v>333</v>
      </c>
      <c r="AE231" s="53" t="s">
        <v>334</v>
      </c>
      <c r="AF231" s="53" t="s">
        <v>335</v>
      </c>
      <c r="AG231" s="53" t="s">
        <v>336</v>
      </c>
      <c r="AH231" s="60" t="s">
        <v>337</v>
      </c>
      <c r="AI231" s="53" t="s">
        <v>338</v>
      </c>
      <c r="AJ231" s="53" t="s">
        <v>339</v>
      </c>
      <c r="AK231" s="157" t="s">
        <v>2346</v>
      </c>
      <c r="AL231" s="158" t="s">
        <v>2347</v>
      </c>
      <c r="AM231" s="53" t="s">
        <v>340</v>
      </c>
      <c r="AN231" s="53" t="s">
        <v>341</v>
      </c>
      <c r="AO231" s="61" t="s">
        <v>342</v>
      </c>
      <c r="AP231" s="62" t="s">
        <v>343</v>
      </c>
      <c r="AQ231" s="55" t="s">
        <v>344</v>
      </c>
      <c r="AR231" s="53" t="s">
        <v>345</v>
      </c>
      <c r="AS231" s="53" t="s">
        <v>346</v>
      </c>
      <c r="AT231" s="53" t="s">
        <v>364</v>
      </c>
      <c r="AU231" s="60" t="s">
        <v>347</v>
      </c>
      <c r="AV231" s="58" t="s">
        <v>363</v>
      </c>
      <c r="AW231" s="53" t="s">
        <v>348</v>
      </c>
      <c r="AX231" s="58" t="s">
        <v>349</v>
      </c>
      <c r="AY231" s="53" t="s">
        <v>366</v>
      </c>
      <c r="AZ231" s="60" t="s">
        <v>350</v>
      </c>
      <c r="BA231" s="53" t="s">
        <v>365</v>
      </c>
      <c r="BB231" s="60" t="s">
        <v>1827</v>
      </c>
      <c r="BC231" s="63" t="s">
        <v>351</v>
      </c>
      <c r="BD231" s="71" t="s">
        <v>1811</v>
      </c>
      <c r="BE231" s="57" t="s">
        <v>352</v>
      </c>
      <c r="BF231" s="58" t="s">
        <v>1812</v>
      </c>
      <c r="BG231" s="57" t="s">
        <v>1752</v>
      </c>
      <c r="BH231" s="60" t="s">
        <v>1813</v>
      </c>
      <c r="BI231" s="59" t="s">
        <v>353</v>
      </c>
      <c r="BJ231" s="71" t="s">
        <v>1828</v>
      </c>
      <c r="BK231" s="58" t="s">
        <v>1829</v>
      </c>
      <c r="BL231" s="58" t="s">
        <v>1830</v>
      </c>
      <c r="BM231" s="72" t="s">
        <v>1831</v>
      </c>
      <c r="BN231" s="64" t="s">
        <v>1154</v>
      </c>
      <c r="BO231" s="65" t="s">
        <v>1742</v>
      </c>
      <c r="BP231" s="64" t="s">
        <v>1155</v>
      </c>
      <c r="BQ231" s="65" t="s">
        <v>1755</v>
      </c>
      <c r="BR231" s="58" t="s">
        <v>367</v>
      </c>
      <c r="BS231" s="58" t="s">
        <v>1751</v>
      </c>
      <c r="BT231" s="58" t="s">
        <v>368</v>
      </c>
      <c r="BU231" s="60" t="s">
        <v>1814</v>
      </c>
      <c r="BV231" s="61" t="s">
        <v>369</v>
      </c>
      <c r="BW231" s="53" t="s">
        <v>370</v>
      </c>
      <c r="BX231" s="62" t="s">
        <v>371</v>
      </c>
      <c r="BY231" s="53" t="s">
        <v>359</v>
      </c>
      <c r="BZ231" s="53" t="s">
        <v>361</v>
      </c>
      <c r="CA231" s="61" t="s">
        <v>1815</v>
      </c>
      <c r="CB231" s="53" t="s">
        <v>1816</v>
      </c>
      <c r="CC231" s="53" t="s">
        <v>1817</v>
      </c>
      <c r="CD231" s="53" t="s">
        <v>1818</v>
      </c>
      <c r="CE231" s="53" t="s">
        <v>1819</v>
      </c>
      <c r="CF231" s="53" t="s">
        <v>1820</v>
      </c>
      <c r="CG231" s="53" t="s">
        <v>1821</v>
      </c>
      <c r="CH231" s="53" t="s">
        <v>1822</v>
      </c>
      <c r="CI231" s="53" t="s">
        <v>1823</v>
      </c>
      <c r="CJ231" s="53" t="s">
        <v>1824</v>
      </c>
      <c r="CK231" s="53" t="s">
        <v>1825</v>
      </c>
      <c r="CL231" s="53" t="s">
        <v>1826</v>
      </c>
      <c r="CP231" s="9"/>
      <c r="CQ231" s="10"/>
    </row>
    <row r="232" spans="2:95" x14ac:dyDescent="0.15">
      <c r="B232" s="36" t="s">
        <v>196</v>
      </c>
      <c r="C232" s="1" t="s">
        <v>197</v>
      </c>
      <c r="K232" s="1" t="s">
        <v>1780</v>
      </c>
      <c r="L232" s="1" t="s">
        <v>1750</v>
      </c>
      <c r="M232" s="1" t="s">
        <v>362</v>
      </c>
      <c r="N232" s="6">
        <v>18.5</v>
      </c>
      <c r="O232" s="1" t="s">
        <v>4</v>
      </c>
      <c r="P232" s="1">
        <v>3</v>
      </c>
      <c r="Q232" s="1">
        <v>5</v>
      </c>
      <c r="R232" s="1">
        <v>8</v>
      </c>
      <c r="S232" s="1">
        <v>22</v>
      </c>
      <c r="T232" s="1">
        <v>30</v>
      </c>
      <c r="U232" s="253">
        <v>6</v>
      </c>
      <c r="V232" s="1">
        <v>100</v>
      </c>
      <c r="W232" s="44">
        <v>160</v>
      </c>
      <c r="X232" s="40">
        <f>_xlfn.XLOOKUP("Ripening", CropPhenology_Onion[Main_Stage], CropPhenology_Onion[Start_GDD], "Not Found")</f>
        <v>1786</v>
      </c>
      <c r="Y232" s="4" cm="1">
        <f t="array" ref="Y232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2" s="3">
        <f t="shared" ref="Z232:Z239" si="127">MIN(Y232/V232,MAX(X232/W232,R232,(X232/W232+Y232/V232)/2))</f>
        <v>14.881250000000001</v>
      </c>
      <c r="AA232" s="41">
        <f t="shared" ref="AA232:AA239" si="128">Y232/Z232</f>
        <v>124.98950020999578</v>
      </c>
      <c r="AB232" s="1">
        <v>7</v>
      </c>
      <c r="AC232" s="1">
        <v>8</v>
      </c>
      <c r="AD232" s="1">
        <v>3</v>
      </c>
      <c r="AE232" s="1">
        <v>90</v>
      </c>
      <c r="AF232" s="1">
        <v>2</v>
      </c>
      <c r="AG232" s="1">
        <v>5</v>
      </c>
      <c r="AH232" s="3">
        <f t="shared" ref="AH232:AH239" si="129">IFERROR((Y232-X232)/AA232,0)</f>
        <v>0.5920497311827958</v>
      </c>
      <c r="AI232" s="1">
        <v>6</v>
      </c>
      <c r="AJ232" s="1">
        <v>7</v>
      </c>
      <c r="AK232" s="159">
        <v>1.2</v>
      </c>
      <c r="AL232" s="150">
        <v>0.16</v>
      </c>
      <c r="AM232" s="1">
        <v>300</v>
      </c>
      <c r="AN232" s="1">
        <v>400</v>
      </c>
      <c r="AO232" s="48">
        <v>1</v>
      </c>
      <c r="AP232" s="44">
        <v>60</v>
      </c>
      <c r="AQ232" s="42">
        <v>0.8</v>
      </c>
      <c r="AR232" s="1">
        <v>15</v>
      </c>
      <c r="AS232" s="1">
        <v>10</v>
      </c>
      <c r="AT232" s="1">
        <v>1</v>
      </c>
      <c r="AU232" s="4">
        <f t="shared" ref="AU232:AU239" si="130">IFERROR(10000/(AS232*AR232),0)*AT232</f>
        <v>66.666666666666671</v>
      </c>
      <c r="AV232" s="3">
        <f t="shared" ref="AV232:AV239" si="131">ROUND((P232/1000000)*AU232*10000,2)</f>
        <v>2</v>
      </c>
      <c r="AW232" s="1">
        <v>85</v>
      </c>
      <c r="AX232" s="3">
        <f t="shared" ref="AX232:AX239" si="132">IFERROR((AU232*AW232/100),0)</f>
        <v>56.666666666666671</v>
      </c>
      <c r="AY232" s="1">
        <v>1</v>
      </c>
      <c r="AZ232" s="4">
        <f t="shared" ref="AZ232:AZ239" si="133">IFERROR(AX232*AY232,0)</f>
        <v>56.666666666666671</v>
      </c>
      <c r="BA232" s="49">
        <v>0.89</v>
      </c>
      <c r="BB232" s="4">
        <f t="shared" ref="BB232:BB239" si="134">IFERROR(AZ232*BA232,0)</f>
        <v>50.433333333333337</v>
      </c>
      <c r="BC232" s="50">
        <v>6.9309523809523821E-2</v>
      </c>
      <c r="BD232" s="69">
        <f>IFERROR(
  MAX(0.05, MIN(0.5, CropNorms_Onion[[#This Row],[Leaf_Area_Per_Shoot_m2]] * CropNorms_Onion[[#This Row],[Shoot_Bearing_m2]] )),
  0.2
)</f>
        <v>0.5</v>
      </c>
      <c r="BE232" s="4">
        <f>_xlfn.XLOOKUP(CropNorms_Onion[[#This Row],[LAI_Start_BBCH]], CropPhenology_Onion[Sub_Stage], CropPhenology_Onion[Start_GDD], "Not Found")</f>
        <v>121</v>
      </c>
      <c r="BF232" s="3">
        <f>ROUND(CropNorms_Onion[[#This Row],[Shoot_Bearing_m2]]*CropNorms_Onion[[#This Row],[Leaf_Area_Per_Shoot_m2]],2)</f>
        <v>3.5</v>
      </c>
      <c r="BG232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2" s="3">
        <f>IF(CropNorms_Onion[[#This Row],[Max_LAI]]&gt;=1.2, 0.85*CropNorms_Onion[[#This Row],[Max_LAI]], 1)</f>
        <v>2.9750000000000001</v>
      </c>
      <c r="BI232" s="41">
        <f>_xlfn.XLOOKUP(CropNorms_Onion[[#This Row],[LAI_End_BBCH]], CropPhenology_Onion[Sub_Stage], CropPhenology_Onion[End_GDD], "Not Found")</f>
        <v>1785</v>
      </c>
      <c r="BJ232" s="3" cm="1">
        <f t="array" ref="BJ232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K232" s="3" cm="1">
        <f t="array" ref="BK232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L232" s="3" cm="1">
        <f t="array" ref="BL232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M232" s="3" cm="1">
        <f t="array" ref="BM232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2" s="42">
        <v>0.55000000000000004</v>
      </c>
      <c r="BO232" s="43">
        <v>0.65</v>
      </c>
      <c r="BP232" s="42">
        <v>20.7</v>
      </c>
      <c r="BQ232" s="43" t="s">
        <v>1791</v>
      </c>
      <c r="BR232" s="3" t="str" cm="1">
        <f t="array" ref="BR232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2" s="3" t="str" cm="1">
        <f t="array" ref="BS232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2" s="3" t="str" cm="1">
        <f t="array" ref="BT232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2" s="3" t="str" cm="1">
        <f t="array" ref="BU232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2" s="48">
        <v>75</v>
      </c>
      <c r="BW232" s="1">
        <v>50</v>
      </c>
      <c r="BX232" s="44">
        <v>80</v>
      </c>
      <c r="BY232" s="51">
        <v>45703</v>
      </c>
      <c r="BZ232" s="5">
        <v>45731</v>
      </c>
      <c r="CA232" s="85">
        <v>0</v>
      </c>
      <c r="CB232" s="2">
        <v>0</v>
      </c>
      <c r="CC232" s="2">
        <v>1</v>
      </c>
      <c r="CD232" s="2">
        <v>1</v>
      </c>
      <c r="CE232" s="2">
        <v>1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P232" s="9"/>
      <c r="CQ232" s="10"/>
    </row>
    <row r="233" spans="2:95" x14ac:dyDescent="0.15">
      <c r="B233" s="36" t="s">
        <v>196</v>
      </c>
      <c r="C233" s="1" t="s">
        <v>198</v>
      </c>
      <c r="K233" s="1" t="s">
        <v>1780</v>
      </c>
      <c r="L233" s="1" t="s">
        <v>1750</v>
      </c>
      <c r="M233" s="1" t="s">
        <v>362</v>
      </c>
      <c r="N233" s="6">
        <v>18.5</v>
      </c>
      <c r="O233" s="1" t="s">
        <v>4</v>
      </c>
      <c r="P233" s="1">
        <v>3</v>
      </c>
      <c r="Q233" s="1">
        <v>5</v>
      </c>
      <c r="R233" s="1">
        <v>8</v>
      </c>
      <c r="S233" s="1">
        <v>22</v>
      </c>
      <c r="T233" s="1">
        <v>30</v>
      </c>
      <c r="U233" s="253">
        <v>6</v>
      </c>
      <c r="V233" s="1">
        <v>100</v>
      </c>
      <c r="W233" s="44">
        <v>160</v>
      </c>
      <c r="X233" s="40">
        <f>_xlfn.XLOOKUP("Ripening", CropPhenology_Onion[Main_Stage], CropPhenology_Onion[Start_GDD], "Not Found")</f>
        <v>1786</v>
      </c>
      <c r="Y233" s="4" cm="1">
        <f t="array" ref="Y233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3" s="3">
        <f t="shared" si="127"/>
        <v>14.881250000000001</v>
      </c>
      <c r="AA233" s="41">
        <f t="shared" si="128"/>
        <v>124.98950020999578</v>
      </c>
      <c r="AB233" s="1">
        <v>7</v>
      </c>
      <c r="AC233" s="1">
        <v>8</v>
      </c>
      <c r="AD233" s="1">
        <v>3</v>
      </c>
      <c r="AE233" s="1">
        <v>90</v>
      </c>
      <c r="AF233" s="1">
        <v>2</v>
      </c>
      <c r="AG233" s="1">
        <v>5</v>
      </c>
      <c r="AH233" s="3">
        <f t="shared" si="129"/>
        <v>0.5920497311827958</v>
      </c>
      <c r="AI233" s="1">
        <v>6</v>
      </c>
      <c r="AJ233" s="1">
        <v>7</v>
      </c>
      <c r="AK233" s="159">
        <v>1.2</v>
      </c>
      <c r="AL233" s="150">
        <v>0.16</v>
      </c>
      <c r="AM233" s="1">
        <v>300</v>
      </c>
      <c r="AN233" s="1">
        <v>400</v>
      </c>
      <c r="AO233" s="48">
        <v>1</v>
      </c>
      <c r="AP233" s="44">
        <v>60</v>
      </c>
      <c r="AQ233" s="42">
        <v>0.82</v>
      </c>
      <c r="AR233" s="1">
        <v>15</v>
      </c>
      <c r="AS233" s="1">
        <v>10</v>
      </c>
      <c r="AT233" s="1">
        <v>1</v>
      </c>
      <c r="AU233" s="4">
        <f t="shared" si="130"/>
        <v>66.666666666666671</v>
      </c>
      <c r="AV233" s="3">
        <f t="shared" si="131"/>
        <v>2</v>
      </c>
      <c r="AW233" s="1">
        <v>85</v>
      </c>
      <c r="AX233" s="3">
        <f t="shared" si="132"/>
        <v>56.666666666666671</v>
      </c>
      <c r="AY233" s="1">
        <v>1</v>
      </c>
      <c r="AZ233" s="4">
        <f t="shared" si="133"/>
        <v>56.666666666666671</v>
      </c>
      <c r="BA233" s="49">
        <v>0.89</v>
      </c>
      <c r="BB233" s="4">
        <f t="shared" si="134"/>
        <v>50.433333333333337</v>
      </c>
      <c r="BC233" s="50">
        <v>6.9309523809523821E-2</v>
      </c>
      <c r="BD233" s="69">
        <f>IFERROR(
  MAX(0.05, MIN(0.5, CropNorms_Onion[[#This Row],[Leaf_Area_Per_Shoot_m2]] * CropNorms_Onion[[#This Row],[Shoot_Bearing_m2]] )),
  0.2
)</f>
        <v>0.5</v>
      </c>
      <c r="BE233" s="4">
        <f>_xlfn.XLOOKUP(CropNorms_Onion[[#This Row],[LAI_Start_BBCH]], CropPhenology_Onion[Sub_Stage], CropPhenology_Onion[Start_GDD], "Not Found")</f>
        <v>121</v>
      </c>
      <c r="BF233" s="3">
        <f>ROUND(CropNorms_Onion[[#This Row],[Shoot_Bearing_m2]]*CropNorms_Onion[[#This Row],[Leaf_Area_Per_Shoot_m2]],2)</f>
        <v>3.5</v>
      </c>
      <c r="BG233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3" s="3">
        <f>IF(CropNorms_Onion[[#This Row],[Max_LAI]]&gt;=1.2, 0.85*CropNorms_Onion[[#This Row],[Max_LAI]], 1)</f>
        <v>2.9750000000000001</v>
      </c>
      <c r="BI233" s="41">
        <f>_xlfn.XLOOKUP(CropNorms_Onion[[#This Row],[LAI_End_BBCH]], CropPhenology_Onion[Sub_Stage], CropPhenology_Onion[End_GDD], "Not Found")</f>
        <v>1785</v>
      </c>
      <c r="BJ233" s="3" cm="1">
        <f t="array" ref="BJ233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K233" s="3" cm="1">
        <f t="array" ref="BK233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L233" s="3" cm="1">
        <f t="array" ref="BL233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M233" s="3" cm="1">
        <f t="array" ref="BM233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3" s="42">
        <v>0.55000000000000004</v>
      </c>
      <c r="BO233" s="43">
        <v>0.65</v>
      </c>
      <c r="BP233" s="42">
        <v>20.7</v>
      </c>
      <c r="BQ233" s="43" t="s">
        <v>1791</v>
      </c>
      <c r="BR233" s="3" t="str" cm="1">
        <f t="array" ref="BR233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3" s="3" t="str" cm="1">
        <f t="array" ref="BS233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3" s="3" t="str" cm="1">
        <f t="array" ref="BT233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3" s="3" t="str" cm="1">
        <f t="array" ref="BU233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3" s="48">
        <v>75</v>
      </c>
      <c r="BW233" s="1">
        <v>50</v>
      </c>
      <c r="BX233" s="44">
        <v>80</v>
      </c>
      <c r="BY233" s="51">
        <v>45703</v>
      </c>
      <c r="BZ233" s="5">
        <v>45731</v>
      </c>
      <c r="CA233" s="85">
        <v>0</v>
      </c>
      <c r="CB233" s="2">
        <v>0</v>
      </c>
      <c r="CC233" s="2">
        <v>1</v>
      </c>
      <c r="CD233" s="2">
        <v>1</v>
      </c>
      <c r="CE233" s="2">
        <v>1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P233" s="9"/>
      <c r="CQ233" s="10"/>
    </row>
    <row r="234" spans="2:95" x14ac:dyDescent="0.15">
      <c r="B234" s="36" t="s">
        <v>196</v>
      </c>
      <c r="C234" s="1" t="s">
        <v>202</v>
      </c>
      <c r="K234" s="1" t="s">
        <v>1780</v>
      </c>
      <c r="L234" s="1" t="s">
        <v>1750</v>
      </c>
      <c r="M234" s="1" t="s">
        <v>362</v>
      </c>
      <c r="N234" s="6">
        <v>18.5</v>
      </c>
      <c r="O234" s="1" t="s">
        <v>4</v>
      </c>
      <c r="P234" s="1">
        <v>3</v>
      </c>
      <c r="Q234" s="1">
        <v>5</v>
      </c>
      <c r="R234" s="1">
        <v>8</v>
      </c>
      <c r="S234" s="1">
        <v>22</v>
      </c>
      <c r="T234" s="1">
        <v>30</v>
      </c>
      <c r="U234" s="253">
        <v>6</v>
      </c>
      <c r="V234" s="1">
        <v>100</v>
      </c>
      <c r="W234" s="44">
        <v>160</v>
      </c>
      <c r="X234" s="40">
        <f>_xlfn.XLOOKUP("Ripening", CropPhenology_Onion[Main_Stage], CropPhenology_Onion[Start_GDD], "Not Found")</f>
        <v>1786</v>
      </c>
      <c r="Y234" s="4" cm="1">
        <f t="array" ref="Y234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4" s="3">
        <f t="shared" si="127"/>
        <v>14.881250000000001</v>
      </c>
      <c r="AA234" s="41">
        <f t="shared" si="128"/>
        <v>124.98950020999578</v>
      </c>
      <c r="AB234" s="1">
        <v>7</v>
      </c>
      <c r="AC234" s="1">
        <v>8</v>
      </c>
      <c r="AD234" s="1">
        <v>3</v>
      </c>
      <c r="AE234" s="1">
        <v>90</v>
      </c>
      <c r="AF234" s="1">
        <v>2</v>
      </c>
      <c r="AG234" s="1">
        <v>5</v>
      </c>
      <c r="AH234" s="3">
        <f t="shared" si="129"/>
        <v>0.5920497311827958</v>
      </c>
      <c r="AI234" s="1">
        <v>6</v>
      </c>
      <c r="AJ234" s="1">
        <v>7</v>
      </c>
      <c r="AK234" s="159">
        <v>1.2</v>
      </c>
      <c r="AL234" s="150">
        <v>0.16</v>
      </c>
      <c r="AM234" s="1">
        <v>300</v>
      </c>
      <c r="AN234" s="1">
        <v>400</v>
      </c>
      <c r="AO234" s="48">
        <v>1</v>
      </c>
      <c r="AP234" s="44">
        <v>60</v>
      </c>
      <c r="AQ234" s="42">
        <v>0.78</v>
      </c>
      <c r="AR234" s="1">
        <v>15</v>
      </c>
      <c r="AS234" s="1">
        <v>10</v>
      </c>
      <c r="AT234" s="1">
        <v>1</v>
      </c>
      <c r="AU234" s="4">
        <f t="shared" si="130"/>
        <v>66.666666666666671</v>
      </c>
      <c r="AV234" s="3">
        <f t="shared" si="131"/>
        <v>2</v>
      </c>
      <c r="AW234" s="1">
        <v>85</v>
      </c>
      <c r="AX234" s="3">
        <f t="shared" si="132"/>
        <v>56.666666666666671</v>
      </c>
      <c r="AY234" s="1">
        <v>1</v>
      </c>
      <c r="AZ234" s="4">
        <f t="shared" si="133"/>
        <v>56.666666666666671</v>
      </c>
      <c r="BA234" s="49">
        <v>0.89</v>
      </c>
      <c r="BB234" s="4">
        <f t="shared" si="134"/>
        <v>50.433333333333337</v>
      </c>
      <c r="BC234" s="50">
        <v>6.9309523809523821E-2</v>
      </c>
      <c r="BD234" s="69">
        <f>IFERROR(
  MAX(0.05, MIN(0.5, CropNorms_Onion[[#This Row],[Leaf_Area_Per_Shoot_m2]] * CropNorms_Onion[[#This Row],[Shoot_Bearing_m2]] )),
  0.2
)</f>
        <v>0.5</v>
      </c>
      <c r="BE234" s="4">
        <f>_xlfn.XLOOKUP(CropNorms_Onion[[#This Row],[LAI_Start_BBCH]], CropPhenology_Onion[Sub_Stage], CropPhenology_Onion[Start_GDD], "Not Found")</f>
        <v>121</v>
      </c>
      <c r="BF234" s="3">
        <f>ROUND(CropNorms_Onion[[#This Row],[Shoot_Bearing_m2]]*CropNorms_Onion[[#This Row],[Leaf_Area_Per_Shoot_m2]],2)</f>
        <v>3.5</v>
      </c>
      <c r="BG234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4" s="3">
        <f>IF(CropNorms_Onion[[#This Row],[Max_LAI]]&gt;=1.2, 0.85*CropNorms_Onion[[#This Row],[Max_LAI]], 1)</f>
        <v>2.9750000000000001</v>
      </c>
      <c r="BI234" s="41">
        <f>_xlfn.XLOOKUP(CropNorms_Onion[[#This Row],[LAI_End_BBCH]], CropPhenology_Onion[Sub_Stage], CropPhenology_Onion[End_GDD], "Not Found")</f>
        <v>1785</v>
      </c>
      <c r="BJ234" s="3" cm="1">
        <f t="array" ref="BJ234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K234" s="3" cm="1">
        <f t="array" ref="BK234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L234" s="3" cm="1">
        <f t="array" ref="BL234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M234" s="3" cm="1">
        <f t="array" ref="BM234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4" s="42">
        <v>0.55000000000000004</v>
      </c>
      <c r="BO234" s="43">
        <v>0.65</v>
      </c>
      <c r="BP234" s="42">
        <v>20.7</v>
      </c>
      <c r="BQ234" s="43" t="s">
        <v>1791</v>
      </c>
      <c r="BR234" s="3" t="str" cm="1">
        <f t="array" ref="BR234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4" s="3" t="str" cm="1">
        <f t="array" ref="BS234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4" s="3" t="str" cm="1">
        <f t="array" ref="BT234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4" s="3" t="str" cm="1">
        <f t="array" ref="BU234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4" s="48">
        <v>75</v>
      </c>
      <c r="BW234" s="1">
        <v>50</v>
      </c>
      <c r="BX234" s="44">
        <v>80</v>
      </c>
      <c r="BY234" s="51">
        <v>45703</v>
      </c>
      <c r="BZ234" s="5">
        <v>45731</v>
      </c>
      <c r="CA234" s="85">
        <v>0</v>
      </c>
      <c r="CB234" s="2">
        <v>0</v>
      </c>
      <c r="CC234" s="2">
        <v>1</v>
      </c>
      <c r="CD234" s="2">
        <v>1</v>
      </c>
      <c r="CE234" s="2">
        <v>1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P234" s="9"/>
      <c r="CQ234" s="10"/>
    </row>
    <row r="235" spans="2:95" x14ac:dyDescent="0.15">
      <c r="B235" s="36" t="s">
        <v>196</v>
      </c>
      <c r="C235" s="1" t="s">
        <v>203</v>
      </c>
      <c r="K235" s="1" t="s">
        <v>1780</v>
      </c>
      <c r="L235" s="1" t="s">
        <v>1750</v>
      </c>
      <c r="M235" s="1" t="s">
        <v>362</v>
      </c>
      <c r="N235" s="6">
        <v>18.5</v>
      </c>
      <c r="O235" s="1" t="s">
        <v>4</v>
      </c>
      <c r="P235" s="1">
        <v>3</v>
      </c>
      <c r="Q235" s="1">
        <v>5</v>
      </c>
      <c r="R235" s="1">
        <v>8</v>
      </c>
      <c r="S235" s="1">
        <v>22</v>
      </c>
      <c r="T235" s="1">
        <v>30</v>
      </c>
      <c r="U235" s="253">
        <v>6</v>
      </c>
      <c r="V235" s="1">
        <v>100</v>
      </c>
      <c r="W235" s="44">
        <v>160</v>
      </c>
      <c r="X235" s="40">
        <f>_xlfn.XLOOKUP("Ripening", CropPhenology_Onion[Main_Stage], CropPhenology_Onion[Start_GDD], "Not Found")</f>
        <v>1786</v>
      </c>
      <c r="Y235" s="4" cm="1">
        <f t="array" ref="Y235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5" s="3">
        <f t="shared" si="127"/>
        <v>14.881250000000001</v>
      </c>
      <c r="AA235" s="41">
        <f t="shared" si="128"/>
        <v>124.98950020999578</v>
      </c>
      <c r="AB235" s="1">
        <v>7</v>
      </c>
      <c r="AC235" s="1">
        <v>8</v>
      </c>
      <c r="AD235" s="1">
        <v>3</v>
      </c>
      <c r="AE235" s="1">
        <v>90</v>
      </c>
      <c r="AF235" s="1">
        <v>2</v>
      </c>
      <c r="AG235" s="1">
        <v>5</v>
      </c>
      <c r="AH235" s="3">
        <f t="shared" si="129"/>
        <v>0.5920497311827958</v>
      </c>
      <c r="AI235" s="1">
        <v>6</v>
      </c>
      <c r="AJ235" s="1">
        <v>7</v>
      </c>
      <c r="AK235" s="159">
        <v>1.2</v>
      </c>
      <c r="AL235" s="150">
        <v>0.16</v>
      </c>
      <c r="AM235" s="1">
        <v>300</v>
      </c>
      <c r="AN235" s="1">
        <v>400</v>
      </c>
      <c r="AO235" s="48">
        <v>1</v>
      </c>
      <c r="AP235" s="44">
        <v>60</v>
      </c>
      <c r="AQ235" s="42">
        <v>0.8</v>
      </c>
      <c r="AR235" s="1">
        <v>15</v>
      </c>
      <c r="AS235" s="1">
        <v>10</v>
      </c>
      <c r="AT235" s="1">
        <v>1</v>
      </c>
      <c r="AU235" s="4">
        <f t="shared" si="130"/>
        <v>66.666666666666671</v>
      </c>
      <c r="AV235" s="3">
        <f t="shared" si="131"/>
        <v>2</v>
      </c>
      <c r="AW235" s="1">
        <v>85</v>
      </c>
      <c r="AX235" s="3">
        <f t="shared" si="132"/>
        <v>56.666666666666671</v>
      </c>
      <c r="AY235" s="1">
        <v>1</v>
      </c>
      <c r="AZ235" s="4">
        <f t="shared" si="133"/>
        <v>56.666666666666671</v>
      </c>
      <c r="BA235" s="49">
        <v>0.89</v>
      </c>
      <c r="BB235" s="4">
        <f t="shared" si="134"/>
        <v>50.433333333333337</v>
      </c>
      <c r="BC235" s="50">
        <v>6.9309523809523821E-2</v>
      </c>
      <c r="BD235" s="69">
        <f>IFERROR(
  MAX(0.05, MIN(0.5, CropNorms_Onion[[#This Row],[Leaf_Area_Per_Shoot_m2]] * CropNorms_Onion[[#This Row],[Shoot_Bearing_m2]] )),
  0.2
)</f>
        <v>0.5</v>
      </c>
      <c r="BE235" s="4">
        <f>_xlfn.XLOOKUP(CropNorms_Onion[[#This Row],[LAI_Start_BBCH]], CropPhenology_Onion[Sub_Stage], CropPhenology_Onion[Start_GDD], "Not Found")</f>
        <v>121</v>
      </c>
      <c r="BF235" s="3">
        <f>ROUND(CropNorms_Onion[[#This Row],[Shoot_Bearing_m2]]*CropNorms_Onion[[#This Row],[Leaf_Area_Per_Shoot_m2]],2)</f>
        <v>3.5</v>
      </c>
      <c r="BG235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5" s="3">
        <f>IF(CropNorms_Onion[[#This Row],[Max_LAI]]&gt;=1.2, 0.85*CropNorms_Onion[[#This Row],[Max_LAI]], 1)</f>
        <v>2.9750000000000001</v>
      </c>
      <c r="BI235" s="41">
        <f>_xlfn.XLOOKUP(CropNorms_Onion[[#This Row],[LAI_End_BBCH]], CropPhenology_Onion[Sub_Stage], CropPhenology_Onion[End_GDD], "Not Found")</f>
        <v>1785</v>
      </c>
      <c r="BJ235" s="3" cm="1">
        <f t="array" ref="BJ235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K235" s="3" cm="1">
        <f t="array" ref="BK235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L235" s="3" cm="1">
        <f t="array" ref="BL235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M235" s="3" cm="1">
        <f t="array" ref="BM235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5" s="42">
        <v>0.55000000000000004</v>
      </c>
      <c r="BO235" s="43">
        <v>0.65</v>
      </c>
      <c r="BP235" s="42">
        <v>20.7</v>
      </c>
      <c r="BQ235" s="43" t="s">
        <v>1791</v>
      </c>
      <c r="BR235" s="3" t="str" cm="1">
        <f t="array" ref="BR235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5" s="3" t="str" cm="1">
        <f t="array" ref="BS235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5" s="3" t="str" cm="1">
        <f t="array" ref="BT235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5" s="3" t="str" cm="1">
        <f t="array" ref="BU235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5" s="48">
        <v>75</v>
      </c>
      <c r="BW235" s="1">
        <v>50</v>
      </c>
      <c r="BX235" s="44">
        <v>80</v>
      </c>
      <c r="BY235" s="51">
        <v>45703</v>
      </c>
      <c r="BZ235" s="5">
        <v>45731</v>
      </c>
      <c r="CA235" s="85">
        <v>0</v>
      </c>
      <c r="CB235" s="2">
        <v>0</v>
      </c>
      <c r="CC235" s="2">
        <v>1</v>
      </c>
      <c r="CD235" s="2">
        <v>1</v>
      </c>
      <c r="CE235" s="2">
        <v>1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P235" s="9"/>
      <c r="CQ235" s="10"/>
    </row>
    <row r="236" spans="2:95" x14ac:dyDescent="0.15">
      <c r="B236" s="36" t="s">
        <v>196</v>
      </c>
      <c r="C236" s="1" t="s">
        <v>204</v>
      </c>
      <c r="K236" s="1" t="s">
        <v>1780</v>
      </c>
      <c r="L236" s="1" t="s">
        <v>1750</v>
      </c>
      <c r="M236" s="1" t="s">
        <v>362</v>
      </c>
      <c r="N236" s="6">
        <v>18.5</v>
      </c>
      <c r="O236" s="1" t="s">
        <v>4</v>
      </c>
      <c r="P236" s="1">
        <v>3</v>
      </c>
      <c r="Q236" s="1">
        <v>5</v>
      </c>
      <c r="R236" s="1">
        <v>8</v>
      </c>
      <c r="S236" s="1">
        <v>22</v>
      </c>
      <c r="T236" s="1">
        <v>30</v>
      </c>
      <c r="U236" s="253">
        <v>6</v>
      </c>
      <c r="V236" s="1">
        <v>100</v>
      </c>
      <c r="W236" s="44">
        <v>160</v>
      </c>
      <c r="X236" s="40">
        <f>_xlfn.XLOOKUP("Ripening", CropPhenology_Onion[Main_Stage], CropPhenology_Onion[Start_GDD], "Not Found")</f>
        <v>1786</v>
      </c>
      <c r="Y236" s="4" cm="1">
        <f t="array" ref="Y236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6" s="3">
        <f t="shared" si="127"/>
        <v>14.881250000000001</v>
      </c>
      <c r="AA236" s="41">
        <f t="shared" si="128"/>
        <v>124.98950020999578</v>
      </c>
      <c r="AB236" s="1">
        <v>7</v>
      </c>
      <c r="AC236" s="1">
        <v>8</v>
      </c>
      <c r="AD236" s="1">
        <v>3</v>
      </c>
      <c r="AE236" s="1">
        <v>90</v>
      </c>
      <c r="AF236" s="1">
        <v>2</v>
      </c>
      <c r="AG236" s="1">
        <v>5</v>
      </c>
      <c r="AH236" s="3">
        <f t="shared" si="129"/>
        <v>0.5920497311827958</v>
      </c>
      <c r="AI236" s="1">
        <v>6</v>
      </c>
      <c r="AJ236" s="1">
        <v>7</v>
      </c>
      <c r="AK236" s="159">
        <v>1.2</v>
      </c>
      <c r="AL236" s="150">
        <v>0.16</v>
      </c>
      <c r="AM236" s="1">
        <v>300</v>
      </c>
      <c r="AN236" s="1">
        <v>400</v>
      </c>
      <c r="AO236" s="48">
        <v>1</v>
      </c>
      <c r="AP236" s="44">
        <v>60</v>
      </c>
      <c r="AQ236" s="42">
        <v>0.76</v>
      </c>
      <c r="AR236" s="1">
        <v>15</v>
      </c>
      <c r="AS236" s="1">
        <v>10</v>
      </c>
      <c r="AT236" s="1">
        <v>1</v>
      </c>
      <c r="AU236" s="4">
        <f t="shared" si="130"/>
        <v>66.666666666666671</v>
      </c>
      <c r="AV236" s="3">
        <f t="shared" si="131"/>
        <v>2</v>
      </c>
      <c r="AW236" s="1">
        <v>85</v>
      </c>
      <c r="AX236" s="3">
        <f t="shared" si="132"/>
        <v>56.666666666666671</v>
      </c>
      <c r="AY236" s="1">
        <v>1</v>
      </c>
      <c r="AZ236" s="4">
        <f t="shared" si="133"/>
        <v>56.666666666666671</v>
      </c>
      <c r="BA236" s="49">
        <v>0.89</v>
      </c>
      <c r="BB236" s="4">
        <f t="shared" si="134"/>
        <v>50.433333333333337</v>
      </c>
      <c r="BC236" s="50">
        <v>6.9309523809523821E-2</v>
      </c>
      <c r="BD236" s="69">
        <f>IFERROR(
  MAX(0.05, MIN(0.5, CropNorms_Onion[[#This Row],[Leaf_Area_Per_Shoot_m2]] * CropNorms_Onion[[#This Row],[Shoot_Bearing_m2]] )),
  0.2
)</f>
        <v>0.5</v>
      </c>
      <c r="BE236" s="4">
        <f>_xlfn.XLOOKUP(CropNorms_Onion[[#This Row],[LAI_Start_BBCH]], CropPhenology_Onion[Sub_Stage], CropPhenology_Onion[Start_GDD], "Not Found")</f>
        <v>121</v>
      </c>
      <c r="BF236" s="3">
        <f>ROUND(CropNorms_Onion[[#This Row],[Shoot_Bearing_m2]]*CropNorms_Onion[[#This Row],[Leaf_Area_Per_Shoot_m2]],2)</f>
        <v>3.5</v>
      </c>
      <c r="BG236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6" s="3">
        <f>IF(CropNorms_Onion[[#This Row],[Max_LAI]]&gt;=1.2, 0.85*CropNorms_Onion[[#This Row],[Max_LAI]], 1)</f>
        <v>2.9750000000000001</v>
      </c>
      <c r="BI236" s="41">
        <f>_xlfn.XLOOKUP(CropNorms_Onion[[#This Row],[LAI_End_BBCH]], CropPhenology_Onion[Sub_Stage], CropPhenology_Onion[End_GDD], "Not Found")</f>
        <v>1785</v>
      </c>
      <c r="BJ236" s="3" cm="1">
        <f t="array" ref="BJ236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K236" s="3" cm="1">
        <f t="array" ref="BK236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L236" s="3" cm="1">
        <f t="array" ref="BL236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M236" s="3" cm="1">
        <f t="array" ref="BM236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6" s="42">
        <v>0.55000000000000004</v>
      </c>
      <c r="BO236" s="43">
        <v>0.65</v>
      </c>
      <c r="BP236" s="42">
        <v>20.7</v>
      </c>
      <c r="BQ236" s="43" t="s">
        <v>1791</v>
      </c>
      <c r="BR236" s="3" t="str" cm="1">
        <f t="array" ref="BR236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6" s="3" t="str" cm="1">
        <f t="array" ref="BS236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6" s="3" t="str" cm="1">
        <f t="array" ref="BT236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6" s="3" t="str" cm="1">
        <f t="array" ref="BU236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6" s="48">
        <v>75</v>
      </c>
      <c r="BW236" s="1">
        <v>50</v>
      </c>
      <c r="BX236" s="44">
        <v>80</v>
      </c>
      <c r="BY236" s="51">
        <v>45703</v>
      </c>
      <c r="BZ236" s="5">
        <v>45731</v>
      </c>
      <c r="CA236" s="85">
        <v>0</v>
      </c>
      <c r="CB236" s="2">
        <v>0</v>
      </c>
      <c r="CC236" s="2">
        <v>1</v>
      </c>
      <c r="CD236" s="2">
        <v>1</v>
      </c>
      <c r="CE236" s="2">
        <v>1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P236" s="9"/>
      <c r="CQ236" s="10"/>
    </row>
    <row r="237" spans="2:95" x14ac:dyDescent="0.15">
      <c r="B237" s="36" t="s">
        <v>196</v>
      </c>
      <c r="C237" s="1" t="s">
        <v>199</v>
      </c>
      <c r="K237" s="1" t="s">
        <v>1780</v>
      </c>
      <c r="L237" s="1" t="s">
        <v>1750</v>
      </c>
      <c r="M237" s="1" t="s">
        <v>362</v>
      </c>
      <c r="N237" s="6">
        <v>18.5</v>
      </c>
      <c r="O237" s="1" t="s">
        <v>2</v>
      </c>
      <c r="P237" s="1">
        <v>3</v>
      </c>
      <c r="Q237" s="1">
        <v>5</v>
      </c>
      <c r="R237" s="1">
        <v>8</v>
      </c>
      <c r="S237" s="1">
        <v>22</v>
      </c>
      <c r="T237" s="1">
        <v>30</v>
      </c>
      <c r="U237" s="253">
        <v>6</v>
      </c>
      <c r="V237" s="1">
        <v>100</v>
      </c>
      <c r="W237" s="44">
        <v>160</v>
      </c>
      <c r="X237" s="40">
        <f>_xlfn.XLOOKUP("Ripening", CropPhenology_Onion[Main_Stage], CropPhenology_Onion[Start_GDD], "Not Found")</f>
        <v>1786</v>
      </c>
      <c r="Y237" s="4" cm="1">
        <f t="array" ref="Y237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7" s="3">
        <f t="shared" si="127"/>
        <v>14.881250000000001</v>
      </c>
      <c r="AA237" s="41">
        <f t="shared" si="128"/>
        <v>124.98950020999578</v>
      </c>
      <c r="AB237" s="1">
        <v>7</v>
      </c>
      <c r="AC237" s="1">
        <v>8</v>
      </c>
      <c r="AD237" s="1">
        <v>3</v>
      </c>
      <c r="AE237" s="1">
        <v>90</v>
      </c>
      <c r="AF237" s="1">
        <v>2</v>
      </c>
      <c r="AG237" s="1">
        <v>5</v>
      </c>
      <c r="AH237" s="3">
        <f t="shared" si="129"/>
        <v>0.5920497311827958</v>
      </c>
      <c r="AI237" s="1">
        <v>6</v>
      </c>
      <c r="AJ237" s="1">
        <v>7</v>
      </c>
      <c r="AK237" s="159">
        <v>1.2</v>
      </c>
      <c r="AL237" s="150">
        <v>0.16</v>
      </c>
      <c r="AM237" s="1">
        <v>250</v>
      </c>
      <c r="AN237" s="1">
        <v>350</v>
      </c>
      <c r="AO237" s="48">
        <v>1</v>
      </c>
      <c r="AP237" s="44">
        <v>60</v>
      </c>
      <c r="AQ237" s="42">
        <v>0.7</v>
      </c>
      <c r="AR237" s="1">
        <v>15</v>
      </c>
      <c r="AS237" s="1">
        <v>10</v>
      </c>
      <c r="AT237" s="1">
        <v>1</v>
      </c>
      <c r="AU237" s="4">
        <f t="shared" si="130"/>
        <v>66.666666666666671</v>
      </c>
      <c r="AV237" s="3">
        <f t="shared" si="131"/>
        <v>2</v>
      </c>
      <c r="AW237" s="1">
        <v>85</v>
      </c>
      <c r="AX237" s="3">
        <f t="shared" si="132"/>
        <v>56.666666666666671</v>
      </c>
      <c r="AY237" s="1">
        <v>1</v>
      </c>
      <c r="AZ237" s="4">
        <f t="shared" si="133"/>
        <v>56.666666666666671</v>
      </c>
      <c r="BA237" s="49">
        <v>0.89</v>
      </c>
      <c r="BB237" s="4">
        <f t="shared" si="134"/>
        <v>50.433333333333337</v>
      </c>
      <c r="BC237" s="50">
        <v>3.9600000000000003E-2</v>
      </c>
      <c r="BD237" s="69">
        <f>IFERROR(
  MAX(0.05, MIN(0.5, CropNorms_Onion[[#This Row],[Leaf_Area_Per_Shoot_m2]] * CropNorms_Onion[[#This Row],[Shoot_Bearing_m2]] )),
  0.2
)</f>
        <v>0.5</v>
      </c>
      <c r="BE237" s="4">
        <f>_xlfn.XLOOKUP(CropNorms_Onion[[#This Row],[LAI_Start_BBCH]], CropPhenology_Onion[Sub_Stage], CropPhenology_Onion[Start_GDD], "Not Found")</f>
        <v>121</v>
      </c>
      <c r="BF237" s="3">
        <f>ROUND(CropNorms_Onion[[#This Row],[Shoot_Bearing_m2]]*CropNorms_Onion[[#This Row],[Leaf_Area_Per_Shoot_m2]],2)</f>
        <v>2</v>
      </c>
      <c r="BG237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7" s="3">
        <f>IF(CropNorms_Onion[[#This Row],[Max_LAI]]&gt;=1.2, 0.85*CropNorms_Onion[[#This Row],[Max_LAI]], 1)</f>
        <v>1.7</v>
      </c>
      <c r="BI237" s="41">
        <f>_xlfn.XLOOKUP(CropNorms_Onion[[#This Row],[LAI_End_BBCH]], CropPhenology_Onion[Sub_Stage], CropPhenology_Onion[End_GDD], "Not Found")</f>
        <v>1785</v>
      </c>
      <c r="BJ237" s="3" cm="1">
        <f t="array" ref="BJ237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K237" s="3" cm="1">
        <f t="array" ref="BK237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0.93451605894207435</v>
      </c>
      <c r="BL237" s="3" cm="1">
        <f t="array" ref="BL237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0.99331951541793873</v>
      </c>
      <c r="BM237" s="3" cm="1">
        <f t="array" ref="BM237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7" s="42">
        <v>0.5</v>
      </c>
      <c r="BO237" s="43">
        <v>0.65</v>
      </c>
      <c r="BP237" s="42">
        <v>10.7</v>
      </c>
      <c r="BQ237" s="43" t="s">
        <v>1791</v>
      </c>
      <c r="BR237" s="3" t="str" cm="1">
        <f t="array" ref="BR237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7" s="3" t="str" cm="1">
        <f t="array" ref="BS237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7" s="3" t="str" cm="1">
        <f t="array" ref="BT237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7" s="3" t="str" cm="1">
        <f t="array" ref="BU237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7" s="48">
        <v>75</v>
      </c>
      <c r="BW237" s="1">
        <v>50</v>
      </c>
      <c r="BX237" s="44">
        <v>80</v>
      </c>
      <c r="BY237" s="51">
        <v>45703</v>
      </c>
      <c r="BZ237" s="5">
        <v>45731</v>
      </c>
      <c r="CA237" s="85">
        <v>0</v>
      </c>
      <c r="CB237" s="2">
        <v>0</v>
      </c>
      <c r="CC237" s="2">
        <v>1</v>
      </c>
      <c r="CD237" s="2">
        <v>1</v>
      </c>
      <c r="CE237" s="2">
        <v>1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P237" s="9"/>
      <c r="CQ237" s="10"/>
    </row>
    <row r="238" spans="2:95" x14ac:dyDescent="0.15">
      <c r="B238" s="36" t="s">
        <v>196</v>
      </c>
      <c r="C238" s="1" t="s">
        <v>200</v>
      </c>
      <c r="K238" s="1" t="s">
        <v>1780</v>
      </c>
      <c r="L238" s="1" t="s">
        <v>1750</v>
      </c>
      <c r="M238" s="1" t="s">
        <v>362</v>
      </c>
      <c r="N238" s="6">
        <v>18.5</v>
      </c>
      <c r="O238" s="1" t="s">
        <v>2</v>
      </c>
      <c r="P238" s="1">
        <v>3</v>
      </c>
      <c r="Q238" s="1">
        <v>5</v>
      </c>
      <c r="R238" s="1">
        <v>8</v>
      </c>
      <c r="S238" s="1">
        <v>22</v>
      </c>
      <c r="T238" s="1">
        <v>30</v>
      </c>
      <c r="U238" s="253">
        <v>6</v>
      </c>
      <c r="V238" s="1">
        <v>100</v>
      </c>
      <c r="W238" s="44">
        <v>160</v>
      </c>
      <c r="X238" s="40">
        <f>_xlfn.XLOOKUP("Ripening", CropPhenology_Onion[Main_Stage], CropPhenology_Onion[Start_GDD], "Not Found")</f>
        <v>1786</v>
      </c>
      <c r="Y238" s="4" cm="1">
        <f t="array" ref="Y238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8" s="3">
        <f t="shared" si="127"/>
        <v>14.881250000000001</v>
      </c>
      <c r="AA238" s="41">
        <f t="shared" si="128"/>
        <v>124.98950020999578</v>
      </c>
      <c r="AB238" s="1">
        <v>7</v>
      </c>
      <c r="AC238" s="1">
        <v>8</v>
      </c>
      <c r="AD238" s="1">
        <v>3</v>
      </c>
      <c r="AE238" s="1">
        <v>90</v>
      </c>
      <c r="AF238" s="1">
        <v>2</v>
      </c>
      <c r="AG238" s="1">
        <v>5</v>
      </c>
      <c r="AH238" s="3">
        <f t="shared" si="129"/>
        <v>0.5920497311827958</v>
      </c>
      <c r="AI238" s="1">
        <v>6</v>
      </c>
      <c r="AJ238" s="1">
        <v>7</v>
      </c>
      <c r="AK238" s="159">
        <v>1.2</v>
      </c>
      <c r="AL238" s="150">
        <v>0.16</v>
      </c>
      <c r="AM238" s="1">
        <v>250</v>
      </c>
      <c r="AN238" s="1">
        <v>350</v>
      </c>
      <c r="AO238" s="48">
        <v>1</v>
      </c>
      <c r="AP238" s="44">
        <v>60</v>
      </c>
      <c r="AQ238" s="42">
        <v>0.72</v>
      </c>
      <c r="AR238" s="1">
        <v>15</v>
      </c>
      <c r="AS238" s="1">
        <v>10</v>
      </c>
      <c r="AT238" s="1">
        <v>1</v>
      </c>
      <c r="AU238" s="4">
        <f t="shared" si="130"/>
        <v>66.666666666666671</v>
      </c>
      <c r="AV238" s="3">
        <f t="shared" si="131"/>
        <v>2</v>
      </c>
      <c r="AW238" s="1">
        <v>85</v>
      </c>
      <c r="AX238" s="3">
        <f t="shared" si="132"/>
        <v>56.666666666666671</v>
      </c>
      <c r="AY238" s="1">
        <v>1</v>
      </c>
      <c r="AZ238" s="4">
        <f t="shared" si="133"/>
        <v>56.666666666666671</v>
      </c>
      <c r="BA238" s="49">
        <v>0.89</v>
      </c>
      <c r="BB238" s="4">
        <f t="shared" si="134"/>
        <v>50.433333333333337</v>
      </c>
      <c r="BC238" s="50">
        <v>3.9600000000000003E-2</v>
      </c>
      <c r="BD238" s="69">
        <f>IFERROR(
  MAX(0.05, MIN(0.5, CropNorms_Onion[[#This Row],[Leaf_Area_Per_Shoot_m2]] * CropNorms_Onion[[#This Row],[Shoot_Bearing_m2]] )),
  0.2
)</f>
        <v>0.5</v>
      </c>
      <c r="BE238" s="4">
        <f>_xlfn.XLOOKUP(CropNorms_Onion[[#This Row],[LAI_Start_BBCH]], CropPhenology_Onion[Sub_Stage], CropPhenology_Onion[Start_GDD], "Not Found")</f>
        <v>121</v>
      </c>
      <c r="BF238" s="3">
        <f>ROUND(CropNorms_Onion[[#This Row],[Shoot_Bearing_m2]]*CropNorms_Onion[[#This Row],[Leaf_Area_Per_Shoot_m2]],2)</f>
        <v>2</v>
      </c>
      <c r="BG238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8" s="3">
        <f>IF(CropNorms_Onion[[#This Row],[Max_LAI]]&gt;=1.2, 0.85*CropNorms_Onion[[#This Row],[Max_LAI]], 1)</f>
        <v>1.7</v>
      </c>
      <c r="BI238" s="41">
        <f>_xlfn.XLOOKUP(CropNorms_Onion[[#This Row],[LAI_End_BBCH]], CropPhenology_Onion[Sub_Stage], CropPhenology_Onion[End_GDD], "Not Found")</f>
        <v>1785</v>
      </c>
      <c r="BJ238" s="3" cm="1">
        <f t="array" ref="BJ238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K238" s="3" cm="1">
        <f t="array" ref="BK238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0.93451605894207435</v>
      </c>
      <c r="BL238" s="3" cm="1">
        <f t="array" ref="BL238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0.99331951541793873</v>
      </c>
      <c r="BM238" s="3" cm="1">
        <f t="array" ref="BM238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8" s="42">
        <v>0.5</v>
      </c>
      <c r="BO238" s="43">
        <v>0.65</v>
      </c>
      <c r="BP238" s="42">
        <v>10.7</v>
      </c>
      <c r="BQ238" s="43" t="s">
        <v>1791</v>
      </c>
      <c r="BR238" s="3" t="str" cm="1">
        <f t="array" ref="BR238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8" s="3" t="str" cm="1">
        <f t="array" ref="BS238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8" s="3" t="str" cm="1">
        <f t="array" ref="BT238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8" s="3" t="str" cm="1">
        <f t="array" ref="BU238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8" s="48">
        <v>75</v>
      </c>
      <c r="BW238" s="1">
        <v>50</v>
      </c>
      <c r="BX238" s="44">
        <v>80</v>
      </c>
      <c r="BY238" s="51">
        <v>45703</v>
      </c>
      <c r="BZ238" s="5">
        <v>45731</v>
      </c>
      <c r="CA238" s="85">
        <v>0</v>
      </c>
      <c r="CB238" s="2">
        <v>0</v>
      </c>
      <c r="CC238" s="2">
        <v>1</v>
      </c>
      <c r="CD238" s="2">
        <v>1</v>
      </c>
      <c r="CE238" s="2">
        <v>1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P238" s="9"/>
      <c r="CQ238" s="10"/>
    </row>
    <row r="239" spans="2:95" ht="11.25" thickBot="1" x14ac:dyDescent="0.2">
      <c r="B239" s="36" t="s">
        <v>196</v>
      </c>
      <c r="C239" s="1" t="s">
        <v>201</v>
      </c>
      <c r="K239" s="1" t="s">
        <v>1780</v>
      </c>
      <c r="L239" s="1" t="s">
        <v>1750</v>
      </c>
      <c r="M239" s="1" t="s">
        <v>362</v>
      </c>
      <c r="N239" s="6">
        <v>18.5</v>
      </c>
      <c r="O239" s="1" t="s">
        <v>2</v>
      </c>
      <c r="P239" s="1">
        <v>3</v>
      </c>
      <c r="Q239" s="1">
        <v>5</v>
      </c>
      <c r="R239" s="1">
        <v>8</v>
      </c>
      <c r="S239" s="1">
        <v>22</v>
      </c>
      <c r="T239" s="1">
        <v>30</v>
      </c>
      <c r="U239" s="254">
        <v>6</v>
      </c>
      <c r="V239" s="1">
        <v>100</v>
      </c>
      <c r="W239" s="44">
        <v>160</v>
      </c>
      <c r="X239" s="40">
        <f>_xlfn.XLOOKUP("Ripening", CropPhenology_Onion[Main_Stage], CropPhenology_Onion[Start_GDD], "Not Found")</f>
        <v>1786</v>
      </c>
      <c r="Y239" s="4" cm="1">
        <f t="array" ref="Y239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Z239" s="3">
        <f t="shared" si="127"/>
        <v>14.881250000000001</v>
      </c>
      <c r="AA239" s="41">
        <f t="shared" si="128"/>
        <v>124.98950020999578</v>
      </c>
      <c r="AB239" s="1">
        <v>7</v>
      </c>
      <c r="AC239" s="1">
        <v>8</v>
      </c>
      <c r="AD239" s="1">
        <v>3</v>
      </c>
      <c r="AE239" s="1">
        <v>90</v>
      </c>
      <c r="AF239" s="1">
        <v>2</v>
      </c>
      <c r="AG239" s="1">
        <v>5</v>
      </c>
      <c r="AH239" s="3">
        <f t="shared" si="129"/>
        <v>0.5920497311827958</v>
      </c>
      <c r="AI239" s="1">
        <v>6</v>
      </c>
      <c r="AJ239" s="1">
        <v>7</v>
      </c>
      <c r="AK239" s="160">
        <v>1.2</v>
      </c>
      <c r="AL239" s="161">
        <v>0.16</v>
      </c>
      <c r="AM239" s="1">
        <v>250</v>
      </c>
      <c r="AN239" s="1">
        <v>350</v>
      </c>
      <c r="AO239" s="48">
        <v>1</v>
      </c>
      <c r="AP239" s="44">
        <v>60</v>
      </c>
      <c r="AQ239" s="42">
        <v>0.74</v>
      </c>
      <c r="AR239" s="1">
        <v>15</v>
      </c>
      <c r="AS239" s="1">
        <v>10</v>
      </c>
      <c r="AT239" s="1">
        <v>1</v>
      </c>
      <c r="AU239" s="4">
        <f t="shared" si="130"/>
        <v>66.666666666666671</v>
      </c>
      <c r="AV239" s="3">
        <f t="shared" si="131"/>
        <v>2</v>
      </c>
      <c r="AW239" s="1">
        <v>85</v>
      </c>
      <c r="AX239" s="3">
        <f t="shared" si="132"/>
        <v>56.666666666666671</v>
      </c>
      <c r="AY239" s="1">
        <v>1</v>
      </c>
      <c r="AZ239" s="4">
        <f t="shared" si="133"/>
        <v>56.666666666666671</v>
      </c>
      <c r="BA239" s="49">
        <v>0.89</v>
      </c>
      <c r="BB239" s="4">
        <f t="shared" si="134"/>
        <v>50.433333333333337</v>
      </c>
      <c r="BC239" s="50">
        <v>3.9600000000000003E-2</v>
      </c>
      <c r="BD239" s="69">
        <f>IFERROR(
  MAX(0.05, MIN(0.5, CropNorms_Onion[[#This Row],[Leaf_Area_Per_Shoot_m2]] * CropNorms_Onion[[#This Row],[Shoot_Bearing_m2]] )),
  0.2
)</f>
        <v>0.5</v>
      </c>
      <c r="BE239" s="4">
        <f>_xlfn.XLOOKUP(CropNorms_Onion[[#This Row],[LAI_Start_BBCH]], CropPhenology_Onion[Sub_Stage], CropPhenology_Onion[Start_GDD], "Not Found")</f>
        <v>121</v>
      </c>
      <c r="BF239" s="3">
        <f>ROUND(CropNorms_Onion[[#This Row],[Shoot_Bearing_m2]]*CropNorms_Onion[[#This Row],[Leaf_Area_Per_Shoot_m2]],2)</f>
        <v>2</v>
      </c>
      <c r="BG239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H239" s="3">
        <f>IF(CropNorms_Onion[[#This Row],[Max_LAI]]&gt;=1.2, 0.85*CropNorms_Onion[[#This Row],[Max_LAI]], 1)</f>
        <v>1.7</v>
      </c>
      <c r="BI239" s="41">
        <f>_xlfn.XLOOKUP(CropNorms_Onion[[#This Row],[LAI_End_BBCH]], CropPhenology_Onion[Sub_Stage], CropPhenology_Onion[End_GDD], "Not Found")</f>
        <v>1785</v>
      </c>
      <c r="BJ239" s="3" cm="1">
        <f t="array" ref="BJ239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K239" s="3" cm="1">
        <f t="array" ref="BK239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0.93451605894207435</v>
      </c>
      <c r="BL239" s="3" cm="1">
        <f t="array" ref="BL239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0.99331951541793873</v>
      </c>
      <c r="BM239" s="3" cm="1">
        <f t="array" ref="BM239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39" s="42">
        <v>0.5</v>
      </c>
      <c r="BO239" s="43">
        <v>0.65</v>
      </c>
      <c r="BP239" s="42">
        <v>10.7</v>
      </c>
      <c r="BQ239" s="43" t="s">
        <v>1791</v>
      </c>
      <c r="BR239" s="3" t="str" cm="1">
        <f t="array" ref="BR239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S239" s="3" t="str" cm="1">
        <f t="array" ref="BS239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T239" s="3" t="str" cm="1">
        <f t="array" ref="BT239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U239" s="3" t="str" cm="1">
        <f t="array" ref="BU239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V239" s="48">
        <v>75</v>
      </c>
      <c r="BW239" s="1">
        <v>50</v>
      </c>
      <c r="BX239" s="44">
        <v>80</v>
      </c>
      <c r="BY239" s="51">
        <v>45703</v>
      </c>
      <c r="BZ239" s="5">
        <v>45731</v>
      </c>
      <c r="CA239" s="85">
        <v>0</v>
      </c>
      <c r="CB239" s="2">
        <v>0</v>
      </c>
      <c r="CC239" s="2">
        <v>1</v>
      </c>
      <c r="CD239" s="2">
        <v>1</v>
      </c>
      <c r="CE239" s="2">
        <v>1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P239" s="9"/>
      <c r="CQ239" s="10"/>
    </row>
    <row r="240" spans="2:95" ht="11.25" thickBot="1" x14ac:dyDescent="0.2">
      <c r="Y240" s="3"/>
      <c r="Z240" s="4"/>
      <c r="AG240" s="3"/>
      <c r="AR240" s="4"/>
      <c r="AS240" s="3"/>
      <c r="AU240" s="3"/>
      <c r="AW240" s="4"/>
      <c r="AX240" s="49"/>
      <c r="AY240" s="4"/>
      <c r="BV240" s="51"/>
      <c r="BW240" s="51"/>
      <c r="CP240" s="9"/>
      <c r="CQ240" s="10"/>
    </row>
    <row r="241" spans="2:95" ht="11.25" thickBot="1" x14ac:dyDescent="0.2">
      <c r="B241" s="54" t="s">
        <v>1753</v>
      </c>
      <c r="C241" s="53" t="s">
        <v>1754</v>
      </c>
      <c r="D241" s="53" t="s">
        <v>1804</v>
      </c>
      <c r="E241" s="53" t="s">
        <v>1805</v>
      </c>
      <c r="F241" s="53" t="s">
        <v>1806</v>
      </c>
      <c r="G241" s="53" t="s">
        <v>1807</v>
      </c>
      <c r="H241" s="53" t="s">
        <v>1808</v>
      </c>
      <c r="I241" s="53" t="s">
        <v>1809</v>
      </c>
      <c r="J241" s="53" t="s">
        <v>1810</v>
      </c>
      <c r="K241" s="53" t="s">
        <v>1747</v>
      </c>
      <c r="L241" s="54" t="s">
        <v>1749</v>
      </c>
      <c r="M241" s="53" t="s">
        <v>357</v>
      </c>
      <c r="N241" s="55" t="s">
        <v>692</v>
      </c>
      <c r="O241" s="53" t="s">
        <v>325</v>
      </c>
      <c r="P241" s="53" t="s">
        <v>356</v>
      </c>
      <c r="Q241" s="53" t="s">
        <v>326</v>
      </c>
      <c r="R241" s="53" t="s">
        <v>327</v>
      </c>
      <c r="S241" s="53" t="s">
        <v>328</v>
      </c>
      <c r="T241" s="53" t="s">
        <v>329</v>
      </c>
      <c r="U241" s="250" t="s">
        <v>2349</v>
      </c>
      <c r="V241" s="53" t="s">
        <v>330</v>
      </c>
      <c r="W241" s="53" t="s">
        <v>331</v>
      </c>
      <c r="X241" s="56" t="s">
        <v>354</v>
      </c>
      <c r="Y241" s="57" t="s">
        <v>355</v>
      </c>
      <c r="Z241" s="58" t="s">
        <v>413</v>
      </c>
      <c r="AA241" s="59" t="s">
        <v>583</v>
      </c>
      <c r="AB241" s="53" t="s">
        <v>324</v>
      </c>
      <c r="AC241" s="53" t="s">
        <v>332</v>
      </c>
      <c r="AD241" s="53" t="s">
        <v>333</v>
      </c>
      <c r="AE241" s="53" t="s">
        <v>334</v>
      </c>
      <c r="AF241" s="53" t="s">
        <v>335</v>
      </c>
      <c r="AG241" s="53" t="s">
        <v>336</v>
      </c>
      <c r="AH241" s="60" t="s">
        <v>337</v>
      </c>
      <c r="AI241" s="53" t="s">
        <v>338</v>
      </c>
      <c r="AJ241" s="53" t="s">
        <v>339</v>
      </c>
      <c r="AK241" s="157" t="s">
        <v>2346</v>
      </c>
      <c r="AL241" s="158" t="s">
        <v>2347</v>
      </c>
      <c r="AM241" s="53" t="s">
        <v>340</v>
      </c>
      <c r="AN241" s="53" t="s">
        <v>341</v>
      </c>
      <c r="AO241" s="61" t="s">
        <v>342</v>
      </c>
      <c r="AP241" s="62" t="s">
        <v>343</v>
      </c>
      <c r="AQ241" s="55" t="s">
        <v>344</v>
      </c>
      <c r="AR241" s="53" t="s">
        <v>345</v>
      </c>
      <c r="AS241" s="53" t="s">
        <v>346</v>
      </c>
      <c r="AT241" s="53" t="s">
        <v>364</v>
      </c>
      <c r="AU241" s="60" t="s">
        <v>347</v>
      </c>
      <c r="AV241" s="58" t="s">
        <v>363</v>
      </c>
      <c r="AW241" s="53" t="s">
        <v>348</v>
      </c>
      <c r="AX241" s="58" t="s">
        <v>349</v>
      </c>
      <c r="AY241" s="53" t="s">
        <v>366</v>
      </c>
      <c r="AZ241" s="60" t="s">
        <v>350</v>
      </c>
      <c r="BA241" s="53" t="s">
        <v>365</v>
      </c>
      <c r="BB241" s="60" t="s">
        <v>1827</v>
      </c>
      <c r="BC241" s="63" t="s">
        <v>351</v>
      </c>
      <c r="BD241" s="71" t="s">
        <v>1811</v>
      </c>
      <c r="BE241" s="57" t="s">
        <v>352</v>
      </c>
      <c r="BF241" s="58" t="s">
        <v>1812</v>
      </c>
      <c r="BG241" s="57" t="s">
        <v>1752</v>
      </c>
      <c r="BH241" s="60" t="s">
        <v>1813</v>
      </c>
      <c r="BI241" s="59" t="s">
        <v>353</v>
      </c>
      <c r="BJ241" s="71" t="s">
        <v>1828</v>
      </c>
      <c r="BK241" s="58" t="s">
        <v>1829</v>
      </c>
      <c r="BL241" s="58" t="s">
        <v>1830</v>
      </c>
      <c r="BM241" s="72" t="s">
        <v>1831</v>
      </c>
      <c r="BN241" s="64" t="s">
        <v>1154</v>
      </c>
      <c r="BO241" s="65" t="s">
        <v>1742</v>
      </c>
      <c r="BP241" s="64" t="s">
        <v>1155</v>
      </c>
      <c r="BQ241" s="65" t="s">
        <v>1755</v>
      </c>
      <c r="BR241" s="58" t="s">
        <v>367</v>
      </c>
      <c r="BS241" s="58" t="s">
        <v>1751</v>
      </c>
      <c r="BT241" s="58" t="s">
        <v>368</v>
      </c>
      <c r="BU241" s="60" t="s">
        <v>1814</v>
      </c>
      <c r="BV241" s="61" t="s">
        <v>369</v>
      </c>
      <c r="BW241" s="53" t="s">
        <v>370</v>
      </c>
      <c r="BX241" s="62" t="s">
        <v>371</v>
      </c>
      <c r="BY241" s="53" t="s">
        <v>359</v>
      </c>
      <c r="BZ241" s="53" t="s">
        <v>361</v>
      </c>
      <c r="CA241" s="61" t="s">
        <v>1815</v>
      </c>
      <c r="CB241" s="53" t="s">
        <v>1816</v>
      </c>
      <c r="CC241" s="53" t="s">
        <v>1817</v>
      </c>
      <c r="CD241" s="53" t="s">
        <v>1818</v>
      </c>
      <c r="CE241" s="53" t="s">
        <v>1819</v>
      </c>
      <c r="CF241" s="53" t="s">
        <v>1820</v>
      </c>
      <c r="CG241" s="53" t="s">
        <v>1821</v>
      </c>
      <c r="CH241" s="53" t="s">
        <v>1822</v>
      </c>
      <c r="CI241" s="53" t="s">
        <v>1823</v>
      </c>
      <c r="CJ241" s="53" t="s">
        <v>1824</v>
      </c>
      <c r="CK241" s="53" t="s">
        <v>1825</v>
      </c>
      <c r="CL241" s="53" t="s">
        <v>1826</v>
      </c>
      <c r="CP241" s="9"/>
      <c r="CQ241" s="10"/>
    </row>
    <row r="242" spans="2:95" x14ac:dyDescent="0.15">
      <c r="B242" s="36" t="s">
        <v>205</v>
      </c>
      <c r="C242" s="1" t="s">
        <v>206</v>
      </c>
      <c r="K242" s="1" t="s">
        <v>1765</v>
      </c>
      <c r="L242" s="1" t="s">
        <v>1750</v>
      </c>
      <c r="M242" s="1" t="s">
        <v>372</v>
      </c>
      <c r="N242" s="6">
        <v>18.5</v>
      </c>
      <c r="O242" s="1" t="s">
        <v>4</v>
      </c>
      <c r="P242" s="1">
        <v>25</v>
      </c>
      <c r="Q242" s="1">
        <v>6</v>
      </c>
      <c r="R242" s="1">
        <v>4</v>
      </c>
      <c r="S242" s="1">
        <v>20</v>
      </c>
      <c r="T242" s="1">
        <v>30</v>
      </c>
      <c r="U242" s="253">
        <v>4</v>
      </c>
      <c r="V242" s="1">
        <v>65</v>
      </c>
      <c r="W242" s="44">
        <v>105</v>
      </c>
      <c r="X242" s="40">
        <f>_xlfn.XLOOKUP("Ripening", CropPhenology_Pea[Main_Stage], CropPhenology_Pea[Start_GDD], "Not Found")</f>
        <v>1421</v>
      </c>
      <c r="Y242" s="4" cm="1">
        <f t="array" ref="Y242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2" s="3">
        <f t="shared" ref="Z242:Z252" si="135">MIN(Y242/V242,MAX(X242/W242,R242,(X242/W242+Y242/V242)/2))</f>
        <v>20.458974358974359</v>
      </c>
      <c r="AA242" s="41">
        <f t="shared" ref="AA242:AA252" si="136">Y242/Z242</f>
        <v>87.003383882692063</v>
      </c>
      <c r="AB242" s="1">
        <v>8</v>
      </c>
      <c r="AC242" s="1">
        <v>10</v>
      </c>
      <c r="AD242" s="1">
        <v>3</v>
      </c>
      <c r="AE242" s="1">
        <v>90</v>
      </c>
      <c r="AF242" s="1">
        <v>5</v>
      </c>
      <c r="AG242" s="1">
        <v>4</v>
      </c>
      <c r="AH242" s="3">
        <f t="shared" ref="AH242:AH301" si="137">IFERROR((Y242-X242)/AA242,0)</f>
        <v>4.1262762892538172</v>
      </c>
      <c r="AI242" s="1">
        <v>6</v>
      </c>
      <c r="AJ242" s="1">
        <v>7.5</v>
      </c>
      <c r="AK242" s="159">
        <v>1.5</v>
      </c>
      <c r="AL242" s="150">
        <v>0.12</v>
      </c>
      <c r="AM242" s="1">
        <v>350</v>
      </c>
      <c r="AN242" s="1">
        <v>500</v>
      </c>
      <c r="AO242" s="48">
        <v>5</v>
      </c>
      <c r="AP242" s="44">
        <v>80</v>
      </c>
      <c r="AQ242" s="42">
        <v>0.8</v>
      </c>
      <c r="AR242" s="1">
        <v>30</v>
      </c>
      <c r="AS242" s="1">
        <v>35</v>
      </c>
      <c r="AT242" s="1">
        <v>1</v>
      </c>
      <c r="AU242" s="4">
        <f t="shared" si="124"/>
        <v>9.5238095238095237</v>
      </c>
      <c r="AV242" s="3">
        <f t="shared" ref="AV242:AV252" si="138">ROUND((P242/1000000)*AU242*10000,2)</f>
        <v>2.38</v>
      </c>
      <c r="AW242" s="1">
        <v>90</v>
      </c>
      <c r="AX242" s="3">
        <f t="shared" ref="AX242" si="139">IFERROR((AU242*AW242/100),0)</f>
        <v>8.5714285714285712</v>
      </c>
      <c r="AY242" s="1">
        <v>1</v>
      </c>
      <c r="AZ242" s="4">
        <f t="shared" ref="AZ242" si="140">IFERROR(AX242*AY242,0)</f>
        <v>8.5714285714285712</v>
      </c>
      <c r="BA242" s="49">
        <v>0.89</v>
      </c>
      <c r="BB242" s="4">
        <f t="shared" si="125"/>
        <v>7.6285714285714281</v>
      </c>
      <c r="BC242" s="50">
        <v>0.3</v>
      </c>
      <c r="BD242" s="69">
        <f>IFERROR(
  MAX(0.05, MIN(0.5, CropNorms_Pea[[#This Row],[Leaf_Area_Per_Shoot_m2]] * CropNorms_Pea[[#This Row],[Shoot_Bearing_m2]] )),
  0.2
)</f>
        <v>0.5</v>
      </c>
      <c r="BE242" s="4">
        <f>_xlfn.XLOOKUP(CropNorms_Pea[[#This Row],[LAI_Start_BBCH]], CropPhenology_Pea[Sub_Stage], CropPhenology_Pea[Start_GDD], "Not Found")</f>
        <v>111</v>
      </c>
      <c r="BF242" s="3">
        <f>ROUND(CropNorms_Pea[[#This Row],[Shoot_Bearing_m2]]*CropNorms_Pea[[#This Row],[Leaf_Area_Per_Shoot_m2]],2)</f>
        <v>2.29</v>
      </c>
      <c r="BG242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2" s="3">
        <f>IF(CropNorms_Pea[[#This Row],[Max_LAI]]&gt;=1.2, 0.85*CropNorms_Pea[[#This Row],[Max_LAI]], 1)</f>
        <v>1.9464999999999999</v>
      </c>
      <c r="BI242" s="41">
        <f>_xlfn.XLOOKUP(CropNorms_Pea[[#This Row],[LAI_End_BBCH]], CropPhenology_Pea[Sub_Stage], CropPhenology_Pea[End_GDD], "Not Found")</f>
        <v>1420</v>
      </c>
      <c r="BJ242" s="3" cm="1">
        <f t="array" ref="BJ242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2" s="3" cm="1">
        <f t="array" ref="BK24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2" s="3" cm="1">
        <f t="array" ref="BL242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2" s="3" cm="1">
        <f t="array" ref="BM24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2" s="42">
        <v>0.3</v>
      </c>
      <c r="BO242" s="43">
        <v>0.15</v>
      </c>
      <c r="BP242" s="42">
        <v>2.11</v>
      </c>
      <c r="BQ242" s="43" t="s">
        <v>1798</v>
      </c>
      <c r="BR242" s="3" t="str" cm="1">
        <f t="array" ref="BR24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2" s="3" t="str" cm="1">
        <f t="array" ref="BS24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2" s="3" t="str" cm="1">
        <f t="array" ref="BT242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2" s="3" t="str" cm="1">
        <f t="array" ref="BU242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2" s="48">
        <v>15</v>
      </c>
      <c r="BW242" s="1">
        <v>30</v>
      </c>
      <c r="BX242" s="44">
        <v>30</v>
      </c>
      <c r="BY242" s="51">
        <v>45901</v>
      </c>
      <c r="BZ242" s="5">
        <v>45960</v>
      </c>
      <c r="CA242" s="85">
        <v>0</v>
      </c>
      <c r="CB242" s="2">
        <v>0</v>
      </c>
      <c r="CC242" s="2">
        <v>1</v>
      </c>
      <c r="CD242" s="2">
        <v>1</v>
      </c>
      <c r="CE242" s="2">
        <v>1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P242" s="9"/>
      <c r="CQ242" s="10"/>
    </row>
    <row r="243" spans="2:95" x14ac:dyDescent="0.15">
      <c r="B243" s="36" t="s">
        <v>205</v>
      </c>
      <c r="C243" s="1" t="s">
        <v>207</v>
      </c>
      <c r="K243" s="1" t="s">
        <v>1765</v>
      </c>
      <c r="L243" s="1" t="s">
        <v>1750</v>
      </c>
      <c r="M243" s="1" t="s">
        <v>372</v>
      </c>
      <c r="N243" s="6">
        <v>18.5</v>
      </c>
      <c r="O243" s="1" t="s">
        <v>4</v>
      </c>
      <c r="P243" s="1">
        <v>25</v>
      </c>
      <c r="Q243" s="1">
        <v>6</v>
      </c>
      <c r="R243" s="1">
        <v>4</v>
      </c>
      <c r="S243" s="1">
        <v>20</v>
      </c>
      <c r="T243" s="1">
        <v>30</v>
      </c>
      <c r="U243" s="253">
        <v>4</v>
      </c>
      <c r="V243" s="1">
        <v>65</v>
      </c>
      <c r="W243" s="44">
        <v>105</v>
      </c>
      <c r="X243" s="40">
        <f>_xlfn.XLOOKUP("Ripening", CropPhenology_Pea[Main_Stage], CropPhenology_Pea[Start_GDD], "Not Found")</f>
        <v>1421</v>
      </c>
      <c r="Y243" s="4" cm="1">
        <f t="array" ref="Y243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3" s="3">
        <f t="shared" si="135"/>
        <v>20.458974358974359</v>
      </c>
      <c r="AA243" s="41">
        <f t="shared" si="136"/>
        <v>87.003383882692063</v>
      </c>
      <c r="AB243" s="1">
        <v>8</v>
      </c>
      <c r="AC243" s="1">
        <v>10</v>
      </c>
      <c r="AD243" s="1">
        <v>3</v>
      </c>
      <c r="AE243" s="1">
        <v>90</v>
      </c>
      <c r="AF243" s="1">
        <v>5</v>
      </c>
      <c r="AG243" s="1">
        <v>4</v>
      </c>
      <c r="AH243" s="3">
        <f t="shared" si="137"/>
        <v>4.1262762892538172</v>
      </c>
      <c r="AI243" s="1">
        <v>6</v>
      </c>
      <c r="AJ243" s="1">
        <v>7.5</v>
      </c>
      <c r="AK243" s="159">
        <v>1.5</v>
      </c>
      <c r="AL243" s="150">
        <v>0.12</v>
      </c>
      <c r="AM243" s="1">
        <v>350</v>
      </c>
      <c r="AN243" s="1">
        <v>500</v>
      </c>
      <c r="AO243" s="48">
        <v>5</v>
      </c>
      <c r="AP243" s="44">
        <v>80</v>
      </c>
      <c r="AQ243" s="42">
        <v>0.85</v>
      </c>
      <c r="AR243" s="1">
        <v>30</v>
      </c>
      <c r="AS243" s="1">
        <v>35</v>
      </c>
      <c r="AT243" s="1">
        <v>1</v>
      </c>
      <c r="AU243" s="4">
        <f t="shared" si="124"/>
        <v>9.5238095238095237</v>
      </c>
      <c r="AV243" s="3">
        <f t="shared" si="138"/>
        <v>2.38</v>
      </c>
      <c r="AW243" s="1">
        <v>90</v>
      </c>
      <c r="AX243" s="3">
        <f t="shared" ref="AX243:AX252" si="141">IFERROR((AU243*AW243/100),0)</f>
        <v>8.5714285714285712</v>
      </c>
      <c r="AY243" s="1">
        <v>1</v>
      </c>
      <c r="AZ243" s="4">
        <f t="shared" ref="AZ243:AZ252" si="142">IFERROR(AX243*AY243,0)</f>
        <v>8.5714285714285712</v>
      </c>
      <c r="BA243" s="49">
        <v>0.89</v>
      </c>
      <c r="BB243" s="4">
        <f t="shared" si="125"/>
        <v>7.6285714285714281</v>
      </c>
      <c r="BC243" s="50">
        <v>0.3</v>
      </c>
      <c r="BD243" s="69">
        <f>IFERROR(
  MAX(0.05, MIN(0.5, CropNorms_Pea[[#This Row],[Leaf_Area_Per_Shoot_m2]] * CropNorms_Pea[[#This Row],[Shoot_Bearing_m2]] )),
  0.2
)</f>
        <v>0.5</v>
      </c>
      <c r="BE243" s="4">
        <f>_xlfn.XLOOKUP(CropNorms_Pea[[#This Row],[LAI_Start_BBCH]], CropPhenology_Pea[Sub_Stage], CropPhenology_Pea[Start_GDD], "Not Found")</f>
        <v>111</v>
      </c>
      <c r="BF243" s="3">
        <f>ROUND(CropNorms_Pea[[#This Row],[Shoot_Bearing_m2]]*CropNorms_Pea[[#This Row],[Leaf_Area_Per_Shoot_m2]],2)</f>
        <v>2.29</v>
      </c>
      <c r="BG243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3" s="3">
        <f>IF(CropNorms_Pea[[#This Row],[Max_LAI]]&gt;=1.2, 0.85*CropNorms_Pea[[#This Row],[Max_LAI]], 1)</f>
        <v>1.9464999999999999</v>
      </c>
      <c r="BI243" s="41">
        <f>_xlfn.XLOOKUP(CropNorms_Pea[[#This Row],[LAI_End_BBCH]], CropPhenology_Pea[Sub_Stage], CropPhenology_Pea[End_GDD], "Not Found")</f>
        <v>1420</v>
      </c>
      <c r="BJ243" s="3" cm="1">
        <f t="array" ref="BJ243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3" s="3" cm="1">
        <f t="array" ref="BK243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3" s="3" cm="1">
        <f t="array" ref="BL243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3" s="3" cm="1">
        <f t="array" ref="BM243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3" s="42">
        <v>0.3</v>
      </c>
      <c r="BO243" s="43">
        <v>0.15</v>
      </c>
      <c r="BP243" s="42">
        <v>2.11</v>
      </c>
      <c r="BQ243" s="43" t="s">
        <v>1798</v>
      </c>
      <c r="BR243" s="3" t="str" cm="1">
        <f t="array" ref="BR243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3" s="3" t="str" cm="1">
        <f t="array" ref="BS243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3" s="3" t="str" cm="1">
        <f t="array" ref="BT243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3" s="3" t="str" cm="1">
        <f t="array" ref="BU243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3" s="48">
        <v>15</v>
      </c>
      <c r="BW243" s="1">
        <v>30</v>
      </c>
      <c r="BX243" s="44">
        <v>30</v>
      </c>
      <c r="BY243" s="51">
        <v>45901</v>
      </c>
      <c r="BZ243" s="5">
        <v>45960</v>
      </c>
      <c r="CA243" s="85">
        <v>0</v>
      </c>
      <c r="CB243" s="2">
        <v>0</v>
      </c>
      <c r="CC243" s="2">
        <v>1</v>
      </c>
      <c r="CD243" s="2">
        <v>1</v>
      </c>
      <c r="CE243" s="2">
        <v>1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P243" s="9"/>
      <c r="CQ243" s="10"/>
    </row>
    <row r="244" spans="2:95" x14ac:dyDescent="0.15">
      <c r="B244" s="36" t="s">
        <v>205</v>
      </c>
      <c r="C244" s="1" t="s">
        <v>208</v>
      </c>
      <c r="K244" s="1" t="s">
        <v>1765</v>
      </c>
      <c r="L244" s="1" t="s">
        <v>1750</v>
      </c>
      <c r="M244" s="1" t="s">
        <v>372</v>
      </c>
      <c r="N244" s="6">
        <v>18.5</v>
      </c>
      <c r="O244" s="1" t="s">
        <v>4</v>
      </c>
      <c r="P244" s="1">
        <v>25</v>
      </c>
      <c r="Q244" s="1">
        <v>6</v>
      </c>
      <c r="R244" s="1">
        <v>4</v>
      </c>
      <c r="S244" s="1">
        <v>20</v>
      </c>
      <c r="T244" s="1">
        <v>30</v>
      </c>
      <c r="U244" s="253">
        <v>4</v>
      </c>
      <c r="V244" s="1">
        <v>65</v>
      </c>
      <c r="W244" s="44">
        <v>105</v>
      </c>
      <c r="X244" s="40">
        <f>_xlfn.XLOOKUP("Ripening", CropPhenology_Pea[Main_Stage], CropPhenology_Pea[Start_GDD], "Not Found")</f>
        <v>1421</v>
      </c>
      <c r="Y244" s="4" cm="1">
        <f t="array" ref="Y244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4" s="3">
        <f t="shared" si="135"/>
        <v>20.458974358974359</v>
      </c>
      <c r="AA244" s="41">
        <f t="shared" si="136"/>
        <v>87.003383882692063</v>
      </c>
      <c r="AB244" s="1">
        <v>8</v>
      </c>
      <c r="AC244" s="1">
        <v>10</v>
      </c>
      <c r="AD244" s="1">
        <v>3</v>
      </c>
      <c r="AE244" s="1">
        <v>90</v>
      </c>
      <c r="AF244" s="1">
        <v>5</v>
      </c>
      <c r="AG244" s="1">
        <v>4</v>
      </c>
      <c r="AH244" s="3">
        <f t="shared" si="137"/>
        <v>4.1262762892538172</v>
      </c>
      <c r="AI244" s="1">
        <v>6</v>
      </c>
      <c r="AJ244" s="1">
        <v>7.5</v>
      </c>
      <c r="AK244" s="159">
        <v>1.5</v>
      </c>
      <c r="AL244" s="150">
        <v>0.12</v>
      </c>
      <c r="AM244" s="1">
        <v>350</v>
      </c>
      <c r="AN244" s="1">
        <v>500</v>
      </c>
      <c r="AO244" s="48">
        <v>5</v>
      </c>
      <c r="AP244" s="44">
        <v>80</v>
      </c>
      <c r="AQ244" s="42">
        <v>0.78</v>
      </c>
      <c r="AR244" s="1">
        <v>30</v>
      </c>
      <c r="AS244" s="1">
        <v>35</v>
      </c>
      <c r="AT244" s="1">
        <v>1</v>
      </c>
      <c r="AU244" s="4">
        <f t="shared" si="124"/>
        <v>9.5238095238095237</v>
      </c>
      <c r="AV244" s="3">
        <f t="shared" si="138"/>
        <v>2.38</v>
      </c>
      <c r="AW244" s="1">
        <v>90</v>
      </c>
      <c r="AX244" s="3">
        <f t="shared" si="141"/>
        <v>8.5714285714285712</v>
      </c>
      <c r="AY244" s="1">
        <v>1</v>
      </c>
      <c r="AZ244" s="4">
        <f t="shared" si="142"/>
        <v>8.5714285714285712</v>
      </c>
      <c r="BA244" s="49">
        <v>0.89</v>
      </c>
      <c r="BB244" s="4">
        <f t="shared" si="125"/>
        <v>7.6285714285714281</v>
      </c>
      <c r="BC244" s="50">
        <v>0.3</v>
      </c>
      <c r="BD244" s="69">
        <f>IFERROR(
  MAX(0.05, MIN(0.5, CropNorms_Pea[[#This Row],[Leaf_Area_Per_Shoot_m2]] * CropNorms_Pea[[#This Row],[Shoot_Bearing_m2]] )),
  0.2
)</f>
        <v>0.5</v>
      </c>
      <c r="BE244" s="4">
        <f>_xlfn.XLOOKUP(CropNorms_Pea[[#This Row],[LAI_Start_BBCH]], CropPhenology_Pea[Sub_Stage], CropPhenology_Pea[Start_GDD], "Not Found")</f>
        <v>111</v>
      </c>
      <c r="BF244" s="3">
        <f>ROUND(CropNorms_Pea[[#This Row],[Shoot_Bearing_m2]]*CropNorms_Pea[[#This Row],[Leaf_Area_Per_Shoot_m2]],2)</f>
        <v>2.29</v>
      </c>
      <c r="BG244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4" s="3">
        <f>IF(CropNorms_Pea[[#This Row],[Max_LAI]]&gt;=1.2, 0.85*CropNorms_Pea[[#This Row],[Max_LAI]], 1)</f>
        <v>1.9464999999999999</v>
      </c>
      <c r="BI244" s="41">
        <f>_xlfn.XLOOKUP(CropNorms_Pea[[#This Row],[LAI_End_BBCH]], CropPhenology_Pea[Sub_Stage], CropPhenology_Pea[End_GDD], "Not Found")</f>
        <v>1420</v>
      </c>
      <c r="BJ244" s="3" cm="1">
        <f t="array" ref="BJ244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4" s="3" cm="1">
        <f t="array" ref="BK244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4" s="3" cm="1">
        <f t="array" ref="BL244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4" s="3" cm="1">
        <f t="array" ref="BM244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4" s="42">
        <v>0.3</v>
      </c>
      <c r="BO244" s="43">
        <v>0.15</v>
      </c>
      <c r="BP244" s="42">
        <v>2.11</v>
      </c>
      <c r="BQ244" s="43" t="s">
        <v>1798</v>
      </c>
      <c r="BR244" s="3" t="str" cm="1">
        <f t="array" ref="BR244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4" s="3" t="str" cm="1">
        <f t="array" ref="BS244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4" s="3" t="str" cm="1">
        <f t="array" ref="BT244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4" s="3" t="str" cm="1">
        <f t="array" ref="BU244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4" s="48">
        <v>15</v>
      </c>
      <c r="BW244" s="1">
        <v>30</v>
      </c>
      <c r="BX244" s="44">
        <v>30</v>
      </c>
      <c r="BY244" s="51">
        <v>45901</v>
      </c>
      <c r="BZ244" s="5">
        <v>45960</v>
      </c>
      <c r="CA244" s="85">
        <v>0</v>
      </c>
      <c r="CB244" s="2">
        <v>0</v>
      </c>
      <c r="CC244" s="2">
        <v>1</v>
      </c>
      <c r="CD244" s="2">
        <v>1</v>
      </c>
      <c r="CE244" s="2">
        <v>1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P244" s="9"/>
      <c r="CQ244" s="10"/>
    </row>
    <row r="245" spans="2:95" x14ac:dyDescent="0.15">
      <c r="B245" s="36" t="s">
        <v>205</v>
      </c>
      <c r="C245" s="1" t="s">
        <v>209</v>
      </c>
      <c r="K245" s="1" t="s">
        <v>1765</v>
      </c>
      <c r="L245" s="1" t="s">
        <v>1750</v>
      </c>
      <c r="M245" s="1" t="s">
        <v>372</v>
      </c>
      <c r="N245" s="6">
        <v>18.5</v>
      </c>
      <c r="O245" s="1" t="s">
        <v>4</v>
      </c>
      <c r="P245" s="1">
        <v>25</v>
      </c>
      <c r="Q245" s="1">
        <v>6</v>
      </c>
      <c r="R245" s="1">
        <v>4</v>
      </c>
      <c r="S245" s="1">
        <v>20</v>
      </c>
      <c r="T245" s="1">
        <v>30</v>
      </c>
      <c r="U245" s="253">
        <v>4</v>
      </c>
      <c r="V245" s="1">
        <v>65</v>
      </c>
      <c r="W245" s="44">
        <v>105</v>
      </c>
      <c r="X245" s="40">
        <f>_xlfn.XLOOKUP("Ripening", CropPhenology_Pea[Main_Stage], CropPhenology_Pea[Start_GDD], "Not Found")</f>
        <v>1421</v>
      </c>
      <c r="Y245" s="4" cm="1">
        <f t="array" ref="Y245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5" s="3">
        <f t="shared" si="135"/>
        <v>20.458974358974359</v>
      </c>
      <c r="AA245" s="41">
        <f t="shared" si="136"/>
        <v>87.003383882692063</v>
      </c>
      <c r="AB245" s="1">
        <v>8</v>
      </c>
      <c r="AC245" s="1">
        <v>10</v>
      </c>
      <c r="AD245" s="1">
        <v>3</v>
      </c>
      <c r="AE245" s="1">
        <v>90</v>
      </c>
      <c r="AF245" s="1">
        <v>5</v>
      </c>
      <c r="AG245" s="1">
        <v>4</v>
      </c>
      <c r="AH245" s="3">
        <f t="shared" si="137"/>
        <v>4.1262762892538172</v>
      </c>
      <c r="AI245" s="1">
        <v>6</v>
      </c>
      <c r="AJ245" s="1">
        <v>7.5</v>
      </c>
      <c r="AK245" s="159">
        <v>1.5</v>
      </c>
      <c r="AL245" s="150">
        <v>0.12</v>
      </c>
      <c r="AM245" s="1">
        <v>350</v>
      </c>
      <c r="AN245" s="1">
        <v>500</v>
      </c>
      <c r="AO245" s="48">
        <v>5</v>
      </c>
      <c r="AP245" s="44">
        <v>80</v>
      </c>
      <c r="AQ245" s="42">
        <v>0.88</v>
      </c>
      <c r="AR245" s="1">
        <v>30</v>
      </c>
      <c r="AS245" s="1">
        <v>35</v>
      </c>
      <c r="AT245" s="1">
        <v>1</v>
      </c>
      <c r="AU245" s="4">
        <f t="shared" si="124"/>
        <v>9.5238095238095237</v>
      </c>
      <c r="AV245" s="3">
        <f t="shared" si="138"/>
        <v>2.38</v>
      </c>
      <c r="AW245" s="1">
        <v>90</v>
      </c>
      <c r="AX245" s="3">
        <f t="shared" si="141"/>
        <v>8.5714285714285712</v>
      </c>
      <c r="AY245" s="1">
        <v>1</v>
      </c>
      <c r="AZ245" s="4">
        <f t="shared" si="142"/>
        <v>8.5714285714285712</v>
      </c>
      <c r="BA245" s="49">
        <v>0.89</v>
      </c>
      <c r="BB245" s="4">
        <f t="shared" si="125"/>
        <v>7.6285714285714281</v>
      </c>
      <c r="BC245" s="50">
        <v>0.3</v>
      </c>
      <c r="BD245" s="69">
        <f>IFERROR(
  MAX(0.05, MIN(0.5, CropNorms_Pea[[#This Row],[Leaf_Area_Per_Shoot_m2]] * CropNorms_Pea[[#This Row],[Shoot_Bearing_m2]] )),
  0.2
)</f>
        <v>0.5</v>
      </c>
      <c r="BE245" s="4">
        <f>_xlfn.XLOOKUP(CropNorms_Pea[[#This Row],[LAI_Start_BBCH]], CropPhenology_Pea[Sub_Stage], CropPhenology_Pea[Start_GDD], "Not Found")</f>
        <v>111</v>
      </c>
      <c r="BF245" s="3">
        <f>ROUND(CropNorms_Pea[[#This Row],[Shoot_Bearing_m2]]*CropNorms_Pea[[#This Row],[Leaf_Area_Per_Shoot_m2]],2)</f>
        <v>2.29</v>
      </c>
      <c r="BG245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5" s="3">
        <f>IF(CropNorms_Pea[[#This Row],[Max_LAI]]&gt;=1.2, 0.85*CropNorms_Pea[[#This Row],[Max_LAI]], 1)</f>
        <v>1.9464999999999999</v>
      </c>
      <c r="BI245" s="41">
        <f>_xlfn.XLOOKUP(CropNorms_Pea[[#This Row],[LAI_End_BBCH]], CropPhenology_Pea[Sub_Stage], CropPhenology_Pea[End_GDD], "Not Found")</f>
        <v>1420</v>
      </c>
      <c r="BJ245" s="3" cm="1">
        <f t="array" ref="BJ245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5" s="3" cm="1">
        <f t="array" ref="BK245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5" s="3" cm="1">
        <f t="array" ref="BL245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5" s="3" cm="1">
        <f t="array" ref="BM245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5" s="42">
        <v>0.3</v>
      </c>
      <c r="BO245" s="43">
        <v>0.15</v>
      </c>
      <c r="BP245" s="42">
        <v>2.11</v>
      </c>
      <c r="BQ245" s="43" t="s">
        <v>1798</v>
      </c>
      <c r="BR245" s="3" t="str" cm="1">
        <f t="array" ref="BR245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5" s="3" t="str" cm="1">
        <f t="array" ref="BS245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5" s="3" t="str" cm="1">
        <f t="array" ref="BT245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5" s="3" t="str" cm="1">
        <f t="array" ref="BU245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5" s="48">
        <v>15</v>
      </c>
      <c r="BW245" s="1">
        <v>30</v>
      </c>
      <c r="BX245" s="44">
        <v>30</v>
      </c>
      <c r="BY245" s="51">
        <v>45901</v>
      </c>
      <c r="BZ245" s="5">
        <v>45960</v>
      </c>
      <c r="CA245" s="85">
        <v>0</v>
      </c>
      <c r="CB245" s="2">
        <v>0</v>
      </c>
      <c r="CC245" s="2">
        <v>1</v>
      </c>
      <c r="CD245" s="2">
        <v>1</v>
      </c>
      <c r="CE245" s="2">
        <v>1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P245" s="9"/>
      <c r="CQ245" s="10"/>
    </row>
    <row r="246" spans="2:95" x14ac:dyDescent="0.15">
      <c r="B246" s="36" t="s">
        <v>205</v>
      </c>
      <c r="C246" s="1" t="s">
        <v>210</v>
      </c>
      <c r="K246" s="1" t="s">
        <v>1765</v>
      </c>
      <c r="L246" s="1" t="s">
        <v>1750</v>
      </c>
      <c r="M246" s="1" t="s">
        <v>372</v>
      </c>
      <c r="N246" s="6">
        <v>18.5</v>
      </c>
      <c r="O246" s="1" t="s">
        <v>4</v>
      </c>
      <c r="P246" s="1">
        <v>25</v>
      </c>
      <c r="Q246" s="1">
        <v>6</v>
      </c>
      <c r="R246" s="1">
        <v>4</v>
      </c>
      <c r="S246" s="1">
        <v>20</v>
      </c>
      <c r="T246" s="1">
        <v>30</v>
      </c>
      <c r="U246" s="253">
        <v>4</v>
      </c>
      <c r="V246" s="1">
        <v>65</v>
      </c>
      <c r="W246" s="44">
        <v>105</v>
      </c>
      <c r="X246" s="40">
        <f>_xlfn.XLOOKUP("Ripening", CropPhenology_Pea[Main_Stage], CropPhenology_Pea[Start_GDD], "Not Found")</f>
        <v>1421</v>
      </c>
      <c r="Y246" s="4" cm="1">
        <f t="array" ref="Y246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6" s="3">
        <f t="shared" si="135"/>
        <v>20.458974358974359</v>
      </c>
      <c r="AA246" s="41">
        <f t="shared" si="136"/>
        <v>87.003383882692063</v>
      </c>
      <c r="AB246" s="1">
        <v>8</v>
      </c>
      <c r="AC246" s="1">
        <v>10</v>
      </c>
      <c r="AD246" s="1">
        <v>3</v>
      </c>
      <c r="AE246" s="1">
        <v>90</v>
      </c>
      <c r="AF246" s="1">
        <v>5</v>
      </c>
      <c r="AG246" s="1">
        <v>4</v>
      </c>
      <c r="AH246" s="3">
        <f t="shared" si="137"/>
        <v>4.1262762892538172</v>
      </c>
      <c r="AI246" s="1">
        <v>6</v>
      </c>
      <c r="AJ246" s="1">
        <v>7.5</v>
      </c>
      <c r="AK246" s="159">
        <v>1.5</v>
      </c>
      <c r="AL246" s="150">
        <v>0.12</v>
      </c>
      <c r="AM246" s="1">
        <v>350</v>
      </c>
      <c r="AN246" s="1">
        <v>500</v>
      </c>
      <c r="AO246" s="48">
        <v>5</v>
      </c>
      <c r="AP246" s="44">
        <v>80</v>
      </c>
      <c r="AQ246" s="42">
        <v>0.82</v>
      </c>
      <c r="AR246" s="1">
        <v>30</v>
      </c>
      <c r="AS246" s="1">
        <v>35</v>
      </c>
      <c r="AT246" s="1">
        <v>1</v>
      </c>
      <c r="AU246" s="4">
        <f t="shared" si="124"/>
        <v>9.5238095238095237</v>
      </c>
      <c r="AV246" s="3">
        <f t="shared" si="138"/>
        <v>2.38</v>
      </c>
      <c r="AW246" s="1">
        <v>90</v>
      </c>
      <c r="AX246" s="3">
        <f t="shared" si="141"/>
        <v>8.5714285714285712</v>
      </c>
      <c r="AY246" s="1">
        <v>1</v>
      </c>
      <c r="AZ246" s="4">
        <f t="shared" si="142"/>
        <v>8.5714285714285712</v>
      </c>
      <c r="BA246" s="49">
        <v>0.89</v>
      </c>
      <c r="BB246" s="4">
        <f t="shared" si="125"/>
        <v>7.6285714285714281</v>
      </c>
      <c r="BC246" s="50">
        <v>0.3</v>
      </c>
      <c r="BD246" s="69">
        <f>IFERROR(
  MAX(0.05, MIN(0.5, CropNorms_Pea[[#This Row],[Leaf_Area_Per_Shoot_m2]] * CropNorms_Pea[[#This Row],[Shoot_Bearing_m2]] )),
  0.2
)</f>
        <v>0.5</v>
      </c>
      <c r="BE246" s="4">
        <f>_xlfn.XLOOKUP(CropNorms_Pea[[#This Row],[LAI_Start_BBCH]], CropPhenology_Pea[Sub_Stage], CropPhenology_Pea[Start_GDD], "Not Found")</f>
        <v>111</v>
      </c>
      <c r="BF246" s="3">
        <f>ROUND(CropNorms_Pea[[#This Row],[Shoot_Bearing_m2]]*CropNorms_Pea[[#This Row],[Leaf_Area_Per_Shoot_m2]],2)</f>
        <v>2.29</v>
      </c>
      <c r="BG246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6" s="3">
        <f>IF(CropNorms_Pea[[#This Row],[Max_LAI]]&gt;=1.2, 0.85*CropNorms_Pea[[#This Row],[Max_LAI]], 1)</f>
        <v>1.9464999999999999</v>
      </c>
      <c r="BI246" s="41">
        <f>_xlfn.XLOOKUP(CropNorms_Pea[[#This Row],[LAI_End_BBCH]], CropPhenology_Pea[Sub_Stage], CropPhenology_Pea[End_GDD], "Not Found")</f>
        <v>1420</v>
      </c>
      <c r="BJ246" s="3" cm="1">
        <f t="array" ref="BJ246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6" s="3" cm="1">
        <f t="array" ref="BK246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6" s="3" cm="1">
        <f t="array" ref="BL246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6" s="3" cm="1">
        <f t="array" ref="BM246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6" s="42">
        <v>0.3</v>
      </c>
      <c r="BO246" s="43">
        <v>0.15</v>
      </c>
      <c r="BP246" s="42">
        <v>2.11</v>
      </c>
      <c r="BQ246" s="43" t="s">
        <v>1798</v>
      </c>
      <c r="BR246" s="3" t="str" cm="1">
        <f t="array" ref="BR246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6" s="3" t="str" cm="1">
        <f t="array" ref="BS246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6" s="3" t="str" cm="1">
        <f t="array" ref="BT246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6" s="3" t="str" cm="1">
        <f t="array" ref="BU246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6" s="48">
        <v>15</v>
      </c>
      <c r="BW246" s="1">
        <v>30</v>
      </c>
      <c r="BX246" s="44">
        <v>30</v>
      </c>
      <c r="BY246" s="51">
        <v>45901</v>
      </c>
      <c r="BZ246" s="5">
        <v>45960</v>
      </c>
      <c r="CA246" s="85">
        <v>0</v>
      </c>
      <c r="CB246" s="2">
        <v>0</v>
      </c>
      <c r="CC246" s="2">
        <v>1</v>
      </c>
      <c r="CD246" s="2">
        <v>1</v>
      </c>
      <c r="CE246" s="2">
        <v>1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P246" s="9"/>
      <c r="CQ246" s="10"/>
    </row>
    <row r="247" spans="2:95" x14ac:dyDescent="0.15">
      <c r="B247" s="36" t="s">
        <v>205</v>
      </c>
      <c r="C247" s="1" t="s">
        <v>211</v>
      </c>
      <c r="K247" s="1" t="s">
        <v>1765</v>
      </c>
      <c r="L247" s="1" t="s">
        <v>1750</v>
      </c>
      <c r="M247" s="1" t="s">
        <v>372</v>
      </c>
      <c r="N247" s="6">
        <v>18.5</v>
      </c>
      <c r="O247" s="1" t="s">
        <v>4</v>
      </c>
      <c r="P247" s="1">
        <v>25</v>
      </c>
      <c r="Q247" s="1">
        <v>6</v>
      </c>
      <c r="R247" s="1">
        <v>4</v>
      </c>
      <c r="S247" s="1">
        <v>20</v>
      </c>
      <c r="T247" s="1">
        <v>30</v>
      </c>
      <c r="U247" s="253">
        <v>4</v>
      </c>
      <c r="V247" s="1">
        <v>65</v>
      </c>
      <c r="W247" s="44">
        <v>105</v>
      </c>
      <c r="X247" s="40">
        <f>_xlfn.XLOOKUP("Ripening", CropPhenology_Pea[Main_Stage], CropPhenology_Pea[Start_GDD], "Not Found")</f>
        <v>1421</v>
      </c>
      <c r="Y247" s="4" cm="1">
        <f t="array" ref="Y247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7" s="3">
        <f t="shared" si="135"/>
        <v>20.458974358974359</v>
      </c>
      <c r="AA247" s="41">
        <f t="shared" si="136"/>
        <v>87.003383882692063</v>
      </c>
      <c r="AB247" s="1">
        <v>8</v>
      </c>
      <c r="AC247" s="1">
        <v>10</v>
      </c>
      <c r="AD247" s="1">
        <v>3</v>
      </c>
      <c r="AE247" s="1">
        <v>90</v>
      </c>
      <c r="AF247" s="1">
        <v>5</v>
      </c>
      <c r="AG247" s="1">
        <v>4</v>
      </c>
      <c r="AH247" s="3">
        <f t="shared" si="137"/>
        <v>4.1262762892538172</v>
      </c>
      <c r="AI247" s="1">
        <v>6</v>
      </c>
      <c r="AJ247" s="1">
        <v>7.5</v>
      </c>
      <c r="AK247" s="159">
        <v>1.5</v>
      </c>
      <c r="AL247" s="150">
        <v>0.12</v>
      </c>
      <c r="AM247" s="1">
        <v>350</v>
      </c>
      <c r="AN247" s="1">
        <v>500</v>
      </c>
      <c r="AO247" s="48">
        <v>5</v>
      </c>
      <c r="AP247" s="44">
        <v>80</v>
      </c>
      <c r="AQ247" s="42">
        <v>0.81</v>
      </c>
      <c r="AR247" s="1">
        <v>30</v>
      </c>
      <c r="AS247" s="1">
        <v>35</v>
      </c>
      <c r="AT247" s="1">
        <v>1</v>
      </c>
      <c r="AU247" s="4">
        <f t="shared" si="124"/>
        <v>9.5238095238095237</v>
      </c>
      <c r="AV247" s="3">
        <f t="shared" si="138"/>
        <v>2.38</v>
      </c>
      <c r="AW247" s="1">
        <v>90</v>
      </c>
      <c r="AX247" s="3">
        <f t="shared" si="141"/>
        <v>8.5714285714285712</v>
      </c>
      <c r="AY247" s="1">
        <v>1</v>
      </c>
      <c r="AZ247" s="4">
        <f t="shared" si="142"/>
        <v>8.5714285714285712</v>
      </c>
      <c r="BA247" s="49">
        <v>0.89</v>
      </c>
      <c r="BB247" s="4">
        <f t="shared" si="125"/>
        <v>7.6285714285714281</v>
      </c>
      <c r="BC247" s="50">
        <v>0.3</v>
      </c>
      <c r="BD247" s="69">
        <f>IFERROR(
  MAX(0.05, MIN(0.5, CropNorms_Pea[[#This Row],[Leaf_Area_Per_Shoot_m2]] * CropNorms_Pea[[#This Row],[Shoot_Bearing_m2]] )),
  0.2
)</f>
        <v>0.5</v>
      </c>
      <c r="BE247" s="4">
        <f>_xlfn.XLOOKUP(CropNorms_Pea[[#This Row],[LAI_Start_BBCH]], CropPhenology_Pea[Sub_Stage], CropPhenology_Pea[Start_GDD], "Not Found")</f>
        <v>111</v>
      </c>
      <c r="BF247" s="3">
        <f>ROUND(CropNorms_Pea[[#This Row],[Shoot_Bearing_m2]]*CropNorms_Pea[[#This Row],[Leaf_Area_Per_Shoot_m2]],2)</f>
        <v>2.29</v>
      </c>
      <c r="BG247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7" s="3">
        <f>IF(CropNorms_Pea[[#This Row],[Max_LAI]]&gt;=1.2, 0.85*CropNorms_Pea[[#This Row],[Max_LAI]], 1)</f>
        <v>1.9464999999999999</v>
      </c>
      <c r="BI247" s="41">
        <f>_xlfn.XLOOKUP(CropNorms_Pea[[#This Row],[LAI_End_BBCH]], CropPhenology_Pea[Sub_Stage], CropPhenology_Pea[End_GDD], "Not Found")</f>
        <v>1420</v>
      </c>
      <c r="BJ247" s="3" cm="1">
        <f t="array" ref="BJ247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7" s="3" cm="1">
        <f t="array" ref="BK247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7" s="3" cm="1">
        <f t="array" ref="BL247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7" s="3" cm="1">
        <f t="array" ref="BM247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7" s="42">
        <v>0.3</v>
      </c>
      <c r="BO247" s="43">
        <v>0.15</v>
      </c>
      <c r="BP247" s="42">
        <v>2.11</v>
      </c>
      <c r="BQ247" s="43" t="s">
        <v>1798</v>
      </c>
      <c r="BR247" s="3" t="str" cm="1">
        <f t="array" ref="BR247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7" s="3" t="str" cm="1">
        <f t="array" ref="BS247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7" s="3" t="str" cm="1">
        <f t="array" ref="BT247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7" s="3" t="str" cm="1">
        <f t="array" ref="BU247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7" s="48">
        <v>15</v>
      </c>
      <c r="BW247" s="1">
        <v>30</v>
      </c>
      <c r="BX247" s="44">
        <v>30</v>
      </c>
      <c r="BY247" s="51">
        <v>45901</v>
      </c>
      <c r="BZ247" s="5">
        <v>45960</v>
      </c>
      <c r="CA247" s="85">
        <v>0</v>
      </c>
      <c r="CB247" s="2">
        <v>0</v>
      </c>
      <c r="CC247" s="2">
        <v>1</v>
      </c>
      <c r="CD247" s="2">
        <v>1</v>
      </c>
      <c r="CE247" s="2">
        <v>1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P247" s="9"/>
      <c r="CQ247" s="10"/>
    </row>
    <row r="248" spans="2:95" x14ac:dyDescent="0.15">
      <c r="B248" s="36" t="s">
        <v>205</v>
      </c>
      <c r="C248" s="1" t="s">
        <v>212</v>
      </c>
      <c r="K248" s="1" t="s">
        <v>1765</v>
      </c>
      <c r="L248" s="1" t="s">
        <v>1750</v>
      </c>
      <c r="M248" s="1" t="s">
        <v>372</v>
      </c>
      <c r="N248" s="6">
        <v>18.5</v>
      </c>
      <c r="O248" s="1" t="s">
        <v>4</v>
      </c>
      <c r="P248" s="1">
        <v>25</v>
      </c>
      <c r="Q248" s="1">
        <v>6</v>
      </c>
      <c r="R248" s="1">
        <v>4</v>
      </c>
      <c r="S248" s="1">
        <v>20</v>
      </c>
      <c r="T248" s="1">
        <v>30</v>
      </c>
      <c r="U248" s="253">
        <v>4</v>
      </c>
      <c r="V248" s="1">
        <v>65</v>
      </c>
      <c r="W248" s="44">
        <v>105</v>
      </c>
      <c r="X248" s="40">
        <f>_xlfn.XLOOKUP("Ripening", CropPhenology_Pea[Main_Stage], CropPhenology_Pea[Start_GDD], "Not Found")</f>
        <v>1421</v>
      </c>
      <c r="Y248" s="4" cm="1">
        <f t="array" ref="Y248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8" s="3">
        <f t="shared" si="135"/>
        <v>20.458974358974359</v>
      </c>
      <c r="AA248" s="41">
        <f t="shared" si="136"/>
        <v>87.003383882692063</v>
      </c>
      <c r="AB248" s="1">
        <v>8</v>
      </c>
      <c r="AC248" s="1">
        <v>10</v>
      </c>
      <c r="AD248" s="1">
        <v>3</v>
      </c>
      <c r="AE248" s="1">
        <v>90</v>
      </c>
      <c r="AF248" s="1">
        <v>5</v>
      </c>
      <c r="AG248" s="1">
        <v>4</v>
      </c>
      <c r="AH248" s="3">
        <f t="shared" si="137"/>
        <v>4.1262762892538172</v>
      </c>
      <c r="AI248" s="1">
        <v>6</v>
      </c>
      <c r="AJ248" s="1">
        <v>7.5</v>
      </c>
      <c r="AK248" s="159">
        <v>1.5</v>
      </c>
      <c r="AL248" s="150">
        <v>0.12</v>
      </c>
      <c r="AM248" s="1">
        <v>350</v>
      </c>
      <c r="AN248" s="1">
        <v>500</v>
      </c>
      <c r="AO248" s="48">
        <v>5</v>
      </c>
      <c r="AP248" s="44">
        <v>80</v>
      </c>
      <c r="AQ248" s="42">
        <v>0.79</v>
      </c>
      <c r="AR248" s="1">
        <v>30</v>
      </c>
      <c r="AS248" s="1">
        <v>35</v>
      </c>
      <c r="AT248" s="1">
        <v>1</v>
      </c>
      <c r="AU248" s="4">
        <f t="shared" si="124"/>
        <v>9.5238095238095237</v>
      </c>
      <c r="AV248" s="3">
        <f t="shared" si="138"/>
        <v>2.38</v>
      </c>
      <c r="AW248" s="1">
        <v>90</v>
      </c>
      <c r="AX248" s="3">
        <f t="shared" si="141"/>
        <v>8.5714285714285712</v>
      </c>
      <c r="AY248" s="1">
        <v>1</v>
      </c>
      <c r="AZ248" s="4">
        <f t="shared" si="142"/>
        <v>8.5714285714285712</v>
      </c>
      <c r="BA248" s="49">
        <v>0.89</v>
      </c>
      <c r="BB248" s="4">
        <f t="shared" si="125"/>
        <v>7.6285714285714281</v>
      </c>
      <c r="BC248" s="50">
        <v>0.3</v>
      </c>
      <c r="BD248" s="69">
        <f>IFERROR(
  MAX(0.05, MIN(0.5, CropNorms_Pea[[#This Row],[Leaf_Area_Per_Shoot_m2]] * CropNorms_Pea[[#This Row],[Shoot_Bearing_m2]] )),
  0.2
)</f>
        <v>0.5</v>
      </c>
      <c r="BE248" s="4">
        <f>_xlfn.XLOOKUP(CropNorms_Pea[[#This Row],[LAI_Start_BBCH]], CropPhenology_Pea[Sub_Stage], CropPhenology_Pea[Start_GDD], "Not Found")</f>
        <v>111</v>
      </c>
      <c r="BF248" s="3">
        <f>ROUND(CropNorms_Pea[[#This Row],[Shoot_Bearing_m2]]*CropNorms_Pea[[#This Row],[Leaf_Area_Per_Shoot_m2]],2)</f>
        <v>2.29</v>
      </c>
      <c r="BG248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8" s="3">
        <f>IF(CropNorms_Pea[[#This Row],[Max_LAI]]&gt;=1.2, 0.85*CropNorms_Pea[[#This Row],[Max_LAI]], 1)</f>
        <v>1.9464999999999999</v>
      </c>
      <c r="BI248" s="41">
        <f>_xlfn.XLOOKUP(CropNorms_Pea[[#This Row],[LAI_End_BBCH]], CropPhenology_Pea[Sub_Stage], CropPhenology_Pea[End_GDD], "Not Found")</f>
        <v>1420</v>
      </c>
      <c r="BJ248" s="3" cm="1">
        <f t="array" ref="BJ248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8" s="3" cm="1">
        <f t="array" ref="BK24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8" s="3" cm="1">
        <f t="array" ref="BL248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8" s="3" cm="1">
        <f t="array" ref="BM24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8" s="42">
        <v>0.3</v>
      </c>
      <c r="BO248" s="43">
        <v>0.15</v>
      </c>
      <c r="BP248" s="42">
        <v>2.11</v>
      </c>
      <c r="BQ248" s="43" t="s">
        <v>1798</v>
      </c>
      <c r="BR248" s="3" t="str" cm="1">
        <f t="array" ref="BR24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8" s="3" t="str" cm="1">
        <f t="array" ref="BS24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8" s="3" t="str" cm="1">
        <f t="array" ref="BT248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8" s="3" t="str" cm="1">
        <f t="array" ref="BU248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8" s="48">
        <v>15</v>
      </c>
      <c r="BW248" s="1">
        <v>30</v>
      </c>
      <c r="BX248" s="44">
        <v>30</v>
      </c>
      <c r="BY248" s="51">
        <v>45901</v>
      </c>
      <c r="BZ248" s="5">
        <v>45960</v>
      </c>
      <c r="CA248" s="85">
        <v>0</v>
      </c>
      <c r="CB248" s="2">
        <v>0</v>
      </c>
      <c r="CC248" s="2">
        <v>1</v>
      </c>
      <c r="CD248" s="2">
        <v>1</v>
      </c>
      <c r="CE248" s="2">
        <v>1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P248" s="9"/>
      <c r="CQ248" s="10"/>
    </row>
    <row r="249" spans="2:95" x14ac:dyDescent="0.15">
      <c r="B249" s="36" t="s">
        <v>205</v>
      </c>
      <c r="C249" s="1" t="s">
        <v>213</v>
      </c>
      <c r="K249" s="1" t="s">
        <v>1765</v>
      </c>
      <c r="L249" s="1" t="s">
        <v>1750</v>
      </c>
      <c r="M249" s="1" t="s">
        <v>372</v>
      </c>
      <c r="N249" s="6">
        <v>18.5</v>
      </c>
      <c r="O249" s="1" t="s">
        <v>4</v>
      </c>
      <c r="P249" s="1">
        <v>25</v>
      </c>
      <c r="Q249" s="1">
        <v>6</v>
      </c>
      <c r="R249" s="1">
        <v>4</v>
      </c>
      <c r="S249" s="1">
        <v>20</v>
      </c>
      <c r="T249" s="1">
        <v>30</v>
      </c>
      <c r="U249" s="253">
        <v>4</v>
      </c>
      <c r="V249" s="1">
        <v>65</v>
      </c>
      <c r="W249" s="44">
        <v>105</v>
      </c>
      <c r="X249" s="40">
        <f>_xlfn.XLOOKUP("Ripening", CropPhenology_Pea[Main_Stage], CropPhenology_Pea[Start_GDD], "Not Found")</f>
        <v>1421</v>
      </c>
      <c r="Y249" s="4" cm="1">
        <f t="array" ref="Y249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49" s="3">
        <f t="shared" si="135"/>
        <v>20.458974358974359</v>
      </c>
      <c r="AA249" s="41">
        <f t="shared" si="136"/>
        <v>87.003383882692063</v>
      </c>
      <c r="AB249" s="1">
        <v>8</v>
      </c>
      <c r="AC249" s="1">
        <v>10</v>
      </c>
      <c r="AD249" s="1">
        <v>3</v>
      </c>
      <c r="AE249" s="1">
        <v>90</v>
      </c>
      <c r="AF249" s="1">
        <v>5</v>
      </c>
      <c r="AG249" s="1">
        <v>4</v>
      </c>
      <c r="AH249" s="3">
        <f t="shared" si="137"/>
        <v>4.1262762892538172</v>
      </c>
      <c r="AI249" s="1">
        <v>6</v>
      </c>
      <c r="AJ249" s="1">
        <v>7.5</v>
      </c>
      <c r="AK249" s="159">
        <v>1.5</v>
      </c>
      <c r="AL249" s="150">
        <v>0.12</v>
      </c>
      <c r="AM249" s="1">
        <v>350</v>
      </c>
      <c r="AN249" s="1">
        <v>500</v>
      </c>
      <c r="AO249" s="48">
        <v>5</v>
      </c>
      <c r="AP249" s="44">
        <v>80</v>
      </c>
      <c r="AQ249" s="42">
        <v>0.83</v>
      </c>
      <c r="AR249" s="1">
        <v>30</v>
      </c>
      <c r="AS249" s="1">
        <v>35</v>
      </c>
      <c r="AT249" s="1">
        <v>1</v>
      </c>
      <c r="AU249" s="4">
        <f t="shared" si="124"/>
        <v>9.5238095238095237</v>
      </c>
      <c r="AV249" s="3">
        <f t="shared" si="138"/>
        <v>2.38</v>
      </c>
      <c r="AW249" s="1">
        <v>90</v>
      </c>
      <c r="AX249" s="3">
        <f t="shared" si="141"/>
        <v>8.5714285714285712</v>
      </c>
      <c r="AY249" s="1">
        <v>1</v>
      </c>
      <c r="AZ249" s="4">
        <f t="shared" si="142"/>
        <v>8.5714285714285712</v>
      </c>
      <c r="BA249" s="49">
        <v>0.89</v>
      </c>
      <c r="BB249" s="4">
        <f t="shared" si="125"/>
        <v>7.6285714285714281</v>
      </c>
      <c r="BC249" s="50">
        <v>0.3</v>
      </c>
      <c r="BD249" s="69">
        <f>IFERROR(
  MAX(0.05, MIN(0.5, CropNorms_Pea[[#This Row],[Leaf_Area_Per_Shoot_m2]] * CropNorms_Pea[[#This Row],[Shoot_Bearing_m2]] )),
  0.2
)</f>
        <v>0.5</v>
      </c>
      <c r="BE249" s="4">
        <f>_xlfn.XLOOKUP(CropNorms_Pea[[#This Row],[LAI_Start_BBCH]], CropPhenology_Pea[Sub_Stage], CropPhenology_Pea[Start_GDD], "Not Found")</f>
        <v>111</v>
      </c>
      <c r="BF249" s="3">
        <f>ROUND(CropNorms_Pea[[#This Row],[Shoot_Bearing_m2]]*CropNorms_Pea[[#This Row],[Leaf_Area_Per_Shoot_m2]],2)</f>
        <v>2.29</v>
      </c>
      <c r="BG249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49" s="3">
        <f>IF(CropNorms_Pea[[#This Row],[Max_LAI]]&gt;=1.2, 0.85*CropNorms_Pea[[#This Row],[Max_LAI]], 1)</f>
        <v>1.9464999999999999</v>
      </c>
      <c r="BI249" s="41">
        <f>_xlfn.XLOOKUP(CropNorms_Pea[[#This Row],[LAI_End_BBCH]], CropPhenology_Pea[Sub_Stage], CropPhenology_Pea[End_GDD], "Not Found")</f>
        <v>1420</v>
      </c>
      <c r="BJ249" s="3" cm="1">
        <f t="array" ref="BJ249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49" s="3" cm="1">
        <f t="array" ref="BK249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49" s="3" cm="1">
        <f t="array" ref="BL249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49" s="3" cm="1">
        <f t="array" ref="BM249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49" s="42">
        <v>0.3</v>
      </c>
      <c r="BO249" s="43">
        <v>0.15</v>
      </c>
      <c r="BP249" s="42">
        <v>2.11</v>
      </c>
      <c r="BQ249" s="43" t="s">
        <v>1798</v>
      </c>
      <c r="BR249" s="3" t="str" cm="1">
        <f t="array" ref="BR249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49" s="3" t="str" cm="1">
        <f t="array" ref="BS249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49" s="3" t="str" cm="1">
        <f t="array" ref="BT249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49" s="3" t="str" cm="1">
        <f t="array" ref="BU249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49" s="48">
        <v>15</v>
      </c>
      <c r="BW249" s="1">
        <v>30</v>
      </c>
      <c r="BX249" s="44">
        <v>30</v>
      </c>
      <c r="BY249" s="51">
        <v>45901</v>
      </c>
      <c r="BZ249" s="5">
        <v>45960</v>
      </c>
      <c r="CA249" s="85">
        <v>0</v>
      </c>
      <c r="CB249" s="2">
        <v>0</v>
      </c>
      <c r="CC249" s="2">
        <v>1</v>
      </c>
      <c r="CD249" s="2">
        <v>1</v>
      </c>
      <c r="CE249" s="2">
        <v>1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P249" s="9"/>
      <c r="CQ249" s="10"/>
    </row>
    <row r="250" spans="2:95" x14ac:dyDescent="0.15">
      <c r="B250" s="36" t="s">
        <v>205</v>
      </c>
      <c r="C250" s="1" t="s">
        <v>214</v>
      </c>
      <c r="K250" s="1" t="s">
        <v>1765</v>
      </c>
      <c r="L250" s="1" t="s">
        <v>1750</v>
      </c>
      <c r="M250" s="1" t="s">
        <v>372</v>
      </c>
      <c r="N250" s="6">
        <v>18.5</v>
      </c>
      <c r="O250" s="1" t="s">
        <v>4</v>
      </c>
      <c r="P250" s="1">
        <v>25</v>
      </c>
      <c r="Q250" s="1">
        <v>6</v>
      </c>
      <c r="R250" s="1">
        <v>4</v>
      </c>
      <c r="S250" s="1">
        <v>20</v>
      </c>
      <c r="T250" s="1">
        <v>30</v>
      </c>
      <c r="U250" s="253">
        <v>4</v>
      </c>
      <c r="V250" s="1">
        <v>65</v>
      </c>
      <c r="W250" s="44">
        <v>105</v>
      </c>
      <c r="X250" s="40">
        <f>_xlfn.XLOOKUP("Ripening", CropPhenology_Pea[Main_Stage], CropPhenology_Pea[Start_GDD], "Not Found")</f>
        <v>1421</v>
      </c>
      <c r="Y250" s="4" cm="1">
        <f t="array" ref="Y250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50" s="3">
        <f t="shared" si="135"/>
        <v>20.458974358974359</v>
      </c>
      <c r="AA250" s="41">
        <f t="shared" si="136"/>
        <v>87.003383882692063</v>
      </c>
      <c r="AB250" s="1">
        <v>8</v>
      </c>
      <c r="AC250" s="1">
        <v>10</v>
      </c>
      <c r="AD250" s="1">
        <v>3</v>
      </c>
      <c r="AE250" s="1">
        <v>90</v>
      </c>
      <c r="AF250" s="1">
        <v>5</v>
      </c>
      <c r="AG250" s="1">
        <v>4</v>
      </c>
      <c r="AH250" s="3">
        <f t="shared" si="137"/>
        <v>4.1262762892538172</v>
      </c>
      <c r="AI250" s="1">
        <v>6</v>
      </c>
      <c r="AJ250" s="1">
        <v>7.5</v>
      </c>
      <c r="AK250" s="159">
        <v>1.5</v>
      </c>
      <c r="AL250" s="150">
        <v>0.12</v>
      </c>
      <c r="AM250" s="1">
        <v>350</v>
      </c>
      <c r="AN250" s="1">
        <v>500</v>
      </c>
      <c r="AO250" s="48">
        <v>5</v>
      </c>
      <c r="AP250" s="44">
        <v>80</v>
      </c>
      <c r="AQ250" s="42">
        <v>0.84</v>
      </c>
      <c r="AR250" s="1">
        <v>30</v>
      </c>
      <c r="AS250" s="1">
        <v>35</v>
      </c>
      <c r="AT250" s="1">
        <v>1</v>
      </c>
      <c r="AU250" s="4">
        <f t="shared" si="124"/>
        <v>9.5238095238095237</v>
      </c>
      <c r="AV250" s="3">
        <f t="shared" si="138"/>
        <v>2.38</v>
      </c>
      <c r="AW250" s="1">
        <v>90</v>
      </c>
      <c r="AX250" s="3">
        <f t="shared" si="141"/>
        <v>8.5714285714285712</v>
      </c>
      <c r="AY250" s="1">
        <v>1</v>
      </c>
      <c r="AZ250" s="4">
        <f t="shared" si="142"/>
        <v>8.5714285714285712</v>
      </c>
      <c r="BA250" s="49">
        <v>0.89</v>
      </c>
      <c r="BB250" s="4">
        <f t="shared" si="125"/>
        <v>7.6285714285714281</v>
      </c>
      <c r="BC250" s="50">
        <v>0.3</v>
      </c>
      <c r="BD250" s="69">
        <f>IFERROR(
  MAX(0.05, MIN(0.5, CropNorms_Pea[[#This Row],[Leaf_Area_Per_Shoot_m2]] * CropNorms_Pea[[#This Row],[Shoot_Bearing_m2]] )),
  0.2
)</f>
        <v>0.5</v>
      </c>
      <c r="BE250" s="4">
        <f>_xlfn.XLOOKUP(CropNorms_Pea[[#This Row],[LAI_Start_BBCH]], CropPhenology_Pea[Sub_Stage], CropPhenology_Pea[Start_GDD], "Not Found")</f>
        <v>111</v>
      </c>
      <c r="BF250" s="3">
        <f>ROUND(CropNorms_Pea[[#This Row],[Shoot_Bearing_m2]]*CropNorms_Pea[[#This Row],[Leaf_Area_Per_Shoot_m2]],2)</f>
        <v>2.29</v>
      </c>
      <c r="BG250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50" s="3">
        <f>IF(CropNorms_Pea[[#This Row],[Max_LAI]]&gt;=1.2, 0.85*CropNorms_Pea[[#This Row],[Max_LAI]], 1)</f>
        <v>1.9464999999999999</v>
      </c>
      <c r="BI250" s="41">
        <f>_xlfn.XLOOKUP(CropNorms_Pea[[#This Row],[LAI_End_BBCH]], CropPhenology_Pea[Sub_Stage], CropPhenology_Pea[End_GDD], "Not Found")</f>
        <v>1420</v>
      </c>
      <c r="BJ250" s="3" cm="1">
        <f t="array" ref="BJ250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50" s="3" cm="1">
        <f t="array" ref="BK250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50" s="3" cm="1">
        <f t="array" ref="BL250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50" s="3" cm="1">
        <f t="array" ref="BM250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0" s="42">
        <v>0.3</v>
      </c>
      <c r="BO250" s="43">
        <v>0.15</v>
      </c>
      <c r="BP250" s="42">
        <v>2.11</v>
      </c>
      <c r="BQ250" s="43" t="s">
        <v>1798</v>
      </c>
      <c r="BR250" s="3" t="str" cm="1">
        <f t="array" ref="BR250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50" s="3" t="str" cm="1">
        <f t="array" ref="BS250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50" s="3" t="str" cm="1">
        <f t="array" ref="BT250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50" s="3" t="str" cm="1">
        <f t="array" ref="BU250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50" s="48">
        <v>15</v>
      </c>
      <c r="BW250" s="1">
        <v>30</v>
      </c>
      <c r="BX250" s="44">
        <v>30</v>
      </c>
      <c r="BY250" s="51">
        <v>45901</v>
      </c>
      <c r="BZ250" s="5">
        <v>45960</v>
      </c>
      <c r="CA250" s="85">
        <v>0</v>
      </c>
      <c r="CB250" s="2">
        <v>0</v>
      </c>
      <c r="CC250" s="2">
        <v>1</v>
      </c>
      <c r="CD250" s="2">
        <v>1</v>
      </c>
      <c r="CE250" s="2">
        <v>1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P250" s="9"/>
      <c r="CQ250" s="10"/>
    </row>
    <row r="251" spans="2:95" x14ac:dyDescent="0.15">
      <c r="B251" s="36" t="s">
        <v>205</v>
      </c>
      <c r="C251" s="1" t="s">
        <v>215</v>
      </c>
      <c r="K251" s="1" t="s">
        <v>1765</v>
      </c>
      <c r="L251" s="1" t="s">
        <v>1750</v>
      </c>
      <c r="M251" s="1" t="s">
        <v>372</v>
      </c>
      <c r="N251" s="6">
        <v>18.5</v>
      </c>
      <c r="O251" s="1" t="s">
        <v>4</v>
      </c>
      <c r="P251" s="1">
        <v>25</v>
      </c>
      <c r="Q251" s="1">
        <v>6</v>
      </c>
      <c r="R251" s="1">
        <v>4</v>
      </c>
      <c r="S251" s="1">
        <v>20</v>
      </c>
      <c r="T251" s="1">
        <v>30</v>
      </c>
      <c r="U251" s="253">
        <v>4</v>
      </c>
      <c r="V251" s="1">
        <v>65</v>
      </c>
      <c r="W251" s="44">
        <v>105</v>
      </c>
      <c r="X251" s="40">
        <f>_xlfn.XLOOKUP("Ripening", CropPhenology_Pea[Main_Stage], CropPhenology_Pea[Start_GDD], "Not Found")</f>
        <v>1421</v>
      </c>
      <c r="Y251" s="4" cm="1">
        <f t="array" ref="Y251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51" s="3">
        <f t="shared" si="135"/>
        <v>20.458974358974359</v>
      </c>
      <c r="AA251" s="41">
        <f t="shared" si="136"/>
        <v>87.003383882692063</v>
      </c>
      <c r="AB251" s="1">
        <v>8</v>
      </c>
      <c r="AC251" s="1">
        <v>10</v>
      </c>
      <c r="AD251" s="1">
        <v>3</v>
      </c>
      <c r="AE251" s="1">
        <v>90</v>
      </c>
      <c r="AF251" s="1">
        <v>5</v>
      </c>
      <c r="AG251" s="1">
        <v>4</v>
      </c>
      <c r="AH251" s="3">
        <f t="shared" si="137"/>
        <v>4.1262762892538172</v>
      </c>
      <c r="AI251" s="1">
        <v>6</v>
      </c>
      <c r="AJ251" s="1">
        <v>7.5</v>
      </c>
      <c r="AK251" s="159">
        <v>1.5</v>
      </c>
      <c r="AL251" s="150">
        <v>0.12</v>
      </c>
      <c r="AM251" s="1">
        <v>350</v>
      </c>
      <c r="AN251" s="1">
        <v>500</v>
      </c>
      <c r="AO251" s="48">
        <v>5</v>
      </c>
      <c r="AP251" s="44">
        <v>80</v>
      </c>
      <c r="AQ251" s="42">
        <v>0.76</v>
      </c>
      <c r="AR251" s="1">
        <v>30</v>
      </c>
      <c r="AS251" s="1">
        <v>35</v>
      </c>
      <c r="AT251" s="1">
        <v>1</v>
      </c>
      <c r="AU251" s="4">
        <f t="shared" si="124"/>
        <v>9.5238095238095237</v>
      </c>
      <c r="AV251" s="3">
        <f t="shared" si="138"/>
        <v>2.38</v>
      </c>
      <c r="AW251" s="1">
        <v>90</v>
      </c>
      <c r="AX251" s="3">
        <f t="shared" si="141"/>
        <v>8.5714285714285712</v>
      </c>
      <c r="AY251" s="1">
        <v>1</v>
      </c>
      <c r="AZ251" s="4">
        <f t="shared" si="142"/>
        <v>8.5714285714285712</v>
      </c>
      <c r="BA251" s="49">
        <v>0.89</v>
      </c>
      <c r="BB251" s="4">
        <f t="shared" si="125"/>
        <v>7.6285714285714281</v>
      </c>
      <c r="BC251" s="50">
        <v>0.3</v>
      </c>
      <c r="BD251" s="69">
        <f>IFERROR(
  MAX(0.05, MIN(0.5, CropNorms_Pea[[#This Row],[Leaf_Area_Per_Shoot_m2]] * CropNorms_Pea[[#This Row],[Shoot_Bearing_m2]] )),
  0.2
)</f>
        <v>0.5</v>
      </c>
      <c r="BE251" s="4">
        <f>_xlfn.XLOOKUP(CropNorms_Pea[[#This Row],[LAI_Start_BBCH]], CropPhenology_Pea[Sub_Stage], CropPhenology_Pea[Start_GDD], "Not Found")</f>
        <v>111</v>
      </c>
      <c r="BF251" s="3">
        <f>ROUND(CropNorms_Pea[[#This Row],[Shoot_Bearing_m2]]*CropNorms_Pea[[#This Row],[Leaf_Area_Per_Shoot_m2]],2)</f>
        <v>2.29</v>
      </c>
      <c r="BG251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51" s="3">
        <f>IF(CropNorms_Pea[[#This Row],[Max_LAI]]&gt;=1.2, 0.85*CropNorms_Pea[[#This Row],[Max_LAI]], 1)</f>
        <v>1.9464999999999999</v>
      </c>
      <c r="BI251" s="41">
        <f>_xlfn.XLOOKUP(CropNorms_Pea[[#This Row],[LAI_End_BBCH]], CropPhenology_Pea[Sub_Stage], CropPhenology_Pea[End_GDD], "Not Found")</f>
        <v>1420</v>
      </c>
      <c r="BJ251" s="3" cm="1">
        <f t="array" ref="BJ251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51" s="3" cm="1">
        <f t="array" ref="BK25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51" s="3" cm="1">
        <f t="array" ref="BL251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51" s="3" cm="1">
        <f t="array" ref="BM25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1" s="42">
        <v>0.3</v>
      </c>
      <c r="BO251" s="43">
        <v>0.15</v>
      </c>
      <c r="BP251" s="42">
        <v>2.11</v>
      </c>
      <c r="BQ251" s="43" t="s">
        <v>1798</v>
      </c>
      <c r="BR251" s="3" t="str" cm="1">
        <f t="array" ref="BR25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51" s="3" t="str" cm="1">
        <f t="array" ref="BS25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51" s="3" t="str" cm="1">
        <f t="array" ref="BT251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51" s="3" t="str" cm="1">
        <f t="array" ref="BU251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51" s="48">
        <v>15</v>
      </c>
      <c r="BW251" s="1">
        <v>30</v>
      </c>
      <c r="BX251" s="44">
        <v>30</v>
      </c>
      <c r="BY251" s="51">
        <v>45901</v>
      </c>
      <c r="BZ251" s="5">
        <v>45960</v>
      </c>
      <c r="CA251" s="85">
        <v>0</v>
      </c>
      <c r="CB251" s="2">
        <v>0</v>
      </c>
      <c r="CC251" s="2">
        <v>1</v>
      </c>
      <c r="CD251" s="2">
        <v>1</v>
      </c>
      <c r="CE251" s="2">
        <v>1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P251" s="9"/>
      <c r="CQ251" s="10"/>
    </row>
    <row r="252" spans="2:95" ht="11.25" thickBot="1" x14ac:dyDescent="0.2">
      <c r="B252" s="36" t="s">
        <v>205</v>
      </c>
      <c r="C252" s="1" t="s">
        <v>216</v>
      </c>
      <c r="K252" s="1" t="s">
        <v>1765</v>
      </c>
      <c r="L252" s="1" t="s">
        <v>1750</v>
      </c>
      <c r="M252" s="1" t="s">
        <v>372</v>
      </c>
      <c r="N252" s="6">
        <v>18.5</v>
      </c>
      <c r="O252" s="1" t="s">
        <v>4</v>
      </c>
      <c r="P252" s="1">
        <v>25</v>
      </c>
      <c r="Q252" s="1">
        <v>6</v>
      </c>
      <c r="R252" s="1">
        <v>4</v>
      </c>
      <c r="S252" s="1">
        <v>20</v>
      </c>
      <c r="T252" s="1">
        <v>30</v>
      </c>
      <c r="U252" s="254">
        <v>4</v>
      </c>
      <c r="V252" s="1">
        <v>65</v>
      </c>
      <c r="W252" s="44">
        <v>105</v>
      </c>
      <c r="X252" s="40">
        <f>_xlfn.XLOOKUP("Ripening", CropPhenology_Pea[Main_Stage], CropPhenology_Pea[Start_GDD], "Not Found")</f>
        <v>1421</v>
      </c>
      <c r="Y252" s="4" cm="1">
        <f t="array" ref="Y252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Z252" s="3">
        <f t="shared" si="135"/>
        <v>20.458974358974359</v>
      </c>
      <c r="AA252" s="41">
        <f t="shared" si="136"/>
        <v>87.003383882692063</v>
      </c>
      <c r="AB252" s="1">
        <v>8</v>
      </c>
      <c r="AC252" s="1">
        <v>10</v>
      </c>
      <c r="AD252" s="1">
        <v>3</v>
      </c>
      <c r="AE252" s="1">
        <v>90</v>
      </c>
      <c r="AF252" s="1">
        <v>5</v>
      </c>
      <c r="AG252" s="1">
        <v>4</v>
      </c>
      <c r="AH252" s="3">
        <f t="shared" si="137"/>
        <v>4.1262762892538172</v>
      </c>
      <c r="AI252" s="1">
        <v>6</v>
      </c>
      <c r="AJ252" s="1">
        <v>7.5</v>
      </c>
      <c r="AK252" s="160">
        <v>1.5</v>
      </c>
      <c r="AL252" s="161">
        <v>0.12</v>
      </c>
      <c r="AM252" s="1">
        <v>350</v>
      </c>
      <c r="AN252" s="1">
        <v>500</v>
      </c>
      <c r="AO252" s="48">
        <v>5</v>
      </c>
      <c r="AP252" s="44">
        <v>80</v>
      </c>
      <c r="AQ252" s="42">
        <v>0.87</v>
      </c>
      <c r="AR252" s="1">
        <v>30</v>
      </c>
      <c r="AS252" s="1">
        <v>35</v>
      </c>
      <c r="AT252" s="1">
        <v>1</v>
      </c>
      <c r="AU252" s="4">
        <f t="shared" si="124"/>
        <v>9.5238095238095237</v>
      </c>
      <c r="AV252" s="3">
        <f t="shared" si="138"/>
        <v>2.38</v>
      </c>
      <c r="AW252" s="1">
        <v>90</v>
      </c>
      <c r="AX252" s="3">
        <f t="shared" si="141"/>
        <v>8.5714285714285712</v>
      </c>
      <c r="AY252" s="1">
        <v>1</v>
      </c>
      <c r="AZ252" s="4">
        <f t="shared" si="142"/>
        <v>8.5714285714285712</v>
      </c>
      <c r="BA252" s="49">
        <v>0.89</v>
      </c>
      <c r="BB252" s="4">
        <f t="shared" si="125"/>
        <v>7.6285714285714281</v>
      </c>
      <c r="BC252" s="50">
        <v>0.3</v>
      </c>
      <c r="BD252" s="69">
        <f>IFERROR(
  MAX(0.05, MIN(0.5, CropNorms_Pea[[#This Row],[Leaf_Area_Per_Shoot_m2]] * CropNorms_Pea[[#This Row],[Shoot_Bearing_m2]] )),
  0.2
)</f>
        <v>0.5</v>
      </c>
      <c r="BE252" s="4">
        <f>_xlfn.XLOOKUP(CropNorms_Pea[[#This Row],[LAI_Start_BBCH]], CropPhenology_Pea[Sub_Stage], CropPhenology_Pea[Start_GDD], "Not Found")</f>
        <v>111</v>
      </c>
      <c r="BF252" s="3">
        <f>ROUND(CropNorms_Pea[[#This Row],[Shoot_Bearing_m2]]*CropNorms_Pea[[#This Row],[Leaf_Area_Per_Shoot_m2]],2)</f>
        <v>2.29</v>
      </c>
      <c r="BG252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H252" s="3">
        <f>IF(CropNorms_Pea[[#This Row],[Max_LAI]]&gt;=1.2, 0.85*CropNorms_Pea[[#This Row],[Max_LAI]], 1)</f>
        <v>1.9464999999999999</v>
      </c>
      <c r="BI252" s="41">
        <f>_xlfn.XLOOKUP(CropNorms_Pea[[#This Row],[LAI_End_BBCH]], CropPhenology_Pea[Sub_Stage], CropPhenology_Pea[End_GDD], "Not Found")</f>
        <v>1420</v>
      </c>
      <c r="BJ252" s="3" cm="1">
        <f t="array" ref="BJ252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K252" s="3" cm="1">
        <f t="array" ref="BK25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L252" s="3" cm="1">
        <f t="array" ref="BL252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M252" s="3" cm="1">
        <f t="array" ref="BM25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2" s="42">
        <v>0.3</v>
      </c>
      <c r="BO252" s="43">
        <v>0.15</v>
      </c>
      <c r="BP252" s="42">
        <v>2.11</v>
      </c>
      <c r="BQ252" s="43" t="s">
        <v>1798</v>
      </c>
      <c r="BR252" s="3" t="str" cm="1">
        <f t="array" ref="BR25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S252" s="3" t="str" cm="1">
        <f t="array" ref="BS25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52" s="3" t="str" cm="1">
        <f t="array" ref="BT252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U252" s="3" t="str" cm="1">
        <f t="array" ref="BU252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V252" s="48">
        <v>15</v>
      </c>
      <c r="BW252" s="1">
        <v>30</v>
      </c>
      <c r="BX252" s="44">
        <v>30</v>
      </c>
      <c r="BY252" s="51">
        <v>45901</v>
      </c>
      <c r="BZ252" s="5">
        <v>45960</v>
      </c>
      <c r="CA252" s="85">
        <v>0</v>
      </c>
      <c r="CB252" s="2">
        <v>0</v>
      </c>
      <c r="CC252" s="2">
        <v>1</v>
      </c>
      <c r="CD252" s="2">
        <v>1</v>
      </c>
      <c r="CE252" s="2">
        <v>1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P252" s="9"/>
      <c r="CQ252" s="10"/>
    </row>
    <row r="253" spans="2:95" ht="11.25" thickBot="1" x14ac:dyDescent="0.2">
      <c r="Y253" s="3"/>
      <c r="Z253" s="4"/>
      <c r="AG253" s="3"/>
      <c r="AR253" s="4"/>
      <c r="AS253" s="3"/>
      <c r="AU253" s="3"/>
      <c r="AW253" s="4"/>
      <c r="AX253" s="49"/>
      <c r="AY253" s="4"/>
      <c r="BV253" s="51"/>
      <c r="BW253" s="51"/>
      <c r="CP253" s="9"/>
      <c r="CQ253" s="10"/>
    </row>
    <row r="254" spans="2:95" ht="11.25" thickBot="1" x14ac:dyDescent="0.2">
      <c r="B254" s="54" t="s">
        <v>1753</v>
      </c>
      <c r="C254" s="53" t="s">
        <v>1754</v>
      </c>
      <c r="D254" s="53" t="s">
        <v>1804</v>
      </c>
      <c r="E254" s="53" t="s">
        <v>1805</v>
      </c>
      <c r="F254" s="53" t="s">
        <v>1806</v>
      </c>
      <c r="G254" s="53" t="s">
        <v>1807</v>
      </c>
      <c r="H254" s="53" t="s">
        <v>1808</v>
      </c>
      <c r="I254" s="53" t="s">
        <v>1809</v>
      </c>
      <c r="J254" s="53" t="s">
        <v>1810</v>
      </c>
      <c r="K254" s="53" t="s">
        <v>1747</v>
      </c>
      <c r="L254" s="54" t="s">
        <v>1749</v>
      </c>
      <c r="M254" s="53" t="s">
        <v>357</v>
      </c>
      <c r="N254" s="55" t="s">
        <v>692</v>
      </c>
      <c r="O254" s="53" t="s">
        <v>325</v>
      </c>
      <c r="P254" s="53" t="s">
        <v>356</v>
      </c>
      <c r="Q254" s="53" t="s">
        <v>326</v>
      </c>
      <c r="R254" s="53" t="s">
        <v>327</v>
      </c>
      <c r="S254" s="53" t="s">
        <v>328</v>
      </c>
      <c r="T254" s="53" t="s">
        <v>329</v>
      </c>
      <c r="U254" s="250" t="s">
        <v>2349</v>
      </c>
      <c r="V254" s="53" t="s">
        <v>330</v>
      </c>
      <c r="W254" s="53" t="s">
        <v>331</v>
      </c>
      <c r="X254" s="56" t="s">
        <v>354</v>
      </c>
      <c r="Y254" s="57" t="s">
        <v>355</v>
      </c>
      <c r="Z254" s="58" t="s">
        <v>413</v>
      </c>
      <c r="AA254" s="59" t="s">
        <v>583</v>
      </c>
      <c r="AB254" s="53" t="s">
        <v>324</v>
      </c>
      <c r="AC254" s="53" t="s">
        <v>332</v>
      </c>
      <c r="AD254" s="53" t="s">
        <v>333</v>
      </c>
      <c r="AE254" s="53" t="s">
        <v>334</v>
      </c>
      <c r="AF254" s="53" t="s">
        <v>335</v>
      </c>
      <c r="AG254" s="53" t="s">
        <v>336</v>
      </c>
      <c r="AH254" s="60" t="s">
        <v>337</v>
      </c>
      <c r="AI254" s="53" t="s">
        <v>338</v>
      </c>
      <c r="AJ254" s="53" t="s">
        <v>339</v>
      </c>
      <c r="AK254" s="157" t="s">
        <v>2346</v>
      </c>
      <c r="AL254" s="158" t="s">
        <v>2347</v>
      </c>
      <c r="AM254" s="53" t="s">
        <v>340</v>
      </c>
      <c r="AN254" s="53" t="s">
        <v>341</v>
      </c>
      <c r="AO254" s="61" t="s">
        <v>342</v>
      </c>
      <c r="AP254" s="62" t="s">
        <v>343</v>
      </c>
      <c r="AQ254" s="55" t="s">
        <v>344</v>
      </c>
      <c r="AR254" s="53" t="s">
        <v>345</v>
      </c>
      <c r="AS254" s="53" t="s">
        <v>346</v>
      </c>
      <c r="AT254" s="53" t="s">
        <v>364</v>
      </c>
      <c r="AU254" s="60" t="s">
        <v>347</v>
      </c>
      <c r="AV254" s="58" t="s">
        <v>363</v>
      </c>
      <c r="AW254" s="53" t="s">
        <v>348</v>
      </c>
      <c r="AX254" s="58" t="s">
        <v>349</v>
      </c>
      <c r="AY254" s="53" t="s">
        <v>366</v>
      </c>
      <c r="AZ254" s="60" t="s">
        <v>350</v>
      </c>
      <c r="BA254" s="53" t="s">
        <v>365</v>
      </c>
      <c r="BB254" s="60" t="s">
        <v>1827</v>
      </c>
      <c r="BC254" s="63" t="s">
        <v>351</v>
      </c>
      <c r="BD254" s="71" t="s">
        <v>1811</v>
      </c>
      <c r="BE254" s="57" t="s">
        <v>352</v>
      </c>
      <c r="BF254" s="58" t="s">
        <v>1812</v>
      </c>
      <c r="BG254" s="57" t="s">
        <v>1752</v>
      </c>
      <c r="BH254" s="60" t="s">
        <v>1813</v>
      </c>
      <c r="BI254" s="59" t="s">
        <v>353</v>
      </c>
      <c r="BJ254" s="71" t="s">
        <v>1828</v>
      </c>
      <c r="BK254" s="58" t="s">
        <v>1829</v>
      </c>
      <c r="BL254" s="58" t="s">
        <v>1830</v>
      </c>
      <c r="BM254" s="72" t="s">
        <v>1831</v>
      </c>
      <c r="BN254" s="64" t="s">
        <v>1154</v>
      </c>
      <c r="BO254" s="65" t="s">
        <v>1742</v>
      </c>
      <c r="BP254" s="64" t="s">
        <v>1155</v>
      </c>
      <c r="BQ254" s="65" t="s">
        <v>1755</v>
      </c>
      <c r="BR254" s="58" t="s">
        <v>367</v>
      </c>
      <c r="BS254" s="58" t="s">
        <v>1751</v>
      </c>
      <c r="BT254" s="58" t="s">
        <v>368</v>
      </c>
      <c r="BU254" s="60" t="s">
        <v>1814</v>
      </c>
      <c r="BV254" s="61" t="s">
        <v>369</v>
      </c>
      <c r="BW254" s="53" t="s">
        <v>370</v>
      </c>
      <c r="BX254" s="62" t="s">
        <v>371</v>
      </c>
      <c r="BY254" s="53" t="s">
        <v>359</v>
      </c>
      <c r="BZ254" s="53" t="s">
        <v>361</v>
      </c>
      <c r="CA254" s="61" t="s">
        <v>1815</v>
      </c>
      <c r="CB254" s="53" t="s">
        <v>1816</v>
      </c>
      <c r="CC254" s="53" t="s">
        <v>1817</v>
      </c>
      <c r="CD254" s="53" t="s">
        <v>1818</v>
      </c>
      <c r="CE254" s="53" t="s">
        <v>1819</v>
      </c>
      <c r="CF254" s="53" t="s">
        <v>1820</v>
      </c>
      <c r="CG254" s="53" t="s">
        <v>1821</v>
      </c>
      <c r="CH254" s="53" t="s">
        <v>1822</v>
      </c>
      <c r="CI254" s="53" t="s">
        <v>1823</v>
      </c>
      <c r="CJ254" s="53" t="s">
        <v>1824</v>
      </c>
      <c r="CK254" s="53" t="s">
        <v>1825</v>
      </c>
      <c r="CL254" s="53" t="s">
        <v>1826</v>
      </c>
      <c r="CP254" s="9"/>
      <c r="CQ254" s="10"/>
    </row>
    <row r="255" spans="2:95" x14ac:dyDescent="0.15">
      <c r="B255" s="36" t="s">
        <v>217</v>
      </c>
      <c r="C255" s="1" t="s">
        <v>229</v>
      </c>
      <c r="K255" s="1" t="s">
        <v>1777</v>
      </c>
      <c r="L255" s="1" t="s">
        <v>1750</v>
      </c>
      <c r="M255" s="1" t="s">
        <v>362</v>
      </c>
      <c r="N255" s="6">
        <v>18.5</v>
      </c>
      <c r="O255" s="1" t="s">
        <v>4</v>
      </c>
      <c r="P255" s="1">
        <v>60</v>
      </c>
      <c r="Q255" s="1">
        <v>12</v>
      </c>
      <c r="R255" s="1">
        <v>12</v>
      </c>
      <c r="S255" s="1">
        <v>30</v>
      </c>
      <c r="T255" s="1">
        <v>35</v>
      </c>
      <c r="U255" s="253">
        <v>4</v>
      </c>
      <c r="V255" s="1">
        <v>100</v>
      </c>
      <c r="W255" s="44">
        <v>150</v>
      </c>
      <c r="X255" s="40">
        <f>_xlfn.XLOOKUP("Ripening", CropPhenology_Peanut[Main_Stage], CropPhenology_Peanut[Start_GDD], "Not Found")</f>
        <v>1501</v>
      </c>
      <c r="Y255" s="4" cm="1">
        <f t="array" ref="Y255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55" s="3">
        <f t="shared" ref="Z255:Z269" si="143">MIN(Y255/V255,MAX(X255/W255,R255,(X255/W255+Y255/V255)/2))</f>
        <v>13.253333333333334</v>
      </c>
      <c r="AA255" s="41">
        <f t="shared" ref="AA255:AA269" si="144">Y255/Z255</f>
        <v>124.49698189134809</v>
      </c>
      <c r="AB255" s="1">
        <v>8</v>
      </c>
      <c r="AC255" s="1">
        <v>12</v>
      </c>
      <c r="AD255" s="1">
        <v>4</v>
      </c>
      <c r="AE255" s="1">
        <v>90</v>
      </c>
      <c r="AF255" s="1">
        <v>12</v>
      </c>
      <c r="AG255" s="1">
        <v>5</v>
      </c>
      <c r="AH255" s="3">
        <f t="shared" ref="AH255:AH269" si="145">IFERROR((Y255-X255)/AA255,0)</f>
        <v>1.1968161616161617</v>
      </c>
      <c r="AI255" s="1">
        <v>5.8</v>
      </c>
      <c r="AJ255" s="1">
        <v>7</v>
      </c>
      <c r="AK255" s="159">
        <v>3.2</v>
      </c>
      <c r="AL255" s="150">
        <v>0.28999999999999998</v>
      </c>
      <c r="AM255" s="1">
        <v>450</v>
      </c>
      <c r="AN255" s="1">
        <v>600</v>
      </c>
      <c r="AO255" s="48">
        <v>5</v>
      </c>
      <c r="AP255" s="44">
        <v>50</v>
      </c>
      <c r="AQ255" s="42">
        <v>0.85</v>
      </c>
      <c r="AR255" s="1">
        <v>45</v>
      </c>
      <c r="AS255" s="1">
        <v>10</v>
      </c>
      <c r="AT255" s="1">
        <v>1</v>
      </c>
      <c r="AU255" s="4">
        <f t="shared" ref="AU255:AU269" si="146">IFERROR(10000/(AS255*AR255),0)*AT255</f>
        <v>22.222222222222221</v>
      </c>
      <c r="AV255" s="3">
        <f t="shared" ref="AV255:AV269" si="147">ROUND((P255/1000000)*AU255*10000,2)</f>
        <v>13.33</v>
      </c>
      <c r="AW255" s="1">
        <v>85</v>
      </c>
      <c r="AX255" s="3">
        <f t="shared" ref="AX255:AX269" si="148">IFERROR((AU255*AW255/100),0)</f>
        <v>18.888888888888889</v>
      </c>
      <c r="AY255" s="1">
        <v>1</v>
      </c>
      <c r="AZ255" s="4">
        <f t="shared" ref="AZ255:AZ269" si="149">IFERROR(AX255*AY255,0)</f>
        <v>18.888888888888889</v>
      </c>
      <c r="BA255" s="49">
        <v>0.89</v>
      </c>
      <c r="BB255" s="4">
        <f t="shared" ref="BB255:BB269" si="150">IFERROR(AZ255*BA255,0)</f>
        <v>16.81111111111111</v>
      </c>
      <c r="BC255" s="50">
        <v>0.19500000000000001</v>
      </c>
      <c r="BD255" s="69">
        <f>IFERROR(
  MAX(0.05, MIN(0.5, CropNorms_Peanut[[#This Row],[Leaf_Area_Per_Shoot_m2]] * CropNorms_Peanut[[#This Row],[Shoot_Bearing_m2]] )),
  0.2
)</f>
        <v>0.5</v>
      </c>
      <c r="BE255" s="4">
        <f>_xlfn.XLOOKUP(CropNorms_Peanut[[#This Row],[LAI_Start_BBCH]], CropPhenology_Peanut[Sub_Stage], CropPhenology_Peanut[Start_GDD], "Not Found")</f>
        <v>121</v>
      </c>
      <c r="BF255" s="3">
        <f>ROUND(CropNorms_Peanut[[#This Row],[Shoot_Bearing_m2]]*CropNorms_Peanut[[#This Row],[Leaf_Area_Per_Shoot_m2]],2)</f>
        <v>3.28</v>
      </c>
      <c r="BG255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55" s="3">
        <f>IF(CropNorms_Peanut[[#This Row],[Max_LAI]]&gt;=1.2, 0.85*CropNorms_Peanut[[#This Row],[Max_LAI]], 1)</f>
        <v>2.7879999999999998</v>
      </c>
      <c r="BI255" s="41">
        <f>_xlfn.XLOOKUP(CropNorms_Peanut[[#This Row],[LAI_End_BBCH]], CropPhenology_Peanut[Sub_Stage], CropPhenology_Peanut[End_GDD], "Not Found")</f>
        <v>1500</v>
      </c>
      <c r="BJ255" s="3" cm="1">
        <f t="array" ref="BJ255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2.2478889806558024</v>
      </c>
      <c r="BK255" s="3" cm="1">
        <f t="array" ref="BK25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0.93399969798953231</v>
      </c>
      <c r="BL255" s="3" cm="1">
        <f t="array" ref="BL255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1.6406523604170364</v>
      </c>
      <c r="BM255" s="3" cm="1">
        <f t="array" ref="BM25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5" s="42">
        <v>0.39</v>
      </c>
      <c r="BO255" s="43">
        <v>0.15</v>
      </c>
      <c r="BP255" s="42">
        <v>2.68</v>
      </c>
      <c r="BQ255" s="43" t="s">
        <v>1745</v>
      </c>
      <c r="BR255" s="3" t="str" cm="1">
        <f t="array" ref="BR25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55" s="3" t="str" cm="1">
        <f t="array" ref="BS25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55" s="3" t="str" cm="1">
        <f t="array" ref="BT255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55" s="3" t="str" cm="1">
        <f t="array" ref="BU255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55" s="48">
        <v>120</v>
      </c>
      <c r="BW255" s="1">
        <v>55</v>
      </c>
      <c r="BX255" s="44">
        <v>80</v>
      </c>
      <c r="BY255" s="51">
        <v>45762</v>
      </c>
      <c r="BZ255" s="5">
        <v>45792</v>
      </c>
      <c r="CA255" s="85">
        <v>0</v>
      </c>
      <c r="CB255" s="2">
        <v>1</v>
      </c>
      <c r="CC255" s="2">
        <v>1</v>
      </c>
      <c r="CD255" s="2">
        <v>1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P255" s="9"/>
      <c r="CQ255" s="10"/>
    </row>
    <row r="256" spans="2:95" x14ac:dyDescent="0.15">
      <c r="B256" s="36" t="s">
        <v>217</v>
      </c>
      <c r="C256" s="1" t="s">
        <v>218</v>
      </c>
      <c r="K256" s="1" t="s">
        <v>1777</v>
      </c>
      <c r="L256" s="1" t="s">
        <v>1750</v>
      </c>
      <c r="M256" s="1" t="s">
        <v>362</v>
      </c>
      <c r="N256" s="6">
        <v>18.5</v>
      </c>
      <c r="O256" s="1" t="s">
        <v>2</v>
      </c>
      <c r="P256" s="1">
        <v>60</v>
      </c>
      <c r="Q256" s="1">
        <v>12</v>
      </c>
      <c r="R256" s="1">
        <v>12</v>
      </c>
      <c r="S256" s="1">
        <v>30</v>
      </c>
      <c r="T256" s="1">
        <v>35</v>
      </c>
      <c r="U256" s="253">
        <v>4</v>
      </c>
      <c r="V256" s="1">
        <v>100</v>
      </c>
      <c r="W256" s="44">
        <v>150</v>
      </c>
      <c r="X256" s="40">
        <f>_xlfn.XLOOKUP("Ripening", CropPhenology_Peanut[Main_Stage], CropPhenology_Peanut[Start_GDD], "Not Found")</f>
        <v>1501</v>
      </c>
      <c r="Y256" s="4" cm="1">
        <f t="array" ref="Y256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56" s="3">
        <f t="shared" si="143"/>
        <v>13.253333333333334</v>
      </c>
      <c r="AA256" s="41">
        <f t="shared" si="144"/>
        <v>124.49698189134809</v>
      </c>
      <c r="AB256" s="1">
        <v>8</v>
      </c>
      <c r="AC256" s="1">
        <v>12</v>
      </c>
      <c r="AD256" s="1">
        <v>4</v>
      </c>
      <c r="AE256" s="1">
        <v>90</v>
      </c>
      <c r="AF256" s="1">
        <v>12</v>
      </c>
      <c r="AG256" s="1">
        <v>5</v>
      </c>
      <c r="AH256" s="3">
        <f t="shared" si="145"/>
        <v>1.1968161616161617</v>
      </c>
      <c r="AI256" s="1">
        <v>5.8</v>
      </c>
      <c r="AJ256" s="1">
        <v>7</v>
      </c>
      <c r="AK256" s="159">
        <v>3.2</v>
      </c>
      <c r="AL256" s="150">
        <v>0.28999999999999998</v>
      </c>
      <c r="AM256" s="1">
        <v>250</v>
      </c>
      <c r="AN256" s="1">
        <v>350</v>
      </c>
      <c r="AO256" s="48">
        <v>5</v>
      </c>
      <c r="AP256" s="44">
        <v>50</v>
      </c>
      <c r="AQ256" s="42">
        <v>0.7</v>
      </c>
      <c r="AR256" s="1">
        <v>45</v>
      </c>
      <c r="AS256" s="1">
        <v>10</v>
      </c>
      <c r="AT256" s="1">
        <v>1</v>
      </c>
      <c r="AU256" s="4">
        <f t="shared" si="146"/>
        <v>22.222222222222221</v>
      </c>
      <c r="AV256" s="3">
        <f t="shared" si="147"/>
        <v>13.33</v>
      </c>
      <c r="AW256" s="1">
        <v>85</v>
      </c>
      <c r="AX256" s="3">
        <f t="shared" si="148"/>
        <v>18.888888888888889</v>
      </c>
      <c r="AY256" s="1">
        <v>1</v>
      </c>
      <c r="AZ256" s="4">
        <f t="shared" si="149"/>
        <v>18.888888888888889</v>
      </c>
      <c r="BA256" s="49">
        <v>0.89</v>
      </c>
      <c r="BB256" s="4">
        <f t="shared" si="150"/>
        <v>16.81111111111111</v>
      </c>
      <c r="BC256" s="50">
        <v>0.155</v>
      </c>
      <c r="BD256" s="69">
        <f>IFERROR(
  MAX(0.05, MIN(0.5, CropNorms_Peanut[[#This Row],[Leaf_Area_Per_Shoot_m2]] * CropNorms_Peanut[[#This Row],[Shoot_Bearing_m2]] )),
  0.2
)</f>
        <v>0.5</v>
      </c>
      <c r="BE256" s="4">
        <f>_xlfn.XLOOKUP(CropNorms_Peanut[[#This Row],[LAI_Start_BBCH]], CropPhenology_Peanut[Sub_Stage], CropPhenology_Peanut[Start_GDD], "Not Found")</f>
        <v>121</v>
      </c>
      <c r="BF256" s="3">
        <f>ROUND(CropNorms_Peanut[[#This Row],[Shoot_Bearing_m2]]*CropNorms_Peanut[[#This Row],[Leaf_Area_Per_Shoot_m2]],2)</f>
        <v>2.61</v>
      </c>
      <c r="BG256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56" s="3">
        <f>IF(CropNorms_Peanut[[#This Row],[Max_LAI]]&gt;=1.2, 0.85*CropNorms_Peanut[[#This Row],[Max_LAI]], 1)</f>
        <v>2.2184999999999997</v>
      </c>
      <c r="BI256" s="41">
        <f>_xlfn.XLOOKUP(CropNorms_Peanut[[#This Row],[LAI_End_BBCH]], CropPhenology_Peanut[Sub_Stage], CropPhenology_Peanut[End_GDD], "Not Found")</f>
        <v>1500</v>
      </c>
      <c r="BJ256" s="3" cm="1">
        <f t="array" ref="BJ256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56" s="3" cm="1">
        <f t="array" ref="BK25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56" s="3" cm="1">
        <f t="array" ref="BL256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56" s="3" cm="1">
        <f t="array" ref="BM25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6" s="42">
        <v>0.34</v>
      </c>
      <c r="BO256" s="43">
        <v>0.15</v>
      </c>
      <c r="BP256" s="42">
        <v>1.41</v>
      </c>
      <c r="BQ256" s="43" t="s">
        <v>1745</v>
      </c>
      <c r="BR256" s="3" t="str" cm="1">
        <f t="array" ref="BR25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56" s="3" t="str" cm="1">
        <f t="array" ref="BS25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56" s="3" t="str" cm="1">
        <f t="array" ref="BT256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56" s="3" t="str" cm="1">
        <f t="array" ref="BU256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56" s="48">
        <v>120</v>
      </c>
      <c r="BW256" s="1">
        <v>55</v>
      </c>
      <c r="BX256" s="44">
        <v>80</v>
      </c>
      <c r="BY256" s="51">
        <v>45762</v>
      </c>
      <c r="BZ256" s="5">
        <v>45792</v>
      </c>
      <c r="CA256" s="85">
        <v>0</v>
      </c>
      <c r="CB256" s="2">
        <v>1</v>
      </c>
      <c r="CC256" s="2">
        <v>1</v>
      </c>
      <c r="CD256" s="2">
        <v>1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P256" s="9"/>
      <c r="CQ256" s="10"/>
    </row>
    <row r="257" spans="2:95" x14ac:dyDescent="0.15">
      <c r="B257" s="36" t="s">
        <v>217</v>
      </c>
      <c r="C257" s="1" t="s">
        <v>219</v>
      </c>
      <c r="K257" s="1" t="s">
        <v>1777</v>
      </c>
      <c r="L257" s="1" t="s">
        <v>1750</v>
      </c>
      <c r="M257" s="1" t="s">
        <v>362</v>
      </c>
      <c r="N257" s="6">
        <v>18.5</v>
      </c>
      <c r="O257" s="1" t="s">
        <v>2</v>
      </c>
      <c r="P257" s="1">
        <v>60</v>
      </c>
      <c r="Q257" s="1">
        <v>12</v>
      </c>
      <c r="R257" s="1">
        <v>12</v>
      </c>
      <c r="S257" s="1">
        <v>30</v>
      </c>
      <c r="T257" s="1">
        <v>35</v>
      </c>
      <c r="U257" s="253">
        <v>4</v>
      </c>
      <c r="V257" s="1">
        <v>100</v>
      </c>
      <c r="W257" s="44">
        <v>150</v>
      </c>
      <c r="X257" s="40">
        <f>_xlfn.XLOOKUP("Ripening", CropPhenology_Peanut[Main_Stage], CropPhenology_Peanut[Start_GDD], "Not Found")</f>
        <v>1501</v>
      </c>
      <c r="Y257" s="4" cm="1">
        <f t="array" ref="Y257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57" s="3">
        <f t="shared" si="143"/>
        <v>13.253333333333334</v>
      </c>
      <c r="AA257" s="41">
        <f t="shared" si="144"/>
        <v>124.49698189134809</v>
      </c>
      <c r="AB257" s="1">
        <v>8</v>
      </c>
      <c r="AC257" s="1">
        <v>12</v>
      </c>
      <c r="AD257" s="1">
        <v>4</v>
      </c>
      <c r="AE257" s="1">
        <v>90</v>
      </c>
      <c r="AF257" s="1">
        <v>12</v>
      </c>
      <c r="AG257" s="1">
        <v>5</v>
      </c>
      <c r="AH257" s="3">
        <f t="shared" si="145"/>
        <v>1.1968161616161617</v>
      </c>
      <c r="AI257" s="1">
        <v>5.8</v>
      </c>
      <c r="AJ257" s="1">
        <v>7</v>
      </c>
      <c r="AK257" s="159">
        <v>3.2</v>
      </c>
      <c r="AL257" s="150">
        <v>0.28999999999999998</v>
      </c>
      <c r="AM257" s="1">
        <v>250</v>
      </c>
      <c r="AN257" s="1">
        <v>350</v>
      </c>
      <c r="AO257" s="48">
        <v>5</v>
      </c>
      <c r="AP257" s="44">
        <v>50</v>
      </c>
      <c r="AQ257" s="42">
        <v>0.72</v>
      </c>
      <c r="AR257" s="1">
        <v>45</v>
      </c>
      <c r="AS257" s="1">
        <v>10</v>
      </c>
      <c r="AT257" s="1">
        <v>1</v>
      </c>
      <c r="AU257" s="4">
        <f t="shared" si="146"/>
        <v>22.222222222222221</v>
      </c>
      <c r="AV257" s="3">
        <f t="shared" si="147"/>
        <v>13.33</v>
      </c>
      <c r="AW257" s="1">
        <v>85</v>
      </c>
      <c r="AX257" s="3">
        <f t="shared" si="148"/>
        <v>18.888888888888889</v>
      </c>
      <c r="AY257" s="1">
        <v>1</v>
      </c>
      <c r="AZ257" s="4">
        <f t="shared" si="149"/>
        <v>18.888888888888889</v>
      </c>
      <c r="BA257" s="49">
        <v>0.89</v>
      </c>
      <c r="BB257" s="4">
        <f t="shared" si="150"/>
        <v>16.81111111111111</v>
      </c>
      <c r="BC257" s="50">
        <v>0.155</v>
      </c>
      <c r="BD257" s="69">
        <f>IFERROR(
  MAX(0.05, MIN(0.5, CropNorms_Peanut[[#This Row],[Leaf_Area_Per_Shoot_m2]] * CropNorms_Peanut[[#This Row],[Shoot_Bearing_m2]] )),
  0.2
)</f>
        <v>0.5</v>
      </c>
      <c r="BE257" s="4">
        <f>_xlfn.XLOOKUP(CropNorms_Peanut[[#This Row],[LAI_Start_BBCH]], CropPhenology_Peanut[Sub_Stage], CropPhenology_Peanut[Start_GDD], "Not Found")</f>
        <v>121</v>
      </c>
      <c r="BF257" s="3">
        <f>ROUND(CropNorms_Peanut[[#This Row],[Shoot_Bearing_m2]]*CropNorms_Peanut[[#This Row],[Leaf_Area_Per_Shoot_m2]],2)</f>
        <v>2.61</v>
      </c>
      <c r="BG257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57" s="3">
        <f>IF(CropNorms_Peanut[[#This Row],[Max_LAI]]&gt;=1.2, 0.85*CropNorms_Peanut[[#This Row],[Max_LAI]], 1)</f>
        <v>2.2184999999999997</v>
      </c>
      <c r="BI257" s="41">
        <f>_xlfn.XLOOKUP(CropNorms_Peanut[[#This Row],[LAI_End_BBCH]], CropPhenology_Peanut[Sub_Stage], CropPhenology_Peanut[End_GDD], "Not Found")</f>
        <v>1500</v>
      </c>
      <c r="BJ257" s="3" cm="1">
        <f t="array" ref="BJ257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57" s="3" cm="1">
        <f t="array" ref="BK25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57" s="3" cm="1">
        <f t="array" ref="BL257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57" s="3" cm="1">
        <f t="array" ref="BM25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7" s="42">
        <v>0.34</v>
      </c>
      <c r="BO257" s="43">
        <v>0.15</v>
      </c>
      <c r="BP257" s="42">
        <v>1.41</v>
      </c>
      <c r="BQ257" s="43" t="s">
        <v>1745</v>
      </c>
      <c r="BR257" s="3" t="str" cm="1">
        <f t="array" ref="BR25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57" s="3" t="str" cm="1">
        <f t="array" ref="BS25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57" s="3" t="str" cm="1">
        <f t="array" ref="BT257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57" s="3" t="str" cm="1">
        <f t="array" ref="BU257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57" s="48">
        <v>120</v>
      </c>
      <c r="BW257" s="1">
        <v>55</v>
      </c>
      <c r="BX257" s="44">
        <v>80</v>
      </c>
      <c r="BY257" s="51">
        <v>45762</v>
      </c>
      <c r="BZ257" s="5">
        <v>45792</v>
      </c>
      <c r="CA257" s="85">
        <v>0</v>
      </c>
      <c r="CB257" s="2">
        <v>1</v>
      </c>
      <c r="CC257" s="2">
        <v>1</v>
      </c>
      <c r="CD257" s="2">
        <v>1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P257" s="9"/>
      <c r="CQ257" s="10"/>
    </row>
    <row r="258" spans="2:95" x14ac:dyDescent="0.15">
      <c r="B258" s="36" t="s">
        <v>217</v>
      </c>
      <c r="C258" s="1" t="s">
        <v>220</v>
      </c>
      <c r="K258" s="1" t="s">
        <v>1777</v>
      </c>
      <c r="L258" s="1" t="s">
        <v>1750</v>
      </c>
      <c r="M258" s="1" t="s">
        <v>362</v>
      </c>
      <c r="N258" s="6">
        <v>18.5</v>
      </c>
      <c r="O258" s="1" t="s">
        <v>2</v>
      </c>
      <c r="P258" s="1">
        <v>60</v>
      </c>
      <c r="Q258" s="1">
        <v>12</v>
      </c>
      <c r="R258" s="1">
        <v>12</v>
      </c>
      <c r="S258" s="1">
        <v>30</v>
      </c>
      <c r="T258" s="1">
        <v>35</v>
      </c>
      <c r="U258" s="253">
        <v>4</v>
      </c>
      <c r="V258" s="1">
        <v>100</v>
      </c>
      <c r="W258" s="44">
        <v>150</v>
      </c>
      <c r="X258" s="40">
        <f>_xlfn.XLOOKUP("Ripening", CropPhenology_Peanut[Main_Stage], CropPhenology_Peanut[Start_GDD], "Not Found")</f>
        <v>1501</v>
      </c>
      <c r="Y258" s="4" cm="1">
        <f t="array" ref="Y258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58" s="3">
        <f t="shared" si="143"/>
        <v>13.253333333333334</v>
      </c>
      <c r="AA258" s="41">
        <f t="shared" si="144"/>
        <v>124.49698189134809</v>
      </c>
      <c r="AB258" s="1">
        <v>8</v>
      </c>
      <c r="AC258" s="1">
        <v>12</v>
      </c>
      <c r="AD258" s="1">
        <v>4</v>
      </c>
      <c r="AE258" s="1">
        <v>90</v>
      </c>
      <c r="AF258" s="1">
        <v>12</v>
      </c>
      <c r="AG258" s="1">
        <v>5</v>
      </c>
      <c r="AH258" s="3">
        <f t="shared" si="145"/>
        <v>1.1968161616161617</v>
      </c>
      <c r="AI258" s="1">
        <v>5.8</v>
      </c>
      <c r="AJ258" s="1">
        <v>7</v>
      </c>
      <c r="AK258" s="159">
        <v>3.2</v>
      </c>
      <c r="AL258" s="150">
        <v>0.28999999999999998</v>
      </c>
      <c r="AM258" s="1">
        <v>250</v>
      </c>
      <c r="AN258" s="1">
        <v>350</v>
      </c>
      <c r="AO258" s="48">
        <v>5</v>
      </c>
      <c r="AP258" s="44">
        <v>50</v>
      </c>
      <c r="AQ258" s="42">
        <v>0.74</v>
      </c>
      <c r="AR258" s="1">
        <v>45</v>
      </c>
      <c r="AS258" s="1">
        <v>10</v>
      </c>
      <c r="AT258" s="1">
        <v>1</v>
      </c>
      <c r="AU258" s="4">
        <f t="shared" si="146"/>
        <v>22.222222222222221</v>
      </c>
      <c r="AV258" s="3">
        <f t="shared" si="147"/>
        <v>13.33</v>
      </c>
      <c r="AW258" s="1">
        <v>85</v>
      </c>
      <c r="AX258" s="3">
        <f t="shared" si="148"/>
        <v>18.888888888888889</v>
      </c>
      <c r="AY258" s="1">
        <v>1</v>
      </c>
      <c r="AZ258" s="4">
        <f t="shared" si="149"/>
        <v>18.888888888888889</v>
      </c>
      <c r="BA258" s="49">
        <v>0.89</v>
      </c>
      <c r="BB258" s="4">
        <f t="shared" si="150"/>
        <v>16.81111111111111</v>
      </c>
      <c r="BC258" s="50">
        <v>0.155</v>
      </c>
      <c r="BD258" s="69">
        <f>IFERROR(
  MAX(0.05, MIN(0.5, CropNorms_Peanut[[#This Row],[Leaf_Area_Per_Shoot_m2]] * CropNorms_Peanut[[#This Row],[Shoot_Bearing_m2]] )),
  0.2
)</f>
        <v>0.5</v>
      </c>
      <c r="BE258" s="4">
        <f>_xlfn.XLOOKUP(CropNorms_Peanut[[#This Row],[LAI_Start_BBCH]], CropPhenology_Peanut[Sub_Stage], CropPhenology_Peanut[Start_GDD], "Not Found")</f>
        <v>121</v>
      </c>
      <c r="BF258" s="3">
        <f>ROUND(CropNorms_Peanut[[#This Row],[Shoot_Bearing_m2]]*CropNorms_Peanut[[#This Row],[Leaf_Area_Per_Shoot_m2]],2)</f>
        <v>2.61</v>
      </c>
      <c r="BG258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58" s="3">
        <f>IF(CropNorms_Peanut[[#This Row],[Max_LAI]]&gt;=1.2, 0.85*CropNorms_Peanut[[#This Row],[Max_LAI]], 1)</f>
        <v>2.2184999999999997</v>
      </c>
      <c r="BI258" s="41">
        <f>_xlfn.XLOOKUP(CropNorms_Peanut[[#This Row],[LAI_End_BBCH]], CropPhenology_Peanut[Sub_Stage], CropPhenology_Peanut[End_GDD], "Not Found")</f>
        <v>1500</v>
      </c>
      <c r="BJ258" s="3" cm="1">
        <f t="array" ref="BJ258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58" s="3" cm="1">
        <f t="array" ref="BK25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58" s="3" cm="1">
        <f t="array" ref="BL258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58" s="3" cm="1">
        <f t="array" ref="BM25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8" s="42">
        <v>0.34</v>
      </c>
      <c r="BO258" s="43">
        <v>0.15</v>
      </c>
      <c r="BP258" s="42">
        <v>1.41</v>
      </c>
      <c r="BQ258" s="43" t="s">
        <v>1745</v>
      </c>
      <c r="BR258" s="3" t="str" cm="1">
        <f t="array" ref="BR25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58" s="3" t="str" cm="1">
        <f t="array" ref="BS25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58" s="3" t="str" cm="1">
        <f t="array" ref="BT258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58" s="3" t="str" cm="1">
        <f t="array" ref="BU258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58" s="48">
        <v>120</v>
      </c>
      <c r="BW258" s="1">
        <v>55</v>
      </c>
      <c r="BX258" s="44">
        <v>80</v>
      </c>
      <c r="BY258" s="51">
        <v>45762</v>
      </c>
      <c r="BZ258" s="5">
        <v>45792</v>
      </c>
      <c r="CA258" s="85">
        <v>0</v>
      </c>
      <c r="CB258" s="2">
        <v>1</v>
      </c>
      <c r="CC258" s="2">
        <v>1</v>
      </c>
      <c r="CD258" s="2">
        <v>1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P258" s="9"/>
      <c r="CQ258" s="10"/>
    </row>
    <row r="259" spans="2:95" x14ac:dyDescent="0.15">
      <c r="B259" s="36" t="s">
        <v>217</v>
      </c>
      <c r="C259" s="1" t="s">
        <v>221</v>
      </c>
      <c r="K259" s="1" t="s">
        <v>1777</v>
      </c>
      <c r="L259" s="1" t="s">
        <v>1750</v>
      </c>
      <c r="M259" s="1" t="s">
        <v>362</v>
      </c>
      <c r="N259" s="6">
        <v>18.5</v>
      </c>
      <c r="O259" s="1" t="s">
        <v>2</v>
      </c>
      <c r="P259" s="1">
        <v>60</v>
      </c>
      <c r="Q259" s="1">
        <v>12</v>
      </c>
      <c r="R259" s="1">
        <v>12</v>
      </c>
      <c r="S259" s="1">
        <v>30</v>
      </c>
      <c r="T259" s="1">
        <v>35</v>
      </c>
      <c r="U259" s="253">
        <v>4</v>
      </c>
      <c r="V259" s="1">
        <v>100</v>
      </c>
      <c r="W259" s="44">
        <v>150</v>
      </c>
      <c r="X259" s="40">
        <f>_xlfn.XLOOKUP("Ripening", CropPhenology_Peanut[Main_Stage], CropPhenology_Peanut[Start_GDD], "Not Found")</f>
        <v>1501</v>
      </c>
      <c r="Y259" s="4" cm="1">
        <f t="array" ref="Y259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59" s="3">
        <f t="shared" si="143"/>
        <v>13.253333333333334</v>
      </c>
      <c r="AA259" s="41">
        <f t="shared" si="144"/>
        <v>124.49698189134809</v>
      </c>
      <c r="AB259" s="1">
        <v>8</v>
      </c>
      <c r="AC259" s="1">
        <v>12</v>
      </c>
      <c r="AD259" s="1">
        <v>4</v>
      </c>
      <c r="AE259" s="1">
        <v>90</v>
      </c>
      <c r="AF259" s="1">
        <v>12</v>
      </c>
      <c r="AG259" s="1">
        <v>5</v>
      </c>
      <c r="AH259" s="3">
        <f t="shared" si="145"/>
        <v>1.1968161616161617</v>
      </c>
      <c r="AI259" s="1">
        <v>5.8</v>
      </c>
      <c r="AJ259" s="1">
        <v>7</v>
      </c>
      <c r="AK259" s="159">
        <v>3.2</v>
      </c>
      <c r="AL259" s="150">
        <v>0.28999999999999998</v>
      </c>
      <c r="AM259" s="1">
        <v>250</v>
      </c>
      <c r="AN259" s="1">
        <v>350</v>
      </c>
      <c r="AO259" s="48">
        <v>5</v>
      </c>
      <c r="AP259" s="44">
        <v>50</v>
      </c>
      <c r="AQ259" s="42">
        <v>0.75</v>
      </c>
      <c r="AR259" s="1">
        <v>45</v>
      </c>
      <c r="AS259" s="1">
        <v>10</v>
      </c>
      <c r="AT259" s="1">
        <v>1</v>
      </c>
      <c r="AU259" s="4">
        <f t="shared" si="146"/>
        <v>22.222222222222221</v>
      </c>
      <c r="AV259" s="3">
        <f t="shared" si="147"/>
        <v>13.33</v>
      </c>
      <c r="AW259" s="1">
        <v>85</v>
      </c>
      <c r="AX259" s="3">
        <f t="shared" si="148"/>
        <v>18.888888888888889</v>
      </c>
      <c r="AY259" s="1">
        <v>1</v>
      </c>
      <c r="AZ259" s="4">
        <f t="shared" si="149"/>
        <v>18.888888888888889</v>
      </c>
      <c r="BA259" s="49">
        <v>0.89</v>
      </c>
      <c r="BB259" s="4">
        <f t="shared" si="150"/>
        <v>16.81111111111111</v>
      </c>
      <c r="BC259" s="50">
        <v>0.155</v>
      </c>
      <c r="BD259" s="69">
        <f>IFERROR(
  MAX(0.05, MIN(0.5, CropNorms_Peanut[[#This Row],[Leaf_Area_Per_Shoot_m2]] * CropNorms_Peanut[[#This Row],[Shoot_Bearing_m2]] )),
  0.2
)</f>
        <v>0.5</v>
      </c>
      <c r="BE259" s="4">
        <f>_xlfn.XLOOKUP(CropNorms_Peanut[[#This Row],[LAI_Start_BBCH]], CropPhenology_Peanut[Sub_Stage], CropPhenology_Peanut[Start_GDD], "Not Found")</f>
        <v>121</v>
      </c>
      <c r="BF259" s="3">
        <f>ROUND(CropNorms_Peanut[[#This Row],[Shoot_Bearing_m2]]*CropNorms_Peanut[[#This Row],[Leaf_Area_Per_Shoot_m2]],2)</f>
        <v>2.61</v>
      </c>
      <c r="BG259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59" s="3">
        <f>IF(CropNorms_Peanut[[#This Row],[Max_LAI]]&gt;=1.2, 0.85*CropNorms_Peanut[[#This Row],[Max_LAI]], 1)</f>
        <v>2.2184999999999997</v>
      </c>
      <c r="BI259" s="41">
        <f>_xlfn.XLOOKUP(CropNorms_Peanut[[#This Row],[LAI_End_BBCH]], CropPhenology_Peanut[Sub_Stage], CropPhenology_Peanut[End_GDD], "Not Found")</f>
        <v>1500</v>
      </c>
      <c r="BJ259" s="3" cm="1">
        <f t="array" ref="BJ259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59" s="3" cm="1">
        <f t="array" ref="BK25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59" s="3" cm="1">
        <f t="array" ref="BL259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59" s="3" cm="1">
        <f t="array" ref="BM25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59" s="42">
        <v>0.34</v>
      </c>
      <c r="BO259" s="43">
        <v>0.15</v>
      </c>
      <c r="BP259" s="42">
        <v>1.41</v>
      </c>
      <c r="BQ259" s="43" t="s">
        <v>1745</v>
      </c>
      <c r="BR259" s="3" t="str" cm="1">
        <f t="array" ref="BR25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59" s="3" t="str" cm="1">
        <f t="array" ref="BS25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59" s="3" t="str" cm="1">
        <f t="array" ref="BT259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59" s="3" t="str" cm="1">
        <f t="array" ref="BU259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59" s="48">
        <v>120</v>
      </c>
      <c r="BW259" s="1">
        <v>55</v>
      </c>
      <c r="BX259" s="44">
        <v>80</v>
      </c>
      <c r="BY259" s="51">
        <v>45762</v>
      </c>
      <c r="BZ259" s="5">
        <v>45792</v>
      </c>
      <c r="CA259" s="85">
        <v>0</v>
      </c>
      <c r="CB259" s="2">
        <v>1</v>
      </c>
      <c r="CC259" s="2">
        <v>1</v>
      </c>
      <c r="CD259" s="2">
        <v>1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P259" s="9"/>
      <c r="CQ259" s="10"/>
    </row>
    <row r="260" spans="2:95" x14ac:dyDescent="0.15">
      <c r="B260" s="36" t="s">
        <v>217</v>
      </c>
      <c r="C260" s="1" t="s">
        <v>222</v>
      </c>
      <c r="K260" s="1" t="s">
        <v>1777</v>
      </c>
      <c r="L260" s="1" t="s">
        <v>1750</v>
      </c>
      <c r="M260" s="1" t="s">
        <v>362</v>
      </c>
      <c r="N260" s="6">
        <v>18.5</v>
      </c>
      <c r="O260" s="1" t="s">
        <v>2</v>
      </c>
      <c r="P260" s="1">
        <v>60</v>
      </c>
      <c r="Q260" s="1">
        <v>12</v>
      </c>
      <c r="R260" s="1">
        <v>12</v>
      </c>
      <c r="S260" s="1">
        <v>30</v>
      </c>
      <c r="T260" s="1">
        <v>35</v>
      </c>
      <c r="U260" s="253">
        <v>4</v>
      </c>
      <c r="V260" s="1">
        <v>100</v>
      </c>
      <c r="W260" s="44">
        <v>150</v>
      </c>
      <c r="X260" s="40">
        <f>_xlfn.XLOOKUP("Ripening", CropPhenology_Peanut[Main_Stage], CropPhenology_Peanut[Start_GDD], "Not Found")</f>
        <v>1501</v>
      </c>
      <c r="Y260" s="4" cm="1">
        <f t="array" ref="Y260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0" s="3">
        <f t="shared" si="143"/>
        <v>13.253333333333334</v>
      </c>
      <c r="AA260" s="41">
        <f t="shared" si="144"/>
        <v>124.49698189134809</v>
      </c>
      <c r="AB260" s="1">
        <v>8</v>
      </c>
      <c r="AC260" s="1">
        <v>12</v>
      </c>
      <c r="AD260" s="1">
        <v>4</v>
      </c>
      <c r="AE260" s="1">
        <v>90</v>
      </c>
      <c r="AF260" s="1">
        <v>12</v>
      </c>
      <c r="AG260" s="1">
        <v>5</v>
      </c>
      <c r="AH260" s="3">
        <f t="shared" si="145"/>
        <v>1.1968161616161617</v>
      </c>
      <c r="AI260" s="1">
        <v>5.8</v>
      </c>
      <c r="AJ260" s="1">
        <v>7</v>
      </c>
      <c r="AK260" s="159">
        <v>3.2</v>
      </c>
      <c r="AL260" s="150">
        <v>0.28999999999999998</v>
      </c>
      <c r="AM260" s="1">
        <v>250</v>
      </c>
      <c r="AN260" s="1">
        <v>350</v>
      </c>
      <c r="AO260" s="48">
        <v>5</v>
      </c>
      <c r="AP260" s="44">
        <v>50</v>
      </c>
      <c r="AQ260" s="42">
        <v>0.7</v>
      </c>
      <c r="AR260" s="1">
        <v>45</v>
      </c>
      <c r="AS260" s="1">
        <v>10</v>
      </c>
      <c r="AT260" s="1">
        <v>1</v>
      </c>
      <c r="AU260" s="4">
        <f t="shared" si="146"/>
        <v>22.222222222222221</v>
      </c>
      <c r="AV260" s="3">
        <f t="shared" si="147"/>
        <v>13.33</v>
      </c>
      <c r="AW260" s="1">
        <v>85</v>
      </c>
      <c r="AX260" s="3">
        <f t="shared" si="148"/>
        <v>18.888888888888889</v>
      </c>
      <c r="AY260" s="1">
        <v>1</v>
      </c>
      <c r="AZ260" s="4">
        <f t="shared" si="149"/>
        <v>18.888888888888889</v>
      </c>
      <c r="BA260" s="49">
        <v>0.89</v>
      </c>
      <c r="BB260" s="4">
        <f t="shared" si="150"/>
        <v>16.81111111111111</v>
      </c>
      <c r="BC260" s="50">
        <v>0.155</v>
      </c>
      <c r="BD260" s="69">
        <f>IFERROR(
  MAX(0.05, MIN(0.5, CropNorms_Peanut[[#This Row],[Leaf_Area_Per_Shoot_m2]] * CropNorms_Peanut[[#This Row],[Shoot_Bearing_m2]] )),
  0.2
)</f>
        <v>0.5</v>
      </c>
      <c r="BE260" s="4">
        <f>_xlfn.XLOOKUP(CropNorms_Peanut[[#This Row],[LAI_Start_BBCH]], CropPhenology_Peanut[Sub_Stage], CropPhenology_Peanut[Start_GDD], "Not Found")</f>
        <v>121</v>
      </c>
      <c r="BF260" s="3">
        <f>ROUND(CropNorms_Peanut[[#This Row],[Shoot_Bearing_m2]]*CropNorms_Peanut[[#This Row],[Leaf_Area_Per_Shoot_m2]],2)</f>
        <v>2.61</v>
      </c>
      <c r="BG260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0" s="3">
        <f>IF(CropNorms_Peanut[[#This Row],[Max_LAI]]&gt;=1.2, 0.85*CropNorms_Peanut[[#This Row],[Max_LAI]], 1)</f>
        <v>2.2184999999999997</v>
      </c>
      <c r="BI260" s="41">
        <f>_xlfn.XLOOKUP(CropNorms_Peanut[[#This Row],[LAI_End_BBCH]], CropPhenology_Peanut[Sub_Stage], CropPhenology_Peanut[End_GDD], "Not Found")</f>
        <v>1500</v>
      </c>
      <c r="BJ260" s="3" cm="1">
        <f t="array" ref="BJ260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0" s="3" cm="1">
        <f t="array" ref="BK260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0" s="3" cm="1">
        <f t="array" ref="BL260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0" s="3" cm="1">
        <f t="array" ref="BM260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0" s="42">
        <v>0.34</v>
      </c>
      <c r="BO260" s="43">
        <v>0.15</v>
      </c>
      <c r="BP260" s="42">
        <v>1.41</v>
      </c>
      <c r="BQ260" s="43" t="s">
        <v>1745</v>
      </c>
      <c r="BR260" s="3" t="str" cm="1">
        <f t="array" ref="BR260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0" s="3" t="str" cm="1">
        <f t="array" ref="BS260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0" s="3" t="str" cm="1">
        <f t="array" ref="BT260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0" s="3" t="str" cm="1">
        <f t="array" ref="BU260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0" s="48">
        <v>120</v>
      </c>
      <c r="BW260" s="1">
        <v>55</v>
      </c>
      <c r="BX260" s="44">
        <v>80</v>
      </c>
      <c r="BY260" s="51">
        <v>45762</v>
      </c>
      <c r="BZ260" s="5">
        <v>45792</v>
      </c>
      <c r="CA260" s="85">
        <v>0</v>
      </c>
      <c r="CB260" s="2">
        <v>1</v>
      </c>
      <c r="CC260" s="2">
        <v>1</v>
      </c>
      <c r="CD260" s="2">
        <v>1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P260" s="9"/>
      <c r="CQ260" s="10"/>
    </row>
    <row r="261" spans="2:95" x14ac:dyDescent="0.15">
      <c r="B261" s="36" t="s">
        <v>217</v>
      </c>
      <c r="C261" s="1" t="s">
        <v>223</v>
      </c>
      <c r="K261" s="1" t="s">
        <v>1777</v>
      </c>
      <c r="L261" s="1" t="s">
        <v>1750</v>
      </c>
      <c r="M261" s="1" t="s">
        <v>362</v>
      </c>
      <c r="N261" s="6">
        <v>18.5</v>
      </c>
      <c r="O261" s="1" t="s">
        <v>2</v>
      </c>
      <c r="P261" s="1">
        <v>60</v>
      </c>
      <c r="Q261" s="1">
        <v>12</v>
      </c>
      <c r="R261" s="1">
        <v>12</v>
      </c>
      <c r="S261" s="1">
        <v>30</v>
      </c>
      <c r="T261" s="1">
        <v>35</v>
      </c>
      <c r="U261" s="253">
        <v>4</v>
      </c>
      <c r="V261" s="1">
        <v>100</v>
      </c>
      <c r="W261" s="44">
        <v>150</v>
      </c>
      <c r="X261" s="40">
        <f>_xlfn.XLOOKUP("Ripening", CropPhenology_Peanut[Main_Stage], CropPhenology_Peanut[Start_GDD], "Not Found")</f>
        <v>1501</v>
      </c>
      <c r="Y261" s="4" cm="1">
        <f t="array" ref="Y26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1" s="3">
        <f t="shared" si="143"/>
        <v>13.253333333333334</v>
      </c>
      <c r="AA261" s="41">
        <f t="shared" si="144"/>
        <v>124.49698189134809</v>
      </c>
      <c r="AB261" s="1">
        <v>8</v>
      </c>
      <c r="AC261" s="1">
        <v>12</v>
      </c>
      <c r="AD261" s="1">
        <v>4</v>
      </c>
      <c r="AE261" s="1">
        <v>90</v>
      </c>
      <c r="AF261" s="1">
        <v>12</v>
      </c>
      <c r="AG261" s="1">
        <v>5</v>
      </c>
      <c r="AH261" s="3">
        <f t="shared" si="145"/>
        <v>1.1968161616161617</v>
      </c>
      <c r="AI261" s="1">
        <v>5.8</v>
      </c>
      <c r="AJ261" s="1">
        <v>7</v>
      </c>
      <c r="AK261" s="159">
        <v>3.2</v>
      </c>
      <c r="AL261" s="150">
        <v>0.28999999999999998</v>
      </c>
      <c r="AM261" s="1">
        <v>250</v>
      </c>
      <c r="AN261" s="1">
        <v>350</v>
      </c>
      <c r="AO261" s="48">
        <v>5</v>
      </c>
      <c r="AP261" s="44">
        <v>50</v>
      </c>
      <c r="AQ261" s="42">
        <v>0.72</v>
      </c>
      <c r="AR261" s="1">
        <v>45</v>
      </c>
      <c r="AS261" s="1">
        <v>10</v>
      </c>
      <c r="AT261" s="1">
        <v>1</v>
      </c>
      <c r="AU261" s="4">
        <f t="shared" si="146"/>
        <v>22.222222222222221</v>
      </c>
      <c r="AV261" s="3">
        <f t="shared" si="147"/>
        <v>13.33</v>
      </c>
      <c r="AW261" s="1">
        <v>85</v>
      </c>
      <c r="AX261" s="3">
        <f t="shared" si="148"/>
        <v>18.888888888888889</v>
      </c>
      <c r="AY261" s="1">
        <v>1</v>
      </c>
      <c r="AZ261" s="4">
        <f t="shared" si="149"/>
        <v>18.888888888888889</v>
      </c>
      <c r="BA261" s="49">
        <v>0.89</v>
      </c>
      <c r="BB261" s="4">
        <f t="shared" si="150"/>
        <v>16.81111111111111</v>
      </c>
      <c r="BC261" s="50">
        <v>0.155</v>
      </c>
      <c r="BD261" s="69">
        <f>IFERROR(
  MAX(0.05, MIN(0.5, CropNorms_Peanut[[#This Row],[Leaf_Area_Per_Shoot_m2]] * CropNorms_Peanut[[#This Row],[Shoot_Bearing_m2]] )),
  0.2
)</f>
        <v>0.5</v>
      </c>
      <c r="BE261" s="4">
        <f>_xlfn.XLOOKUP(CropNorms_Peanut[[#This Row],[LAI_Start_BBCH]], CropPhenology_Peanut[Sub_Stage], CropPhenology_Peanut[Start_GDD], "Not Found")</f>
        <v>121</v>
      </c>
      <c r="BF261" s="3">
        <f>ROUND(CropNorms_Peanut[[#This Row],[Shoot_Bearing_m2]]*CropNorms_Peanut[[#This Row],[Leaf_Area_Per_Shoot_m2]],2)</f>
        <v>2.61</v>
      </c>
      <c r="BG261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1" s="3">
        <f>IF(CropNorms_Peanut[[#This Row],[Max_LAI]]&gt;=1.2, 0.85*CropNorms_Peanut[[#This Row],[Max_LAI]], 1)</f>
        <v>2.2184999999999997</v>
      </c>
      <c r="BI261" s="41">
        <f>_xlfn.XLOOKUP(CropNorms_Peanut[[#This Row],[LAI_End_BBCH]], CropPhenology_Peanut[Sub_Stage], CropPhenology_Peanut[End_GDD], "Not Found")</f>
        <v>1500</v>
      </c>
      <c r="BJ261" s="3" cm="1">
        <f t="array" ref="BJ26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1" s="3" cm="1">
        <f t="array" ref="BK26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1" s="3" cm="1">
        <f t="array" ref="BL26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1" s="3" cm="1">
        <f t="array" ref="BM26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1" s="42">
        <v>0.34</v>
      </c>
      <c r="BO261" s="43">
        <v>0.15</v>
      </c>
      <c r="BP261" s="42">
        <v>1.41</v>
      </c>
      <c r="BQ261" s="43" t="s">
        <v>1745</v>
      </c>
      <c r="BR261" s="3" t="str" cm="1">
        <f t="array" ref="BR26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1" s="3" t="str" cm="1">
        <f t="array" ref="BS26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1" s="3" t="str" cm="1">
        <f t="array" ref="BT26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1" s="3" t="str" cm="1">
        <f t="array" ref="BU26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1" s="48">
        <v>120</v>
      </c>
      <c r="BW261" s="1">
        <v>55</v>
      </c>
      <c r="BX261" s="44">
        <v>80</v>
      </c>
      <c r="BY261" s="51">
        <v>45762</v>
      </c>
      <c r="BZ261" s="5">
        <v>45792</v>
      </c>
      <c r="CA261" s="85">
        <v>0</v>
      </c>
      <c r="CB261" s="2">
        <v>1</v>
      </c>
      <c r="CC261" s="2">
        <v>1</v>
      </c>
      <c r="CD261" s="2">
        <v>1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P261" s="9"/>
      <c r="CQ261" s="10"/>
    </row>
    <row r="262" spans="2:95" x14ac:dyDescent="0.15">
      <c r="B262" s="36" t="s">
        <v>217</v>
      </c>
      <c r="C262" s="1" t="s">
        <v>224</v>
      </c>
      <c r="K262" s="1" t="s">
        <v>1777</v>
      </c>
      <c r="L262" s="1" t="s">
        <v>1750</v>
      </c>
      <c r="M262" s="1" t="s">
        <v>362</v>
      </c>
      <c r="N262" s="6">
        <v>18.5</v>
      </c>
      <c r="O262" s="1" t="s">
        <v>2</v>
      </c>
      <c r="P262" s="1">
        <v>60</v>
      </c>
      <c r="Q262" s="1">
        <v>12</v>
      </c>
      <c r="R262" s="1">
        <v>12</v>
      </c>
      <c r="S262" s="1">
        <v>30</v>
      </c>
      <c r="T262" s="1">
        <v>35</v>
      </c>
      <c r="U262" s="253">
        <v>4</v>
      </c>
      <c r="V262" s="1">
        <v>100</v>
      </c>
      <c r="W262" s="44">
        <v>150</v>
      </c>
      <c r="X262" s="40">
        <f>_xlfn.XLOOKUP("Ripening", CropPhenology_Peanut[Main_Stage], CropPhenology_Peanut[Start_GDD], "Not Found")</f>
        <v>1501</v>
      </c>
      <c r="Y262" s="4" cm="1">
        <f t="array" ref="Y262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2" s="3">
        <f t="shared" si="143"/>
        <v>13.253333333333334</v>
      </c>
      <c r="AA262" s="41">
        <f t="shared" si="144"/>
        <v>124.49698189134809</v>
      </c>
      <c r="AB262" s="1">
        <v>8</v>
      </c>
      <c r="AC262" s="1">
        <v>12</v>
      </c>
      <c r="AD262" s="1">
        <v>4</v>
      </c>
      <c r="AE262" s="1">
        <v>90</v>
      </c>
      <c r="AF262" s="1">
        <v>12</v>
      </c>
      <c r="AG262" s="1">
        <v>5</v>
      </c>
      <c r="AH262" s="3">
        <f t="shared" si="145"/>
        <v>1.1968161616161617</v>
      </c>
      <c r="AI262" s="1">
        <v>5.8</v>
      </c>
      <c r="AJ262" s="1">
        <v>7</v>
      </c>
      <c r="AK262" s="159">
        <v>3.2</v>
      </c>
      <c r="AL262" s="150">
        <v>0.28999999999999998</v>
      </c>
      <c r="AM262" s="1">
        <v>250</v>
      </c>
      <c r="AN262" s="1">
        <v>350</v>
      </c>
      <c r="AO262" s="48">
        <v>5</v>
      </c>
      <c r="AP262" s="44">
        <v>50</v>
      </c>
      <c r="AQ262" s="42">
        <v>0.74</v>
      </c>
      <c r="AR262" s="1">
        <v>45</v>
      </c>
      <c r="AS262" s="1">
        <v>10</v>
      </c>
      <c r="AT262" s="1">
        <v>1</v>
      </c>
      <c r="AU262" s="4">
        <f t="shared" si="146"/>
        <v>22.222222222222221</v>
      </c>
      <c r="AV262" s="3">
        <f t="shared" si="147"/>
        <v>13.33</v>
      </c>
      <c r="AW262" s="1">
        <v>85</v>
      </c>
      <c r="AX262" s="3">
        <f t="shared" si="148"/>
        <v>18.888888888888889</v>
      </c>
      <c r="AY262" s="1">
        <v>1</v>
      </c>
      <c r="AZ262" s="4">
        <f t="shared" si="149"/>
        <v>18.888888888888889</v>
      </c>
      <c r="BA262" s="49">
        <v>0.89</v>
      </c>
      <c r="BB262" s="4">
        <f t="shared" si="150"/>
        <v>16.81111111111111</v>
      </c>
      <c r="BC262" s="50">
        <v>0.155</v>
      </c>
      <c r="BD262" s="69">
        <f>IFERROR(
  MAX(0.05, MIN(0.5, CropNorms_Peanut[[#This Row],[Leaf_Area_Per_Shoot_m2]] * CropNorms_Peanut[[#This Row],[Shoot_Bearing_m2]] )),
  0.2
)</f>
        <v>0.5</v>
      </c>
      <c r="BE262" s="4">
        <f>_xlfn.XLOOKUP(CropNorms_Peanut[[#This Row],[LAI_Start_BBCH]], CropPhenology_Peanut[Sub_Stage], CropPhenology_Peanut[Start_GDD], "Not Found")</f>
        <v>121</v>
      </c>
      <c r="BF262" s="3">
        <f>ROUND(CropNorms_Peanut[[#This Row],[Shoot_Bearing_m2]]*CropNorms_Peanut[[#This Row],[Leaf_Area_Per_Shoot_m2]],2)</f>
        <v>2.61</v>
      </c>
      <c r="BG262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2" s="3">
        <f>IF(CropNorms_Peanut[[#This Row],[Max_LAI]]&gt;=1.2, 0.85*CropNorms_Peanut[[#This Row],[Max_LAI]], 1)</f>
        <v>2.2184999999999997</v>
      </c>
      <c r="BI262" s="41">
        <f>_xlfn.XLOOKUP(CropNorms_Peanut[[#This Row],[LAI_End_BBCH]], CropPhenology_Peanut[Sub_Stage], CropPhenology_Peanut[End_GDD], "Not Found")</f>
        <v>1500</v>
      </c>
      <c r="BJ262" s="3" cm="1">
        <f t="array" ref="BJ262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2" s="3" cm="1">
        <f t="array" ref="BK26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2" s="3" cm="1">
        <f t="array" ref="BL262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2" s="3" cm="1">
        <f t="array" ref="BM26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2" s="42">
        <v>0.34</v>
      </c>
      <c r="BO262" s="43">
        <v>0.15</v>
      </c>
      <c r="BP262" s="42">
        <v>1.41</v>
      </c>
      <c r="BQ262" s="43" t="s">
        <v>1745</v>
      </c>
      <c r="BR262" s="3" t="str" cm="1">
        <f t="array" ref="BR26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2" s="3" t="str" cm="1">
        <f t="array" ref="BS26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2" s="3" t="str" cm="1">
        <f t="array" ref="BT262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2" s="3" t="str" cm="1">
        <f t="array" ref="BU262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2" s="48">
        <v>120</v>
      </c>
      <c r="BW262" s="1">
        <v>55</v>
      </c>
      <c r="BX262" s="44">
        <v>80</v>
      </c>
      <c r="BY262" s="51">
        <v>45762</v>
      </c>
      <c r="BZ262" s="5">
        <v>45792</v>
      </c>
      <c r="CA262" s="85">
        <v>0</v>
      </c>
      <c r="CB262" s="2">
        <v>1</v>
      </c>
      <c r="CC262" s="2">
        <v>1</v>
      </c>
      <c r="CD262" s="2">
        <v>1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P262" s="9"/>
      <c r="CQ262" s="10"/>
    </row>
    <row r="263" spans="2:95" x14ac:dyDescent="0.15">
      <c r="B263" s="36" t="s">
        <v>217</v>
      </c>
      <c r="C263" s="1" t="s">
        <v>225</v>
      </c>
      <c r="K263" s="1" t="s">
        <v>1777</v>
      </c>
      <c r="L263" s="1" t="s">
        <v>1750</v>
      </c>
      <c r="M263" s="1" t="s">
        <v>362</v>
      </c>
      <c r="N263" s="6">
        <v>18.5</v>
      </c>
      <c r="O263" s="1" t="s">
        <v>2</v>
      </c>
      <c r="P263" s="1">
        <v>60</v>
      </c>
      <c r="Q263" s="1">
        <v>12</v>
      </c>
      <c r="R263" s="1">
        <v>12</v>
      </c>
      <c r="S263" s="1">
        <v>30</v>
      </c>
      <c r="T263" s="1">
        <v>35</v>
      </c>
      <c r="U263" s="253">
        <v>4</v>
      </c>
      <c r="V263" s="1">
        <v>100</v>
      </c>
      <c r="W263" s="44">
        <v>150</v>
      </c>
      <c r="X263" s="40">
        <f>_xlfn.XLOOKUP("Ripening", CropPhenology_Peanut[Main_Stage], CropPhenology_Peanut[Start_GDD], "Not Found")</f>
        <v>1501</v>
      </c>
      <c r="Y263" s="4" cm="1">
        <f t="array" ref="Y263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3" s="3">
        <f t="shared" si="143"/>
        <v>13.253333333333334</v>
      </c>
      <c r="AA263" s="41">
        <f t="shared" si="144"/>
        <v>124.49698189134809</v>
      </c>
      <c r="AB263" s="1">
        <v>8</v>
      </c>
      <c r="AC263" s="1">
        <v>12</v>
      </c>
      <c r="AD263" s="1">
        <v>4</v>
      </c>
      <c r="AE263" s="1">
        <v>90</v>
      </c>
      <c r="AF263" s="1">
        <v>12</v>
      </c>
      <c r="AG263" s="1">
        <v>5</v>
      </c>
      <c r="AH263" s="3">
        <f t="shared" si="145"/>
        <v>1.1968161616161617</v>
      </c>
      <c r="AI263" s="1">
        <v>5.8</v>
      </c>
      <c r="AJ263" s="1">
        <v>7</v>
      </c>
      <c r="AK263" s="159">
        <v>3.2</v>
      </c>
      <c r="AL263" s="150">
        <v>0.28999999999999998</v>
      </c>
      <c r="AM263" s="1">
        <v>250</v>
      </c>
      <c r="AN263" s="1">
        <v>350</v>
      </c>
      <c r="AO263" s="48">
        <v>5</v>
      </c>
      <c r="AP263" s="44">
        <v>50</v>
      </c>
      <c r="AQ263" s="42">
        <v>0.75</v>
      </c>
      <c r="AR263" s="1">
        <v>45</v>
      </c>
      <c r="AS263" s="1">
        <v>10</v>
      </c>
      <c r="AT263" s="1">
        <v>1</v>
      </c>
      <c r="AU263" s="4">
        <f t="shared" si="146"/>
        <v>22.222222222222221</v>
      </c>
      <c r="AV263" s="3">
        <f t="shared" si="147"/>
        <v>13.33</v>
      </c>
      <c r="AW263" s="1">
        <v>85</v>
      </c>
      <c r="AX263" s="3">
        <f t="shared" si="148"/>
        <v>18.888888888888889</v>
      </c>
      <c r="AY263" s="1">
        <v>1</v>
      </c>
      <c r="AZ263" s="4">
        <f t="shared" si="149"/>
        <v>18.888888888888889</v>
      </c>
      <c r="BA263" s="49">
        <v>0.89</v>
      </c>
      <c r="BB263" s="4">
        <f t="shared" si="150"/>
        <v>16.81111111111111</v>
      </c>
      <c r="BC263" s="50">
        <v>0.155</v>
      </c>
      <c r="BD263" s="69">
        <f>IFERROR(
  MAX(0.05, MIN(0.5, CropNorms_Peanut[[#This Row],[Leaf_Area_Per_Shoot_m2]] * CropNorms_Peanut[[#This Row],[Shoot_Bearing_m2]] )),
  0.2
)</f>
        <v>0.5</v>
      </c>
      <c r="BE263" s="4">
        <f>_xlfn.XLOOKUP(CropNorms_Peanut[[#This Row],[LAI_Start_BBCH]], CropPhenology_Peanut[Sub_Stage], CropPhenology_Peanut[Start_GDD], "Not Found")</f>
        <v>121</v>
      </c>
      <c r="BF263" s="3">
        <f>ROUND(CropNorms_Peanut[[#This Row],[Shoot_Bearing_m2]]*CropNorms_Peanut[[#This Row],[Leaf_Area_Per_Shoot_m2]],2)</f>
        <v>2.61</v>
      </c>
      <c r="BG263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3" s="3">
        <f>IF(CropNorms_Peanut[[#This Row],[Max_LAI]]&gt;=1.2, 0.85*CropNorms_Peanut[[#This Row],[Max_LAI]], 1)</f>
        <v>2.2184999999999997</v>
      </c>
      <c r="BI263" s="41">
        <f>_xlfn.XLOOKUP(CropNorms_Peanut[[#This Row],[LAI_End_BBCH]], CropPhenology_Peanut[Sub_Stage], CropPhenology_Peanut[End_GDD], "Not Found")</f>
        <v>1500</v>
      </c>
      <c r="BJ263" s="3" cm="1">
        <f t="array" ref="BJ263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3" s="3" cm="1">
        <f t="array" ref="BK26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3" s="3" cm="1">
        <f t="array" ref="BL263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3" s="3" cm="1">
        <f t="array" ref="BM26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3" s="42">
        <v>0.34</v>
      </c>
      <c r="BO263" s="43">
        <v>0.15</v>
      </c>
      <c r="BP263" s="42">
        <v>1.41</v>
      </c>
      <c r="BQ263" s="43" t="s">
        <v>1745</v>
      </c>
      <c r="BR263" s="3" t="str" cm="1">
        <f t="array" ref="BR26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3" s="3" t="str" cm="1">
        <f t="array" ref="BS26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3" s="3" t="str" cm="1">
        <f t="array" ref="BT263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3" s="3" t="str" cm="1">
        <f t="array" ref="BU263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3" s="48">
        <v>120</v>
      </c>
      <c r="BW263" s="1">
        <v>55</v>
      </c>
      <c r="BX263" s="44">
        <v>80</v>
      </c>
      <c r="BY263" s="51">
        <v>45762</v>
      </c>
      <c r="BZ263" s="5">
        <v>45792</v>
      </c>
      <c r="CA263" s="85">
        <v>0</v>
      </c>
      <c r="CB263" s="2">
        <v>1</v>
      </c>
      <c r="CC263" s="2">
        <v>1</v>
      </c>
      <c r="CD263" s="2">
        <v>1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P263" s="9"/>
      <c r="CQ263" s="10"/>
    </row>
    <row r="264" spans="2:95" x14ac:dyDescent="0.15">
      <c r="B264" s="36" t="s">
        <v>217</v>
      </c>
      <c r="C264" s="1" t="s">
        <v>226</v>
      </c>
      <c r="K264" s="1" t="s">
        <v>1777</v>
      </c>
      <c r="L264" s="1" t="s">
        <v>1750</v>
      </c>
      <c r="M264" s="1" t="s">
        <v>362</v>
      </c>
      <c r="N264" s="6">
        <v>18.5</v>
      </c>
      <c r="O264" s="1" t="s">
        <v>2</v>
      </c>
      <c r="P264" s="1">
        <v>60</v>
      </c>
      <c r="Q264" s="1">
        <v>12</v>
      </c>
      <c r="R264" s="1">
        <v>12</v>
      </c>
      <c r="S264" s="1">
        <v>30</v>
      </c>
      <c r="T264" s="1">
        <v>35</v>
      </c>
      <c r="U264" s="253">
        <v>4</v>
      </c>
      <c r="V264" s="1">
        <v>100</v>
      </c>
      <c r="W264" s="44">
        <v>150</v>
      </c>
      <c r="X264" s="40">
        <f>_xlfn.XLOOKUP("Ripening", CropPhenology_Peanut[Main_Stage], CropPhenology_Peanut[Start_GDD], "Not Found")</f>
        <v>1501</v>
      </c>
      <c r="Y264" s="4" cm="1">
        <f t="array" ref="Y264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4" s="3">
        <f t="shared" si="143"/>
        <v>13.253333333333334</v>
      </c>
      <c r="AA264" s="41">
        <f t="shared" si="144"/>
        <v>124.49698189134809</v>
      </c>
      <c r="AB264" s="1">
        <v>8</v>
      </c>
      <c r="AC264" s="1">
        <v>12</v>
      </c>
      <c r="AD264" s="1">
        <v>4</v>
      </c>
      <c r="AE264" s="1">
        <v>90</v>
      </c>
      <c r="AF264" s="1">
        <v>12</v>
      </c>
      <c r="AG264" s="1">
        <v>5</v>
      </c>
      <c r="AH264" s="3">
        <f t="shared" si="145"/>
        <v>1.1968161616161617</v>
      </c>
      <c r="AI264" s="1">
        <v>5.8</v>
      </c>
      <c r="AJ264" s="1">
        <v>7</v>
      </c>
      <c r="AK264" s="159">
        <v>3.2</v>
      </c>
      <c r="AL264" s="150">
        <v>0.28999999999999998</v>
      </c>
      <c r="AM264" s="1">
        <v>250</v>
      </c>
      <c r="AN264" s="1">
        <v>350</v>
      </c>
      <c r="AO264" s="48">
        <v>5</v>
      </c>
      <c r="AP264" s="44">
        <v>50</v>
      </c>
      <c r="AQ264" s="42">
        <v>0.68</v>
      </c>
      <c r="AR264" s="1">
        <v>45</v>
      </c>
      <c r="AS264" s="1">
        <v>10</v>
      </c>
      <c r="AT264" s="1">
        <v>1</v>
      </c>
      <c r="AU264" s="4">
        <f t="shared" si="146"/>
        <v>22.222222222222221</v>
      </c>
      <c r="AV264" s="3">
        <f t="shared" si="147"/>
        <v>13.33</v>
      </c>
      <c r="AW264" s="1">
        <v>85</v>
      </c>
      <c r="AX264" s="3">
        <f t="shared" si="148"/>
        <v>18.888888888888889</v>
      </c>
      <c r="AY264" s="1">
        <v>1</v>
      </c>
      <c r="AZ264" s="4">
        <f t="shared" si="149"/>
        <v>18.888888888888889</v>
      </c>
      <c r="BA264" s="49">
        <v>0.89</v>
      </c>
      <c r="BB264" s="4">
        <f t="shared" si="150"/>
        <v>16.81111111111111</v>
      </c>
      <c r="BC264" s="50">
        <v>0.155</v>
      </c>
      <c r="BD264" s="69">
        <f>IFERROR(
  MAX(0.05, MIN(0.5, CropNorms_Peanut[[#This Row],[Leaf_Area_Per_Shoot_m2]] * CropNorms_Peanut[[#This Row],[Shoot_Bearing_m2]] )),
  0.2
)</f>
        <v>0.5</v>
      </c>
      <c r="BE264" s="4">
        <f>_xlfn.XLOOKUP(CropNorms_Peanut[[#This Row],[LAI_Start_BBCH]], CropPhenology_Peanut[Sub_Stage], CropPhenology_Peanut[Start_GDD], "Not Found")</f>
        <v>121</v>
      </c>
      <c r="BF264" s="3">
        <f>ROUND(CropNorms_Peanut[[#This Row],[Shoot_Bearing_m2]]*CropNorms_Peanut[[#This Row],[Leaf_Area_Per_Shoot_m2]],2)</f>
        <v>2.61</v>
      </c>
      <c r="BG264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4" s="3">
        <f>IF(CropNorms_Peanut[[#This Row],[Max_LAI]]&gt;=1.2, 0.85*CropNorms_Peanut[[#This Row],[Max_LAI]], 1)</f>
        <v>2.2184999999999997</v>
      </c>
      <c r="BI264" s="41">
        <f>_xlfn.XLOOKUP(CropNorms_Peanut[[#This Row],[LAI_End_BBCH]], CropPhenology_Peanut[Sub_Stage], CropPhenology_Peanut[End_GDD], "Not Found")</f>
        <v>1500</v>
      </c>
      <c r="BJ264" s="3" cm="1">
        <f t="array" ref="BJ264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4" s="3" cm="1">
        <f t="array" ref="BK26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4" s="3" cm="1">
        <f t="array" ref="BL264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4" s="3" cm="1">
        <f t="array" ref="BM26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4" s="42">
        <v>0.34</v>
      </c>
      <c r="BO264" s="43">
        <v>0.15</v>
      </c>
      <c r="BP264" s="42">
        <v>1.41</v>
      </c>
      <c r="BQ264" s="43" t="s">
        <v>1745</v>
      </c>
      <c r="BR264" s="3" t="str" cm="1">
        <f t="array" ref="BR26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4" s="3" t="str" cm="1">
        <f t="array" ref="BS26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4" s="3" t="str" cm="1">
        <f t="array" ref="BT264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4" s="3" t="str" cm="1">
        <f t="array" ref="BU264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4" s="48">
        <v>120</v>
      </c>
      <c r="BW264" s="1">
        <v>55</v>
      </c>
      <c r="BX264" s="44">
        <v>80</v>
      </c>
      <c r="BY264" s="51">
        <v>45762</v>
      </c>
      <c r="BZ264" s="5">
        <v>45792</v>
      </c>
      <c r="CA264" s="85">
        <v>0</v>
      </c>
      <c r="CB264" s="2">
        <v>1</v>
      </c>
      <c r="CC264" s="2">
        <v>1</v>
      </c>
      <c r="CD264" s="2">
        <v>1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P264" s="9"/>
      <c r="CQ264" s="10"/>
    </row>
    <row r="265" spans="2:95" x14ac:dyDescent="0.15">
      <c r="B265" s="36" t="s">
        <v>217</v>
      </c>
      <c r="C265" s="1" t="s">
        <v>227</v>
      </c>
      <c r="K265" s="1" t="s">
        <v>1777</v>
      </c>
      <c r="L265" s="1" t="s">
        <v>1750</v>
      </c>
      <c r="M265" s="1" t="s">
        <v>362</v>
      </c>
      <c r="N265" s="6">
        <v>18.5</v>
      </c>
      <c r="O265" s="1" t="s">
        <v>2</v>
      </c>
      <c r="P265" s="1">
        <v>60</v>
      </c>
      <c r="Q265" s="1">
        <v>12</v>
      </c>
      <c r="R265" s="1">
        <v>12</v>
      </c>
      <c r="S265" s="1">
        <v>30</v>
      </c>
      <c r="T265" s="1">
        <v>35</v>
      </c>
      <c r="U265" s="253">
        <v>4</v>
      </c>
      <c r="V265" s="1">
        <v>100</v>
      </c>
      <c r="W265" s="44">
        <v>150</v>
      </c>
      <c r="X265" s="40">
        <f>_xlfn.XLOOKUP("Ripening", CropPhenology_Peanut[Main_Stage], CropPhenology_Peanut[Start_GDD], "Not Found")</f>
        <v>1501</v>
      </c>
      <c r="Y265" s="4" cm="1">
        <f t="array" ref="Y265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5" s="3">
        <f t="shared" si="143"/>
        <v>13.253333333333334</v>
      </c>
      <c r="AA265" s="41">
        <f t="shared" si="144"/>
        <v>124.49698189134809</v>
      </c>
      <c r="AB265" s="1">
        <v>8</v>
      </c>
      <c r="AC265" s="1">
        <v>12</v>
      </c>
      <c r="AD265" s="1">
        <v>4</v>
      </c>
      <c r="AE265" s="1">
        <v>90</v>
      </c>
      <c r="AF265" s="1">
        <v>12</v>
      </c>
      <c r="AG265" s="1">
        <v>5</v>
      </c>
      <c r="AH265" s="3">
        <f t="shared" si="145"/>
        <v>1.1968161616161617</v>
      </c>
      <c r="AI265" s="1">
        <v>5.8</v>
      </c>
      <c r="AJ265" s="1">
        <v>7</v>
      </c>
      <c r="AK265" s="159">
        <v>3.2</v>
      </c>
      <c r="AL265" s="150">
        <v>0.28999999999999998</v>
      </c>
      <c r="AM265" s="1">
        <v>250</v>
      </c>
      <c r="AN265" s="1">
        <v>350</v>
      </c>
      <c r="AO265" s="48">
        <v>5</v>
      </c>
      <c r="AP265" s="44">
        <v>50</v>
      </c>
      <c r="AQ265" s="42">
        <v>0.7</v>
      </c>
      <c r="AR265" s="1">
        <v>45</v>
      </c>
      <c r="AS265" s="1">
        <v>10</v>
      </c>
      <c r="AT265" s="1">
        <v>1</v>
      </c>
      <c r="AU265" s="4">
        <f t="shared" si="146"/>
        <v>22.222222222222221</v>
      </c>
      <c r="AV265" s="3">
        <f t="shared" si="147"/>
        <v>13.33</v>
      </c>
      <c r="AW265" s="1">
        <v>85</v>
      </c>
      <c r="AX265" s="3">
        <f t="shared" si="148"/>
        <v>18.888888888888889</v>
      </c>
      <c r="AY265" s="1">
        <v>1</v>
      </c>
      <c r="AZ265" s="4">
        <f t="shared" si="149"/>
        <v>18.888888888888889</v>
      </c>
      <c r="BA265" s="49">
        <v>0.89</v>
      </c>
      <c r="BB265" s="4">
        <f t="shared" si="150"/>
        <v>16.81111111111111</v>
      </c>
      <c r="BC265" s="50">
        <v>0.155</v>
      </c>
      <c r="BD265" s="69">
        <f>IFERROR(
  MAX(0.05, MIN(0.5, CropNorms_Peanut[[#This Row],[Leaf_Area_Per_Shoot_m2]] * CropNorms_Peanut[[#This Row],[Shoot_Bearing_m2]] )),
  0.2
)</f>
        <v>0.5</v>
      </c>
      <c r="BE265" s="4">
        <f>_xlfn.XLOOKUP(CropNorms_Peanut[[#This Row],[LAI_Start_BBCH]], CropPhenology_Peanut[Sub_Stage], CropPhenology_Peanut[Start_GDD], "Not Found")</f>
        <v>121</v>
      </c>
      <c r="BF265" s="3">
        <f>ROUND(CropNorms_Peanut[[#This Row],[Shoot_Bearing_m2]]*CropNorms_Peanut[[#This Row],[Leaf_Area_Per_Shoot_m2]],2)</f>
        <v>2.61</v>
      </c>
      <c r="BG265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5" s="3">
        <f>IF(CropNorms_Peanut[[#This Row],[Max_LAI]]&gt;=1.2, 0.85*CropNorms_Peanut[[#This Row],[Max_LAI]], 1)</f>
        <v>2.2184999999999997</v>
      </c>
      <c r="BI265" s="41">
        <f>_xlfn.XLOOKUP(CropNorms_Peanut[[#This Row],[LAI_End_BBCH]], CropPhenology_Peanut[Sub_Stage], CropPhenology_Peanut[End_GDD], "Not Found")</f>
        <v>1500</v>
      </c>
      <c r="BJ265" s="3" cm="1">
        <f t="array" ref="BJ265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5" s="3" cm="1">
        <f t="array" ref="BK26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5" s="3" cm="1">
        <f t="array" ref="BL265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5" s="3" cm="1">
        <f t="array" ref="BM26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5" s="42">
        <v>0.34</v>
      </c>
      <c r="BO265" s="43">
        <v>0.15</v>
      </c>
      <c r="BP265" s="42">
        <v>1.41</v>
      </c>
      <c r="BQ265" s="43" t="s">
        <v>1745</v>
      </c>
      <c r="BR265" s="3" t="str" cm="1">
        <f t="array" ref="BR26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5" s="3" t="str" cm="1">
        <f t="array" ref="BS26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5" s="3" t="str" cm="1">
        <f t="array" ref="BT265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5" s="3" t="str" cm="1">
        <f t="array" ref="BU265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5" s="48">
        <v>120</v>
      </c>
      <c r="BW265" s="1">
        <v>55</v>
      </c>
      <c r="BX265" s="44">
        <v>80</v>
      </c>
      <c r="BY265" s="51">
        <v>45762</v>
      </c>
      <c r="BZ265" s="5">
        <v>45792</v>
      </c>
      <c r="CA265" s="85">
        <v>0</v>
      </c>
      <c r="CB265" s="2">
        <v>1</v>
      </c>
      <c r="CC265" s="2">
        <v>1</v>
      </c>
      <c r="CD265" s="2">
        <v>1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P265" s="9"/>
      <c r="CQ265" s="10"/>
    </row>
    <row r="266" spans="2:95" x14ac:dyDescent="0.15">
      <c r="B266" s="36" t="s">
        <v>217</v>
      </c>
      <c r="C266" s="1" t="s">
        <v>228</v>
      </c>
      <c r="K266" s="1" t="s">
        <v>1777</v>
      </c>
      <c r="L266" s="1" t="s">
        <v>1750</v>
      </c>
      <c r="M266" s="1" t="s">
        <v>362</v>
      </c>
      <c r="N266" s="6">
        <v>18.5</v>
      </c>
      <c r="O266" s="1" t="s">
        <v>2</v>
      </c>
      <c r="P266" s="1">
        <v>60</v>
      </c>
      <c r="Q266" s="1">
        <v>12</v>
      </c>
      <c r="R266" s="1">
        <v>12</v>
      </c>
      <c r="S266" s="1">
        <v>30</v>
      </c>
      <c r="T266" s="1">
        <v>35</v>
      </c>
      <c r="U266" s="253">
        <v>4</v>
      </c>
      <c r="V266" s="1">
        <v>100</v>
      </c>
      <c r="W266" s="44">
        <v>150</v>
      </c>
      <c r="X266" s="40">
        <f>_xlfn.XLOOKUP("Ripening", CropPhenology_Peanut[Main_Stage], CropPhenology_Peanut[Start_GDD], "Not Found")</f>
        <v>1501</v>
      </c>
      <c r="Y266" s="4" cm="1">
        <f t="array" ref="Y266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6" s="3">
        <f t="shared" si="143"/>
        <v>13.253333333333334</v>
      </c>
      <c r="AA266" s="41">
        <f t="shared" si="144"/>
        <v>124.49698189134809</v>
      </c>
      <c r="AB266" s="1">
        <v>8</v>
      </c>
      <c r="AC266" s="1">
        <v>12</v>
      </c>
      <c r="AD266" s="1">
        <v>4</v>
      </c>
      <c r="AE266" s="1">
        <v>90</v>
      </c>
      <c r="AF266" s="1">
        <v>12</v>
      </c>
      <c r="AG266" s="1">
        <v>5</v>
      </c>
      <c r="AH266" s="3">
        <f t="shared" si="145"/>
        <v>1.1968161616161617</v>
      </c>
      <c r="AI266" s="1">
        <v>5.8</v>
      </c>
      <c r="AJ266" s="1">
        <v>7</v>
      </c>
      <c r="AK266" s="159">
        <v>3.2</v>
      </c>
      <c r="AL266" s="150">
        <v>0.28999999999999998</v>
      </c>
      <c r="AM266" s="1">
        <v>250</v>
      </c>
      <c r="AN266" s="1">
        <v>350</v>
      </c>
      <c r="AO266" s="48">
        <v>5</v>
      </c>
      <c r="AP266" s="44">
        <v>50</v>
      </c>
      <c r="AQ266" s="42">
        <v>0.76</v>
      </c>
      <c r="AR266" s="1">
        <v>45</v>
      </c>
      <c r="AS266" s="1">
        <v>10</v>
      </c>
      <c r="AT266" s="1">
        <v>1</v>
      </c>
      <c r="AU266" s="4">
        <f t="shared" si="146"/>
        <v>22.222222222222221</v>
      </c>
      <c r="AV266" s="3">
        <f t="shared" si="147"/>
        <v>13.33</v>
      </c>
      <c r="AW266" s="1">
        <v>85</v>
      </c>
      <c r="AX266" s="3">
        <f t="shared" si="148"/>
        <v>18.888888888888889</v>
      </c>
      <c r="AY266" s="1">
        <v>1</v>
      </c>
      <c r="AZ266" s="4">
        <f t="shared" si="149"/>
        <v>18.888888888888889</v>
      </c>
      <c r="BA266" s="49">
        <v>0.89</v>
      </c>
      <c r="BB266" s="4">
        <f t="shared" si="150"/>
        <v>16.81111111111111</v>
      </c>
      <c r="BC266" s="50">
        <v>0.155</v>
      </c>
      <c r="BD266" s="69">
        <f>IFERROR(
  MAX(0.05, MIN(0.5, CropNorms_Peanut[[#This Row],[Leaf_Area_Per_Shoot_m2]] * CropNorms_Peanut[[#This Row],[Shoot_Bearing_m2]] )),
  0.2
)</f>
        <v>0.5</v>
      </c>
      <c r="BE266" s="4">
        <f>_xlfn.XLOOKUP(CropNorms_Peanut[[#This Row],[LAI_Start_BBCH]], CropPhenology_Peanut[Sub_Stage], CropPhenology_Peanut[Start_GDD], "Not Found")</f>
        <v>121</v>
      </c>
      <c r="BF266" s="3">
        <f>ROUND(CropNorms_Peanut[[#This Row],[Shoot_Bearing_m2]]*CropNorms_Peanut[[#This Row],[Leaf_Area_Per_Shoot_m2]],2)</f>
        <v>2.61</v>
      </c>
      <c r="BG266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6" s="3">
        <f>IF(CropNorms_Peanut[[#This Row],[Max_LAI]]&gt;=1.2, 0.85*CropNorms_Peanut[[#This Row],[Max_LAI]], 1)</f>
        <v>2.2184999999999997</v>
      </c>
      <c r="BI266" s="41">
        <f>_xlfn.XLOOKUP(CropNorms_Peanut[[#This Row],[LAI_End_BBCH]], CropPhenology_Peanut[Sub_Stage], CropPhenology_Peanut[End_GDD], "Not Found")</f>
        <v>1500</v>
      </c>
      <c r="BJ266" s="3" cm="1">
        <f t="array" ref="BJ266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6" s="3" cm="1">
        <f t="array" ref="BK26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6" s="3" cm="1">
        <f t="array" ref="BL266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6" s="3" cm="1">
        <f t="array" ref="BM26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6" s="42">
        <v>0.34</v>
      </c>
      <c r="BO266" s="43">
        <v>0.15</v>
      </c>
      <c r="BP266" s="42">
        <v>1.41</v>
      </c>
      <c r="BQ266" s="43" t="s">
        <v>1745</v>
      </c>
      <c r="BR266" s="3" t="str" cm="1">
        <f t="array" ref="BR26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6" s="3" t="str" cm="1">
        <f t="array" ref="BS26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6" s="3" t="str" cm="1">
        <f t="array" ref="BT266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6" s="3" t="str" cm="1">
        <f t="array" ref="BU266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6" s="48">
        <v>120</v>
      </c>
      <c r="BW266" s="1">
        <v>55</v>
      </c>
      <c r="BX266" s="44">
        <v>80</v>
      </c>
      <c r="BY266" s="51">
        <v>45762</v>
      </c>
      <c r="BZ266" s="5">
        <v>45792</v>
      </c>
      <c r="CA266" s="85">
        <v>0</v>
      </c>
      <c r="CB266" s="2">
        <v>1</v>
      </c>
      <c r="CC266" s="2">
        <v>1</v>
      </c>
      <c r="CD266" s="2">
        <v>1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P266" s="9"/>
      <c r="CQ266" s="10"/>
    </row>
    <row r="267" spans="2:95" x14ac:dyDescent="0.15">
      <c r="B267" s="36" t="s">
        <v>217</v>
      </c>
      <c r="C267" s="1" t="s">
        <v>230</v>
      </c>
      <c r="K267" s="1" t="s">
        <v>1777</v>
      </c>
      <c r="L267" s="1" t="s">
        <v>1750</v>
      </c>
      <c r="M267" s="1" t="s">
        <v>362</v>
      </c>
      <c r="N267" s="6">
        <v>18.5</v>
      </c>
      <c r="O267" s="1" t="s">
        <v>2</v>
      </c>
      <c r="P267" s="1">
        <v>60</v>
      </c>
      <c r="Q267" s="1">
        <v>12</v>
      </c>
      <c r="R267" s="1">
        <v>12</v>
      </c>
      <c r="S267" s="1">
        <v>30</v>
      </c>
      <c r="T267" s="1">
        <v>35</v>
      </c>
      <c r="U267" s="253">
        <v>4</v>
      </c>
      <c r="V267" s="1">
        <v>100</v>
      </c>
      <c r="W267" s="44">
        <v>150</v>
      </c>
      <c r="X267" s="40">
        <f>_xlfn.XLOOKUP("Ripening", CropPhenology_Peanut[Main_Stage], CropPhenology_Peanut[Start_GDD], "Not Found")</f>
        <v>1501</v>
      </c>
      <c r="Y267" s="4" cm="1">
        <f t="array" ref="Y267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7" s="3">
        <f t="shared" si="143"/>
        <v>13.253333333333334</v>
      </c>
      <c r="AA267" s="41">
        <f t="shared" si="144"/>
        <v>124.49698189134809</v>
      </c>
      <c r="AB267" s="1">
        <v>8</v>
      </c>
      <c r="AC267" s="1">
        <v>12</v>
      </c>
      <c r="AD267" s="1">
        <v>4</v>
      </c>
      <c r="AE267" s="1">
        <v>90</v>
      </c>
      <c r="AF267" s="1">
        <v>12</v>
      </c>
      <c r="AG267" s="1">
        <v>5</v>
      </c>
      <c r="AH267" s="3">
        <f t="shared" si="145"/>
        <v>1.1968161616161617</v>
      </c>
      <c r="AI267" s="1">
        <v>5.8</v>
      </c>
      <c r="AJ267" s="1">
        <v>7</v>
      </c>
      <c r="AK267" s="159">
        <v>3.2</v>
      </c>
      <c r="AL267" s="150">
        <v>0.28999999999999998</v>
      </c>
      <c r="AM267" s="1">
        <v>250</v>
      </c>
      <c r="AN267" s="1">
        <v>350</v>
      </c>
      <c r="AO267" s="48">
        <v>5</v>
      </c>
      <c r="AP267" s="44">
        <v>50</v>
      </c>
      <c r="AQ267" s="42">
        <v>0.75</v>
      </c>
      <c r="AR267" s="1">
        <v>45</v>
      </c>
      <c r="AS267" s="1">
        <v>10</v>
      </c>
      <c r="AT267" s="1">
        <v>1</v>
      </c>
      <c r="AU267" s="4">
        <f t="shared" si="146"/>
        <v>22.222222222222221</v>
      </c>
      <c r="AV267" s="3">
        <f t="shared" si="147"/>
        <v>13.33</v>
      </c>
      <c r="AW267" s="1">
        <v>85</v>
      </c>
      <c r="AX267" s="3">
        <f t="shared" si="148"/>
        <v>18.888888888888889</v>
      </c>
      <c r="AY267" s="1">
        <v>1</v>
      </c>
      <c r="AZ267" s="4">
        <f t="shared" si="149"/>
        <v>18.888888888888889</v>
      </c>
      <c r="BA267" s="49">
        <v>0.89</v>
      </c>
      <c r="BB267" s="4">
        <f t="shared" si="150"/>
        <v>16.81111111111111</v>
      </c>
      <c r="BC267" s="50">
        <v>0.155</v>
      </c>
      <c r="BD267" s="69">
        <f>IFERROR(
  MAX(0.05, MIN(0.5, CropNorms_Peanut[[#This Row],[Leaf_Area_Per_Shoot_m2]] * CropNorms_Peanut[[#This Row],[Shoot_Bearing_m2]] )),
  0.2
)</f>
        <v>0.5</v>
      </c>
      <c r="BE267" s="4">
        <f>_xlfn.XLOOKUP(CropNorms_Peanut[[#This Row],[LAI_Start_BBCH]], CropPhenology_Peanut[Sub_Stage], CropPhenology_Peanut[Start_GDD], "Not Found")</f>
        <v>121</v>
      </c>
      <c r="BF267" s="3">
        <f>ROUND(CropNorms_Peanut[[#This Row],[Shoot_Bearing_m2]]*CropNorms_Peanut[[#This Row],[Leaf_Area_Per_Shoot_m2]],2)</f>
        <v>2.61</v>
      </c>
      <c r="BG267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7" s="3">
        <f>IF(CropNorms_Peanut[[#This Row],[Max_LAI]]&gt;=1.2, 0.85*CropNorms_Peanut[[#This Row],[Max_LAI]], 1)</f>
        <v>2.2184999999999997</v>
      </c>
      <c r="BI267" s="41">
        <f>_xlfn.XLOOKUP(CropNorms_Peanut[[#This Row],[LAI_End_BBCH]], CropPhenology_Peanut[Sub_Stage], CropPhenology_Peanut[End_GDD], "Not Found")</f>
        <v>1500</v>
      </c>
      <c r="BJ267" s="3" cm="1">
        <f t="array" ref="BJ267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7" s="3" cm="1">
        <f t="array" ref="BK26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7" s="3" cm="1">
        <f t="array" ref="BL267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7" s="3" cm="1">
        <f t="array" ref="BM26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7" s="42">
        <v>0.34</v>
      </c>
      <c r="BO267" s="43">
        <v>0.15</v>
      </c>
      <c r="BP267" s="42">
        <v>1.41</v>
      </c>
      <c r="BQ267" s="43" t="s">
        <v>1745</v>
      </c>
      <c r="BR267" s="3" t="str" cm="1">
        <f t="array" ref="BR26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7" s="3" t="str" cm="1">
        <f t="array" ref="BS26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7" s="3" t="str" cm="1">
        <f t="array" ref="BT267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7" s="3" t="str" cm="1">
        <f t="array" ref="BU267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7" s="48">
        <v>120</v>
      </c>
      <c r="BW267" s="1">
        <v>55</v>
      </c>
      <c r="BX267" s="44">
        <v>80</v>
      </c>
      <c r="BY267" s="51">
        <v>45762</v>
      </c>
      <c r="BZ267" s="5">
        <v>45792</v>
      </c>
      <c r="CA267" s="85">
        <v>0</v>
      </c>
      <c r="CB267" s="2">
        <v>1</v>
      </c>
      <c r="CC267" s="2">
        <v>1</v>
      </c>
      <c r="CD267" s="2">
        <v>1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P267" s="9"/>
      <c r="CQ267" s="10"/>
    </row>
    <row r="268" spans="2:95" x14ac:dyDescent="0.15">
      <c r="B268" s="36" t="s">
        <v>217</v>
      </c>
      <c r="C268" s="1" t="s">
        <v>231</v>
      </c>
      <c r="K268" s="1" t="s">
        <v>1777</v>
      </c>
      <c r="L268" s="1" t="s">
        <v>1750</v>
      </c>
      <c r="M268" s="1" t="s">
        <v>362</v>
      </c>
      <c r="N268" s="6">
        <v>18.5</v>
      </c>
      <c r="O268" s="1" t="s">
        <v>2</v>
      </c>
      <c r="P268" s="1">
        <v>60</v>
      </c>
      <c r="Q268" s="1">
        <v>12</v>
      </c>
      <c r="R268" s="1">
        <v>12</v>
      </c>
      <c r="S268" s="1">
        <v>30</v>
      </c>
      <c r="T268" s="1">
        <v>35</v>
      </c>
      <c r="U268" s="253">
        <v>4</v>
      </c>
      <c r="V268" s="1">
        <v>100</v>
      </c>
      <c r="W268" s="44">
        <v>150</v>
      </c>
      <c r="X268" s="40">
        <f>_xlfn.XLOOKUP("Ripening", CropPhenology_Peanut[Main_Stage], CropPhenology_Peanut[Start_GDD], "Not Found")</f>
        <v>1501</v>
      </c>
      <c r="Y268" s="4" cm="1">
        <f t="array" ref="Y268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8" s="3">
        <f t="shared" si="143"/>
        <v>13.253333333333334</v>
      </c>
      <c r="AA268" s="41">
        <f t="shared" si="144"/>
        <v>124.49698189134809</v>
      </c>
      <c r="AB268" s="1">
        <v>8</v>
      </c>
      <c r="AC268" s="1">
        <v>12</v>
      </c>
      <c r="AD268" s="1">
        <v>4</v>
      </c>
      <c r="AE268" s="1">
        <v>90</v>
      </c>
      <c r="AF268" s="1">
        <v>12</v>
      </c>
      <c r="AG268" s="1">
        <v>5</v>
      </c>
      <c r="AH268" s="3">
        <f t="shared" si="145"/>
        <v>1.1968161616161617</v>
      </c>
      <c r="AI268" s="1">
        <v>5.8</v>
      </c>
      <c r="AJ268" s="1">
        <v>7</v>
      </c>
      <c r="AK268" s="159">
        <v>3.2</v>
      </c>
      <c r="AL268" s="150">
        <v>0.28999999999999998</v>
      </c>
      <c r="AM268" s="1">
        <v>250</v>
      </c>
      <c r="AN268" s="1">
        <v>350</v>
      </c>
      <c r="AO268" s="48">
        <v>5</v>
      </c>
      <c r="AP268" s="44">
        <v>50</v>
      </c>
      <c r="AQ268" s="42">
        <v>0.74</v>
      </c>
      <c r="AR268" s="1">
        <v>45</v>
      </c>
      <c r="AS268" s="1">
        <v>10</v>
      </c>
      <c r="AT268" s="1">
        <v>1</v>
      </c>
      <c r="AU268" s="4">
        <f t="shared" si="146"/>
        <v>22.222222222222221</v>
      </c>
      <c r="AV268" s="3">
        <f t="shared" si="147"/>
        <v>13.33</v>
      </c>
      <c r="AW268" s="1">
        <v>85</v>
      </c>
      <c r="AX268" s="3">
        <f t="shared" si="148"/>
        <v>18.888888888888889</v>
      </c>
      <c r="AY268" s="1">
        <v>1</v>
      </c>
      <c r="AZ268" s="4">
        <f t="shared" si="149"/>
        <v>18.888888888888889</v>
      </c>
      <c r="BA268" s="49">
        <v>0.89</v>
      </c>
      <c r="BB268" s="4">
        <f t="shared" si="150"/>
        <v>16.81111111111111</v>
      </c>
      <c r="BC268" s="50">
        <v>0.155</v>
      </c>
      <c r="BD268" s="69">
        <f>IFERROR(
  MAX(0.05, MIN(0.5, CropNorms_Peanut[[#This Row],[Leaf_Area_Per_Shoot_m2]] * CropNorms_Peanut[[#This Row],[Shoot_Bearing_m2]] )),
  0.2
)</f>
        <v>0.5</v>
      </c>
      <c r="BE268" s="4">
        <f>_xlfn.XLOOKUP(CropNorms_Peanut[[#This Row],[LAI_Start_BBCH]], CropPhenology_Peanut[Sub_Stage], CropPhenology_Peanut[Start_GDD], "Not Found")</f>
        <v>121</v>
      </c>
      <c r="BF268" s="3">
        <f>ROUND(CropNorms_Peanut[[#This Row],[Shoot_Bearing_m2]]*CropNorms_Peanut[[#This Row],[Leaf_Area_Per_Shoot_m2]],2)</f>
        <v>2.61</v>
      </c>
      <c r="BG268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8" s="3">
        <f>IF(CropNorms_Peanut[[#This Row],[Max_LAI]]&gt;=1.2, 0.85*CropNorms_Peanut[[#This Row],[Max_LAI]], 1)</f>
        <v>2.2184999999999997</v>
      </c>
      <c r="BI268" s="41">
        <f>_xlfn.XLOOKUP(CropNorms_Peanut[[#This Row],[LAI_End_BBCH]], CropPhenology_Peanut[Sub_Stage], CropPhenology_Peanut[End_GDD], "Not Found")</f>
        <v>1500</v>
      </c>
      <c r="BJ268" s="3" cm="1">
        <f t="array" ref="BJ268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8" s="3" cm="1">
        <f t="array" ref="BK26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8" s="3" cm="1">
        <f t="array" ref="BL268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8" s="3" cm="1">
        <f t="array" ref="BM26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8" s="42">
        <v>0.34</v>
      </c>
      <c r="BO268" s="43">
        <v>0.15</v>
      </c>
      <c r="BP268" s="42">
        <v>1.41</v>
      </c>
      <c r="BQ268" s="43" t="s">
        <v>1745</v>
      </c>
      <c r="BR268" s="3" t="str" cm="1">
        <f t="array" ref="BR26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8" s="3" t="str" cm="1">
        <f t="array" ref="BS26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8" s="3" t="str" cm="1">
        <f t="array" ref="BT268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8" s="3" t="str" cm="1">
        <f t="array" ref="BU268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8" s="48">
        <v>120</v>
      </c>
      <c r="BW268" s="1">
        <v>55</v>
      </c>
      <c r="BX268" s="44">
        <v>80</v>
      </c>
      <c r="BY268" s="51">
        <v>45762</v>
      </c>
      <c r="BZ268" s="5">
        <v>45792</v>
      </c>
      <c r="CA268" s="85">
        <v>0</v>
      </c>
      <c r="CB268" s="2">
        <v>1</v>
      </c>
      <c r="CC268" s="2">
        <v>1</v>
      </c>
      <c r="CD268" s="2">
        <v>1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P268" s="9"/>
      <c r="CQ268" s="10"/>
    </row>
    <row r="269" spans="2:95" ht="11.25" thickBot="1" x14ac:dyDescent="0.2">
      <c r="B269" s="36" t="s">
        <v>217</v>
      </c>
      <c r="C269" s="1" t="s">
        <v>232</v>
      </c>
      <c r="K269" s="1" t="s">
        <v>1777</v>
      </c>
      <c r="L269" s="1" t="s">
        <v>1750</v>
      </c>
      <c r="M269" s="1" t="s">
        <v>362</v>
      </c>
      <c r="N269" s="6">
        <v>18.5</v>
      </c>
      <c r="O269" s="1" t="s">
        <v>2</v>
      </c>
      <c r="P269" s="1">
        <v>60</v>
      </c>
      <c r="Q269" s="1">
        <v>12</v>
      </c>
      <c r="R269" s="1">
        <v>12</v>
      </c>
      <c r="S269" s="1">
        <v>30</v>
      </c>
      <c r="T269" s="1">
        <v>35</v>
      </c>
      <c r="U269" s="254">
        <v>4</v>
      </c>
      <c r="V269" s="1">
        <v>100</v>
      </c>
      <c r="W269" s="44">
        <v>150</v>
      </c>
      <c r="X269" s="40">
        <f>_xlfn.XLOOKUP("Ripening", CropPhenology_Peanut[Main_Stage], CropPhenology_Peanut[Start_GDD], "Not Found")</f>
        <v>1501</v>
      </c>
      <c r="Y269" s="4" cm="1">
        <f t="array" ref="Y269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Z269" s="3">
        <f t="shared" si="143"/>
        <v>13.253333333333334</v>
      </c>
      <c r="AA269" s="41">
        <f t="shared" si="144"/>
        <v>124.49698189134809</v>
      </c>
      <c r="AB269" s="1">
        <v>8</v>
      </c>
      <c r="AC269" s="1">
        <v>12</v>
      </c>
      <c r="AD269" s="1">
        <v>4</v>
      </c>
      <c r="AE269" s="1">
        <v>90</v>
      </c>
      <c r="AF269" s="1">
        <v>12</v>
      </c>
      <c r="AG269" s="1">
        <v>5</v>
      </c>
      <c r="AH269" s="3">
        <f t="shared" si="145"/>
        <v>1.1968161616161617</v>
      </c>
      <c r="AI269" s="1">
        <v>5.8</v>
      </c>
      <c r="AJ269" s="1">
        <v>7</v>
      </c>
      <c r="AK269" s="160">
        <v>3.2</v>
      </c>
      <c r="AL269" s="161">
        <v>0.28999999999999998</v>
      </c>
      <c r="AM269" s="1">
        <v>250</v>
      </c>
      <c r="AN269" s="1">
        <v>350</v>
      </c>
      <c r="AO269" s="48">
        <v>5</v>
      </c>
      <c r="AP269" s="44">
        <v>50</v>
      </c>
      <c r="AQ269" s="42">
        <v>0.72</v>
      </c>
      <c r="AR269" s="1">
        <v>45</v>
      </c>
      <c r="AS269" s="1">
        <v>10</v>
      </c>
      <c r="AT269" s="1">
        <v>1</v>
      </c>
      <c r="AU269" s="4">
        <f t="shared" si="146"/>
        <v>22.222222222222221</v>
      </c>
      <c r="AV269" s="3">
        <f t="shared" si="147"/>
        <v>13.33</v>
      </c>
      <c r="AW269" s="1">
        <v>85</v>
      </c>
      <c r="AX269" s="3">
        <f t="shared" si="148"/>
        <v>18.888888888888889</v>
      </c>
      <c r="AY269" s="1">
        <v>1</v>
      </c>
      <c r="AZ269" s="4">
        <f t="shared" si="149"/>
        <v>18.888888888888889</v>
      </c>
      <c r="BA269" s="49">
        <v>0.89</v>
      </c>
      <c r="BB269" s="4">
        <f t="shared" si="150"/>
        <v>16.81111111111111</v>
      </c>
      <c r="BC269" s="50">
        <v>0.155</v>
      </c>
      <c r="BD269" s="69">
        <f>IFERROR(
  MAX(0.05, MIN(0.5, CropNorms_Peanut[[#This Row],[Leaf_Area_Per_Shoot_m2]] * CropNorms_Peanut[[#This Row],[Shoot_Bearing_m2]] )),
  0.2
)</f>
        <v>0.5</v>
      </c>
      <c r="BE269" s="4">
        <f>_xlfn.XLOOKUP(CropNorms_Peanut[[#This Row],[LAI_Start_BBCH]], CropPhenology_Peanut[Sub_Stage], CropPhenology_Peanut[Start_GDD], "Not Found")</f>
        <v>121</v>
      </c>
      <c r="BF269" s="3">
        <f>ROUND(CropNorms_Peanut[[#This Row],[Shoot_Bearing_m2]]*CropNorms_Peanut[[#This Row],[Leaf_Area_Per_Shoot_m2]],2)</f>
        <v>2.61</v>
      </c>
      <c r="BG269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H269" s="3">
        <f>IF(CropNorms_Peanut[[#This Row],[Max_LAI]]&gt;=1.2, 0.85*CropNorms_Peanut[[#This Row],[Max_LAI]], 1)</f>
        <v>2.2184999999999997</v>
      </c>
      <c r="BI269" s="41">
        <f>_xlfn.XLOOKUP(CropNorms_Peanut[[#This Row],[LAI_End_BBCH]], CropPhenology_Peanut[Sub_Stage], CropPhenology_Peanut[End_GDD], "Not Found")</f>
        <v>1500</v>
      </c>
      <c r="BJ269" s="3" cm="1">
        <f t="array" ref="BJ269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K269" s="3" cm="1">
        <f t="array" ref="BK26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L269" s="3" cm="1">
        <f t="array" ref="BL269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M269" s="3" cm="1">
        <f t="array" ref="BM26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69" s="42">
        <v>0.34</v>
      </c>
      <c r="BO269" s="43">
        <v>0.15</v>
      </c>
      <c r="BP269" s="42">
        <v>1.41</v>
      </c>
      <c r="BQ269" s="43" t="s">
        <v>1745</v>
      </c>
      <c r="BR269" s="3" t="str" cm="1">
        <f t="array" ref="BR26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69" s="3" t="str" cm="1">
        <f t="array" ref="BS26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T269" s="3" t="str" cm="1">
        <f t="array" ref="BT269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U269" s="3" t="str" cm="1">
        <f t="array" ref="BU269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V269" s="48">
        <v>120</v>
      </c>
      <c r="BW269" s="1">
        <v>55</v>
      </c>
      <c r="BX269" s="44">
        <v>80</v>
      </c>
      <c r="BY269" s="51">
        <v>45762</v>
      </c>
      <c r="BZ269" s="5">
        <v>45792</v>
      </c>
      <c r="CA269" s="85">
        <v>0</v>
      </c>
      <c r="CB269" s="2">
        <v>1</v>
      </c>
      <c r="CC269" s="2">
        <v>1</v>
      </c>
      <c r="CD269" s="2">
        <v>1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P269" s="9"/>
      <c r="CQ269" s="10"/>
    </row>
    <row r="270" spans="2:95" ht="11.25" thickBot="1" x14ac:dyDescent="0.2">
      <c r="Y270" s="3"/>
      <c r="Z270" s="4"/>
      <c r="AG270" s="3"/>
      <c r="AR270" s="4"/>
      <c r="AS270" s="3"/>
      <c r="AU270" s="3"/>
      <c r="AW270" s="4"/>
      <c r="AX270" s="49"/>
      <c r="AY270" s="4"/>
      <c r="BV270" s="51"/>
      <c r="BW270" s="51"/>
      <c r="CP270" s="9"/>
      <c r="CQ270" s="10"/>
    </row>
    <row r="271" spans="2:95" ht="11.25" thickBot="1" x14ac:dyDescent="0.2">
      <c r="B271" s="147" t="s">
        <v>1753</v>
      </c>
      <c r="C271" s="53" t="s">
        <v>1754</v>
      </c>
      <c r="D271" s="53" t="s">
        <v>1804</v>
      </c>
      <c r="E271" s="53" t="s">
        <v>1805</v>
      </c>
      <c r="F271" s="53" t="s">
        <v>1806</v>
      </c>
      <c r="G271" s="53" t="s">
        <v>1807</v>
      </c>
      <c r="H271" s="53" t="s">
        <v>1808</v>
      </c>
      <c r="I271" s="53" t="s">
        <v>1809</v>
      </c>
      <c r="J271" s="53" t="s">
        <v>1810</v>
      </c>
      <c r="K271" s="53" t="s">
        <v>1747</v>
      </c>
      <c r="L271" s="54" t="s">
        <v>1749</v>
      </c>
      <c r="M271" s="53" t="s">
        <v>357</v>
      </c>
      <c r="N271" s="55" t="s">
        <v>692</v>
      </c>
      <c r="O271" s="53" t="s">
        <v>325</v>
      </c>
      <c r="P271" s="53" t="s">
        <v>356</v>
      </c>
      <c r="Q271" s="53" t="s">
        <v>326</v>
      </c>
      <c r="R271" s="53" t="s">
        <v>327</v>
      </c>
      <c r="S271" s="53" t="s">
        <v>328</v>
      </c>
      <c r="T271" s="53" t="s">
        <v>329</v>
      </c>
      <c r="U271" s="250" t="s">
        <v>2349</v>
      </c>
      <c r="V271" s="53" t="s">
        <v>330</v>
      </c>
      <c r="W271" s="53" t="s">
        <v>331</v>
      </c>
      <c r="X271" s="56" t="s">
        <v>354</v>
      </c>
      <c r="Y271" s="57" t="s">
        <v>355</v>
      </c>
      <c r="Z271" s="58" t="s">
        <v>413</v>
      </c>
      <c r="AA271" s="59" t="s">
        <v>583</v>
      </c>
      <c r="AB271" s="53" t="s">
        <v>324</v>
      </c>
      <c r="AC271" s="53" t="s">
        <v>332</v>
      </c>
      <c r="AD271" s="53" t="s">
        <v>333</v>
      </c>
      <c r="AE271" s="53" t="s">
        <v>334</v>
      </c>
      <c r="AF271" s="53" t="s">
        <v>335</v>
      </c>
      <c r="AG271" s="53" t="s">
        <v>336</v>
      </c>
      <c r="AH271" s="60" t="s">
        <v>337</v>
      </c>
      <c r="AI271" s="53" t="s">
        <v>338</v>
      </c>
      <c r="AJ271" s="53" t="s">
        <v>339</v>
      </c>
      <c r="AK271" s="157" t="s">
        <v>2346</v>
      </c>
      <c r="AL271" s="158" t="s">
        <v>2347</v>
      </c>
      <c r="AM271" s="53" t="s">
        <v>340</v>
      </c>
      <c r="AN271" s="53" t="s">
        <v>341</v>
      </c>
      <c r="AO271" s="61" t="s">
        <v>342</v>
      </c>
      <c r="AP271" s="62" t="s">
        <v>343</v>
      </c>
      <c r="AQ271" s="55" t="s">
        <v>344</v>
      </c>
      <c r="AR271" s="53" t="s">
        <v>345</v>
      </c>
      <c r="AS271" s="53" t="s">
        <v>346</v>
      </c>
      <c r="AT271" s="53" t="s">
        <v>364</v>
      </c>
      <c r="AU271" s="60" t="s">
        <v>347</v>
      </c>
      <c r="AV271" s="58" t="s">
        <v>363</v>
      </c>
      <c r="AW271" s="53" t="s">
        <v>348</v>
      </c>
      <c r="AX271" s="58" t="s">
        <v>349</v>
      </c>
      <c r="AY271" s="53" t="s">
        <v>366</v>
      </c>
      <c r="AZ271" s="60" t="s">
        <v>350</v>
      </c>
      <c r="BA271" s="53" t="s">
        <v>365</v>
      </c>
      <c r="BB271" s="60" t="s">
        <v>1827</v>
      </c>
      <c r="BC271" s="63" t="s">
        <v>351</v>
      </c>
      <c r="BD271" s="71" t="s">
        <v>1811</v>
      </c>
      <c r="BE271" s="57" t="s">
        <v>352</v>
      </c>
      <c r="BF271" s="58" t="s">
        <v>1812</v>
      </c>
      <c r="BG271" s="57" t="s">
        <v>1752</v>
      </c>
      <c r="BH271" s="60" t="s">
        <v>1813</v>
      </c>
      <c r="BI271" s="59" t="s">
        <v>353</v>
      </c>
      <c r="BJ271" s="71" t="s">
        <v>1828</v>
      </c>
      <c r="BK271" s="58" t="s">
        <v>1829</v>
      </c>
      <c r="BL271" s="58" t="s">
        <v>1830</v>
      </c>
      <c r="BM271" s="72" t="s">
        <v>1831</v>
      </c>
      <c r="BN271" s="64" t="s">
        <v>1154</v>
      </c>
      <c r="BO271" s="65" t="s">
        <v>1742</v>
      </c>
      <c r="BP271" s="64" t="s">
        <v>1155</v>
      </c>
      <c r="BQ271" s="65" t="s">
        <v>1755</v>
      </c>
      <c r="BR271" s="58" t="s">
        <v>367</v>
      </c>
      <c r="BS271" s="58" t="s">
        <v>1751</v>
      </c>
      <c r="BT271" s="58" t="s">
        <v>368</v>
      </c>
      <c r="BU271" s="60" t="s">
        <v>1814</v>
      </c>
      <c r="BV271" s="61" t="s">
        <v>369</v>
      </c>
      <c r="BW271" s="53" t="s">
        <v>370</v>
      </c>
      <c r="BX271" s="62" t="s">
        <v>371</v>
      </c>
      <c r="BY271" s="53" t="s">
        <v>359</v>
      </c>
      <c r="BZ271" s="53" t="s">
        <v>361</v>
      </c>
      <c r="CA271" s="61" t="s">
        <v>1815</v>
      </c>
      <c r="CB271" s="53" t="s">
        <v>1816</v>
      </c>
      <c r="CC271" s="53" t="s">
        <v>1817</v>
      </c>
      <c r="CD271" s="53" t="s">
        <v>1818</v>
      </c>
      <c r="CE271" s="53" t="s">
        <v>1819</v>
      </c>
      <c r="CF271" s="53" t="s">
        <v>1820</v>
      </c>
      <c r="CG271" s="53" t="s">
        <v>1821</v>
      </c>
      <c r="CH271" s="53" t="s">
        <v>1822</v>
      </c>
      <c r="CI271" s="53" t="s">
        <v>1823</v>
      </c>
      <c r="CJ271" s="53" t="s">
        <v>1824</v>
      </c>
      <c r="CK271" s="53" t="s">
        <v>1825</v>
      </c>
      <c r="CL271" s="53" t="s">
        <v>1826</v>
      </c>
      <c r="CP271" s="9"/>
      <c r="CQ271" s="10"/>
    </row>
    <row r="272" spans="2:95" x14ac:dyDescent="0.15">
      <c r="B272" s="103" t="s">
        <v>233</v>
      </c>
      <c r="C272" s="1" t="s">
        <v>234</v>
      </c>
      <c r="D272" s="1" t="s">
        <v>2088</v>
      </c>
      <c r="E272" s="1" t="s">
        <v>2076</v>
      </c>
      <c r="F272" s="1">
        <v>53</v>
      </c>
      <c r="G272" s="1" t="s">
        <v>2090</v>
      </c>
      <c r="H272" s="1" t="s">
        <v>2095</v>
      </c>
      <c r="J272" s="1" t="s">
        <v>2107</v>
      </c>
      <c r="K272" s="1" t="s">
        <v>1770</v>
      </c>
      <c r="L272" s="1" t="s">
        <v>1750</v>
      </c>
      <c r="M272" s="1" t="s">
        <v>362</v>
      </c>
      <c r="N272" s="6">
        <v>9.2799999999999994</v>
      </c>
      <c r="O272" s="1" t="s">
        <v>4</v>
      </c>
      <c r="P272" s="1">
        <v>45000</v>
      </c>
      <c r="Q272" s="1">
        <v>4</v>
      </c>
      <c r="R272" s="1">
        <v>6</v>
      </c>
      <c r="S272" s="1">
        <v>20</v>
      </c>
      <c r="T272" s="1">
        <v>30</v>
      </c>
      <c r="U272" s="253">
        <v>9</v>
      </c>
      <c r="V272" s="1">
        <v>90</v>
      </c>
      <c r="W272" s="44">
        <v>140</v>
      </c>
      <c r="X272" s="40">
        <f>_xlfn.XLOOKUP("Ripening", CropPhenology_Potato[Main_Stage], CropPhenology_Potato[Start_GDD], "Not Found")</f>
        <v>2461</v>
      </c>
      <c r="Y272" s="4" cm="1">
        <f t="array" ref="Y272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2" s="3">
        <f t="shared" ref="Z272:Z284" si="151">MIN(Y272/V272,MAX(X272/W272,R272,(X272/W272+Y272/V272)/2))</f>
        <v>23.233730158730161</v>
      </c>
      <c r="AA272" s="41">
        <f t="shared" ref="AA272:AA284" si="152">Y272/Z272</f>
        <v>111.90626654597003</v>
      </c>
      <c r="AB272" s="1">
        <v>7</v>
      </c>
      <c r="AC272" s="1">
        <v>10</v>
      </c>
      <c r="AD272" s="1">
        <v>4</v>
      </c>
      <c r="AE272" s="1">
        <v>90</v>
      </c>
      <c r="AF272" s="1">
        <v>5</v>
      </c>
      <c r="AG272" s="1">
        <v>5</v>
      </c>
      <c r="AH272" s="3">
        <f t="shared" si="137"/>
        <v>1.2421109584859586</v>
      </c>
      <c r="AI272" s="1">
        <v>4.8</v>
      </c>
      <c r="AJ272" s="1">
        <v>5.5</v>
      </c>
      <c r="AK272" s="159">
        <v>1.7</v>
      </c>
      <c r="AL272" s="150">
        <v>0.12</v>
      </c>
      <c r="AM272" s="1">
        <v>450</v>
      </c>
      <c r="AN272" s="1">
        <v>600</v>
      </c>
      <c r="AO272" s="48">
        <v>5</v>
      </c>
      <c r="AP272" s="44">
        <v>60</v>
      </c>
      <c r="AQ272" s="42">
        <v>0.8</v>
      </c>
      <c r="AR272" s="1">
        <v>75</v>
      </c>
      <c r="AS272" s="1">
        <v>30</v>
      </c>
      <c r="AT272" s="1">
        <v>1</v>
      </c>
      <c r="AU272" s="4">
        <f t="shared" si="124"/>
        <v>4.4444444444444446</v>
      </c>
      <c r="AV272" s="3">
        <f t="shared" ref="AV272:AV284" si="153">ROUND((P272/1000000)*AU272*10000,2)</f>
        <v>2000</v>
      </c>
      <c r="AW272" s="1">
        <v>90</v>
      </c>
      <c r="AX272" s="3">
        <f t="shared" ref="AX272" si="154">IFERROR((AU272*AW272/100),0)</f>
        <v>4</v>
      </c>
      <c r="AY272" s="1">
        <v>1</v>
      </c>
      <c r="AZ272" s="4">
        <f t="shared" ref="AZ272" si="155">IFERROR(AX272*AY272,0)</f>
        <v>4</v>
      </c>
      <c r="BA272" s="49">
        <v>0.93</v>
      </c>
      <c r="BB272" s="4">
        <f t="shared" si="125"/>
        <v>3.72</v>
      </c>
      <c r="BC272" s="50">
        <v>0.95</v>
      </c>
      <c r="BD272" s="69">
        <f>IFERROR(
  MAX(0.05, MIN(0.5, CropNorms_Potato[[#This Row],[Leaf_Area_Per_Shoot_m2]] * CropNorms_Potato[[#This Row],[Shoot_Bearing_m2]] )),
  0.2
)</f>
        <v>0.5</v>
      </c>
      <c r="BE272" s="4">
        <f>_xlfn.XLOOKUP(CropNorms_Potato[[#This Row],[LAI_Start_BBCH]], CropPhenology_Potato[Sub_Stage], CropPhenology_Potato[Start_GDD], "Not Found")</f>
        <v>261</v>
      </c>
      <c r="BF272" s="3">
        <f>ROUND(CropNorms_Potato[[#This Row],[Shoot_Bearing_m2]]*CropNorms_Potato[[#This Row],[Leaf_Area_Per_Shoot_m2]],2)</f>
        <v>3.53</v>
      </c>
      <c r="BG272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2" s="3">
        <f>IF(CropNorms_Potato[[#This Row],[Max_LAI]]&gt;=1.2, 0.85*CropNorms_Potato[[#This Row],[Max_LAI]], 1)</f>
        <v>3.0004999999999997</v>
      </c>
      <c r="BI272" s="41">
        <f>_xlfn.XLOOKUP(CropNorms_Potato[[#This Row],[LAI_End_BBCH]], CropPhenology_Potato[Sub_Stage], CropPhenology_Potato[End_GDD], "Not Found")</f>
        <v>2460</v>
      </c>
      <c r="BJ272" s="3" cm="1">
        <f t="array" ref="BJ272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2" s="3" cm="1">
        <f t="array" ref="BK27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2" s="3" cm="1">
        <f t="array" ref="BL272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2" s="3" cm="1">
        <f t="array" ref="BM27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2" s="42">
        <v>0.75</v>
      </c>
      <c r="BO272" s="43">
        <v>0.45</v>
      </c>
      <c r="BP272" s="42">
        <v>27.12</v>
      </c>
      <c r="BQ272" s="43" t="s">
        <v>1787</v>
      </c>
      <c r="BR272" s="3" t="str" cm="1">
        <f t="array" ref="BR27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2" s="3" t="str" cm="1">
        <f t="array" ref="BS27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2" s="3" t="str" cm="1">
        <f t="array" ref="BT272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2" s="3" t="str" cm="1">
        <f t="array" ref="BU272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2" s="48">
        <v>200</v>
      </c>
      <c r="BW272" s="1">
        <v>80</v>
      </c>
      <c r="BX272" s="44">
        <v>250</v>
      </c>
      <c r="BY272" s="51">
        <v>45703</v>
      </c>
      <c r="BZ272" s="5">
        <v>45731</v>
      </c>
      <c r="CA272" s="85">
        <v>0</v>
      </c>
      <c r="CB272" s="2">
        <v>1</v>
      </c>
      <c r="CC272" s="2">
        <v>1</v>
      </c>
      <c r="CD272" s="2">
        <v>1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1</v>
      </c>
      <c r="CP272" s="9"/>
      <c r="CQ272" s="10"/>
    </row>
    <row r="273" spans="2:95" x14ac:dyDescent="0.15">
      <c r="B273" s="103" t="s">
        <v>233</v>
      </c>
      <c r="C273" s="1" t="s">
        <v>235</v>
      </c>
      <c r="D273" s="1" t="s">
        <v>2088</v>
      </c>
      <c r="E273" s="1" t="s">
        <v>2076</v>
      </c>
      <c r="F273" s="1">
        <v>50</v>
      </c>
      <c r="H273" s="1" t="s">
        <v>2096</v>
      </c>
      <c r="J273" s="1" t="s">
        <v>2108</v>
      </c>
      <c r="K273" s="1" t="s">
        <v>1770</v>
      </c>
      <c r="L273" s="1" t="s">
        <v>1750</v>
      </c>
      <c r="M273" s="1" t="s">
        <v>362</v>
      </c>
      <c r="N273" s="6">
        <v>9.2799999999999994</v>
      </c>
      <c r="O273" s="1" t="s">
        <v>4</v>
      </c>
      <c r="P273" s="1">
        <v>45000</v>
      </c>
      <c r="Q273" s="1">
        <v>4</v>
      </c>
      <c r="R273" s="1">
        <v>6</v>
      </c>
      <c r="S273" s="1">
        <v>20</v>
      </c>
      <c r="T273" s="1">
        <v>30</v>
      </c>
      <c r="U273" s="253">
        <v>9</v>
      </c>
      <c r="V273" s="1">
        <v>90</v>
      </c>
      <c r="W273" s="44">
        <v>140</v>
      </c>
      <c r="X273" s="40">
        <f>_xlfn.XLOOKUP("Ripening", CropPhenology_Potato[Main_Stage], CropPhenology_Potato[Start_GDD], "Not Found")</f>
        <v>2461</v>
      </c>
      <c r="Y273" s="4" cm="1">
        <f t="array" ref="Y273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3" s="3">
        <f t="shared" si="151"/>
        <v>23.233730158730161</v>
      </c>
      <c r="AA273" s="41">
        <f t="shared" si="152"/>
        <v>111.90626654597003</v>
      </c>
      <c r="AB273" s="1">
        <v>7</v>
      </c>
      <c r="AC273" s="1">
        <v>10</v>
      </c>
      <c r="AD273" s="1">
        <v>4</v>
      </c>
      <c r="AE273" s="1">
        <v>90</v>
      </c>
      <c r="AF273" s="1">
        <v>5</v>
      </c>
      <c r="AG273" s="1">
        <v>5</v>
      </c>
      <c r="AH273" s="3">
        <f t="shared" si="137"/>
        <v>1.2421109584859586</v>
      </c>
      <c r="AI273" s="1">
        <v>4.8</v>
      </c>
      <c r="AJ273" s="1">
        <v>5.5</v>
      </c>
      <c r="AK273" s="159">
        <v>1.7</v>
      </c>
      <c r="AL273" s="150">
        <v>0.12</v>
      </c>
      <c r="AM273" s="1">
        <v>450</v>
      </c>
      <c r="AN273" s="1">
        <v>600</v>
      </c>
      <c r="AO273" s="48">
        <v>5</v>
      </c>
      <c r="AP273" s="44">
        <v>60</v>
      </c>
      <c r="AQ273" s="42">
        <v>0.82</v>
      </c>
      <c r="AR273" s="1">
        <v>75</v>
      </c>
      <c r="AS273" s="1">
        <v>30</v>
      </c>
      <c r="AT273" s="1">
        <v>1</v>
      </c>
      <c r="AU273" s="4">
        <f t="shared" si="124"/>
        <v>4.4444444444444446</v>
      </c>
      <c r="AV273" s="3">
        <f t="shared" si="153"/>
        <v>2000</v>
      </c>
      <c r="AW273" s="1">
        <v>90</v>
      </c>
      <c r="AX273" s="3">
        <f t="shared" ref="AX273:AX287" si="156">IFERROR((AU273*AW273/100),0)</f>
        <v>4</v>
      </c>
      <c r="AY273" s="1">
        <v>1</v>
      </c>
      <c r="AZ273" s="4">
        <f t="shared" ref="AZ273:AZ284" si="157">IFERROR(AX273*AY273,0)</f>
        <v>4</v>
      </c>
      <c r="BA273" s="49">
        <v>0.93</v>
      </c>
      <c r="BB273" s="4">
        <f t="shared" si="125"/>
        <v>3.72</v>
      </c>
      <c r="BC273" s="50">
        <v>0.95</v>
      </c>
      <c r="BD273" s="69">
        <f>IFERROR(
  MAX(0.05, MIN(0.5, CropNorms_Potato[[#This Row],[Leaf_Area_Per_Shoot_m2]] * CropNorms_Potato[[#This Row],[Shoot_Bearing_m2]] )),
  0.2
)</f>
        <v>0.5</v>
      </c>
      <c r="BE273" s="4">
        <f>_xlfn.XLOOKUP(CropNorms_Potato[[#This Row],[LAI_Start_BBCH]], CropPhenology_Potato[Sub_Stage], CropPhenology_Potato[Start_GDD], "Not Found")</f>
        <v>261</v>
      </c>
      <c r="BF273" s="3">
        <f>ROUND(CropNorms_Potato[[#This Row],[Shoot_Bearing_m2]]*CropNorms_Potato[[#This Row],[Leaf_Area_Per_Shoot_m2]],2)</f>
        <v>3.53</v>
      </c>
      <c r="BG273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3" s="3">
        <f>IF(CropNorms_Potato[[#This Row],[Max_LAI]]&gt;=1.2, 0.85*CropNorms_Potato[[#This Row],[Max_LAI]], 1)</f>
        <v>3.0004999999999997</v>
      </c>
      <c r="BI273" s="41">
        <f>_xlfn.XLOOKUP(CropNorms_Potato[[#This Row],[LAI_End_BBCH]], CropPhenology_Potato[Sub_Stage], CropPhenology_Potato[End_GDD], "Not Found")</f>
        <v>2460</v>
      </c>
      <c r="BJ273" s="3" cm="1">
        <f t="array" ref="BJ273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3" s="3" cm="1">
        <f t="array" ref="BK27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3" s="3" cm="1">
        <f t="array" ref="BL273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3" s="3" cm="1">
        <f t="array" ref="BM27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3" s="42">
        <v>0.75</v>
      </c>
      <c r="BO273" s="43">
        <v>0.45</v>
      </c>
      <c r="BP273" s="42">
        <v>27.12</v>
      </c>
      <c r="BQ273" s="43" t="s">
        <v>1787</v>
      </c>
      <c r="BR273" s="3" t="str" cm="1">
        <f t="array" ref="BR27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3" s="3" t="str" cm="1">
        <f t="array" ref="BS27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3" s="3" t="str" cm="1">
        <f t="array" ref="BT273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3" s="3" t="str" cm="1">
        <f t="array" ref="BU273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3" s="48">
        <v>200</v>
      </c>
      <c r="BW273" s="1">
        <v>80</v>
      </c>
      <c r="BX273" s="44">
        <v>250</v>
      </c>
      <c r="BY273" s="51">
        <v>45703</v>
      </c>
      <c r="BZ273" s="5">
        <v>45731</v>
      </c>
      <c r="CA273" s="85">
        <v>0</v>
      </c>
      <c r="CB273" s="2">
        <v>1</v>
      </c>
      <c r="CC273" s="2">
        <v>1</v>
      </c>
      <c r="CD273" s="2">
        <v>1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1</v>
      </c>
      <c r="CP273" s="9"/>
      <c r="CQ273" s="10"/>
    </row>
    <row r="274" spans="2:95" x14ac:dyDescent="0.15">
      <c r="B274" s="103" t="s">
        <v>233</v>
      </c>
      <c r="C274" s="1" t="s">
        <v>236</v>
      </c>
      <c r="D274" s="1" t="s">
        <v>2088</v>
      </c>
      <c r="H274" s="1" t="s">
        <v>2104</v>
      </c>
      <c r="K274" s="1" t="s">
        <v>1770</v>
      </c>
      <c r="L274" s="1" t="s">
        <v>1750</v>
      </c>
      <c r="M274" s="1" t="s">
        <v>362</v>
      </c>
      <c r="N274" s="6">
        <v>9.2799999999999994</v>
      </c>
      <c r="O274" s="1" t="s">
        <v>4</v>
      </c>
      <c r="P274" s="1">
        <v>45000</v>
      </c>
      <c r="Q274" s="1">
        <v>4</v>
      </c>
      <c r="R274" s="1">
        <v>6</v>
      </c>
      <c r="S274" s="1">
        <v>20</v>
      </c>
      <c r="T274" s="1">
        <v>30</v>
      </c>
      <c r="U274" s="253">
        <v>9</v>
      </c>
      <c r="V274" s="1">
        <v>90</v>
      </c>
      <c r="W274" s="44">
        <v>140</v>
      </c>
      <c r="X274" s="40">
        <f>_xlfn.XLOOKUP("Ripening", CropPhenology_Potato[Main_Stage], CropPhenology_Potato[Start_GDD], "Not Found")</f>
        <v>2461</v>
      </c>
      <c r="Y274" s="4" cm="1">
        <f t="array" ref="Y274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4" s="3">
        <f t="shared" si="151"/>
        <v>23.233730158730161</v>
      </c>
      <c r="AA274" s="41">
        <f t="shared" si="152"/>
        <v>111.90626654597003</v>
      </c>
      <c r="AB274" s="1">
        <v>7</v>
      </c>
      <c r="AC274" s="1">
        <v>10</v>
      </c>
      <c r="AD274" s="1">
        <v>4</v>
      </c>
      <c r="AE274" s="1">
        <v>90</v>
      </c>
      <c r="AF274" s="1">
        <v>5</v>
      </c>
      <c r="AG274" s="1">
        <v>5</v>
      </c>
      <c r="AH274" s="3">
        <f t="shared" si="137"/>
        <v>1.2421109584859586</v>
      </c>
      <c r="AI274" s="1">
        <v>4.8</v>
      </c>
      <c r="AJ274" s="1">
        <v>5.5</v>
      </c>
      <c r="AK274" s="159">
        <v>1.7</v>
      </c>
      <c r="AL274" s="150">
        <v>0.12</v>
      </c>
      <c r="AM274" s="1">
        <v>450</v>
      </c>
      <c r="AN274" s="1">
        <v>600</v>
      </c>
      <c r="AO274" s="48">
        <v>5</v>
      </c>
      <c r="AP274" s="44">
        <v>60</v>
      </c>
      <c r="AQ274" s="42">
        <v>0.81</v>
      </c>
      <c r="AR274" s="1">
        <v>75</v>
      </c>
      <c r="AS274" s="1">
        <v>30</v>
      </c>
      <c r="AT274" s="1">
        <v>1</v>
      </c>
      <c r="AU274" s="4">
        <f t="shared" si="124"/>
        <v>4.4444444444444446</v>
      </c>
      <c r="AV274" s="3">
        <f t="shared" si="153"/>
        <v>2000</v>
      </c>
      <c r="AW274" s="1">
        <v>90</v>
      </c>
      <c r="AX274" s="3">
        <f t="shared" si="156"/>
        <v>4</v>
      </c>
      <c r="AY274" s="1">
        <v>1</v>
      </c>
      <c r="AZ274" s="4">
        <f t="shared" si="157"/>
        <v>4</v>
      </c>
      <c r="BA274" s="49">
        <v>0.93</v>
      </c>
      <c r="BB274" s="4">
        <f t="shared" si="125"/>
        <v>3.72</v>
      </c>
      <c r="BC274" s="50">
        <v>0.95</v>
      </c>
      <c r="BD274" s="69">
        <f>IFERROR(
  MAX(0.05, MIN(0.5, CropNorms_Potato[[#This Row],[Leaf_Area_Per_Shoot_m2]] * CropNorms_Potato[[#This Row],[Shoot_Bearing_m2]] )),
  0.2
)</f>
        <v>0.5</v>
      </c>
      <c r="BE274" s="4">
        <f>_xlfn.XLOOKUP(CropNorms_Potato[[#This Row],[LAI_Start_BBCH]], CropPhenology_Potato[Sub_Stage], CropPhenology_Potato[Start_GDD], "Not Found")</f>
        <v>261</v>
      </c>
      <c r="BF274" s="3">
        <f>ROUND(CropNorms_Potato[[#This Row],[Shoot_Bearing_m2]]*CropNorms_Potato[[#This Row],[Leaf_Area_Per_Shoot_m2]],2)</f>
        <v>3.53</v>
      </c>
      <c r="BG274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4" s="3">
        <f>IF(CropNorms_Potato[[#This Row],[Max_LAI]]&gt;=1.2, 0.85*CropNorms_Potato[[#This Row],[Max_LAI]], 1)</f>
        <v>3.0004999999999997</v>
      </c>
      <c r="BI274" s="41">
        <f>_xlfn.XLOOKUP(CropNorms_Potato[[#This Row],[LAI_End_BBCH]], CropPhenology_Potato[Sub_Stage], CropPhenology_Potato[End_GDD], "Not Found")</f>
        <v>2460</v>
      </c>
      <c r="BJ274" s="3" cm="1">
        <f t="array" ref="BJ274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4" s="3" cm="1">
        <f t="array" ref="BK27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4" s="3" cm="1">
        <f t="array" ref="BL274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4" s="3" cm="1">
        <f t="array" ref="BM27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4" s="42">
        <v>0.75</v>
      </c>
      <c r="BO274" s="43">
        <v>0.45</v>
      </c>
      <c r="BP274" s="42">
        <v>27.12</v>
      </c>
      <c r="BQ274" s="43" t="s">
        <v>1787</v>
      </c>
      <c r="BR274" s="3" t="str" cm="1">
        <f t="array" ref="BR27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4" s="3" t="str" cm="1">
        <f t="array" ref="BS27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4" s="3" t="str" cm="1">
        <f t="array" ref="BT274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4" s="3" t="str" cm="1">
        <f t="array" ref="BU274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4" s="48">
        <v>200</v>
      </c>
      <c r="BW274" s="1">
        <v>80</v>
      </c>
      <c r="BX274" s="44">
        <v>250</v>
      </c>
      <c r="BY274" s="51">
        <v>45703</v>
      </c>
      <c r="BZ274" s="5">
        <v>45731</v>
      </c>
      <c r="CA274" s="85">
        <v>0</v>
      </c>
      <c r="CB274" s="2">
        <v>1</v>
      </c>
      <c r="CC274" s="2">
        <v>1</v>
      </c>
      <c r="CD274" s="2">
        <v>1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1</v>
      </c>
      <c r="CP274" s="9"/>
      <c r="CQ274" s="10"/>
    </row>
    <row r="275" spans="2:95" x14ac:dyDescent="0.15">
      <c r="B275" s="103" t="s">
        <v>233</v>
      </c>
      <c r="C275" s="1" t="s">
        <v>237</v>
      </c>
      <c r="D275" s="1" t="s">
        <v>2088</v>
      </c>
      <c r="E275" s="1" t="s">
        <v>2076</v>
      </c>
      <c r="F275" s="1">
        <v>53</v>
      </c>
      <c r="G275" s="1" t="s">
        <v>2091</v>
      </c>
      <c r="H275" s="1" t="s">
        <v>2098</v>
      </c>
      <c r="J275" s="1" t="s">
        <v>2109</v>
      </c>
      <c r="K275" s="1" t="s">
        <v>1770</v>
      </c>
      <c r="L275" s="1" t="s">
        <v>1750</v>
      </c>
      <c r="M275" s="1" t="s">
        <v>362</v>
      </c>
      <c r="N275" s="6">
        <v>9.2799999999999994</v>
      </c>
      <c r="O275" s="1" t="s">
        <v>4</v>
      </c>
      <c r="P275" s="1">
        <v>45000</v>
      </c>
      <c r="Q275" s="1">
        <v>4</v>
      </c>
      <c r="R275" s="1">
        <v>6</v>
      </c>
      <c r="S275" s="1">
        <v>20</v>
      </c>
      <c r="T275" s="1">
        <v>30</v>
      </c>
      <c r="U275" s="253">
        <v>9</v>
      </c>
      <c r="V275" s="1">
        <v>90</v>
      </c>
      <c r="W275" s="44">
        <v>140</v>
      </c>
      <c r="X275" s="40">
        <f>_xlfn.XLOOKUP("Ripening", CropPhenology_Potato[Main_Stage], CropPhenology_Potato[Start_GDD], "Not Found")</f>
        <v>2461</v>
      </c>
      <c r="Y275" s="4" cm="1">
        <f t="array" ref="Y275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5" s="3">
        <f t="shared" si="151"/>
        <v>23.233730158730161</v>
      </c>
      <c r="AA275" s="41">
        <f t="shared" si="152"/>
        <v>111.90626654597003</v>
      </c>
      <c r="AB275" s="1">
        <v>7</v>
      </c>
      <c r="AC275" s="1">
        <v>10</v>
      </c>
      <c r="AD275" s="1">
        <v>4</v>
      </c>
      <c r="AE275" s="1">
        <v>90</v>
      </c>
      <c r="AF275" s="1">
        <v>5</v>
      </c>
      <c r="AG275" s="1">
        <v>5</v>
      </c>
      <c r="AH275" s="3">
        <f t="shared" si="137"/>
        <v>1.2421109584859586</v>
      </c>
      <c r="AI275" s="1">
        <v>4.8</v>
      </c>
      <c r="AJ275" s="1">
        <v>5.5</v>
      </c>
      <c r="AK275" s="159">
        <v>1.7</v>
      </c>
      <c r="AL275" s="150">
        <v>0.12</v>
      </c>
      <c r="AM275" s="1">
        <v>450</v>
      </c>
      <c r="AN275" s="1">
        <v>600</v>
      </c>
      <c r="AO275" s="48">
        <v>5</v>
      </c>
      <c r="AP275" s="44">
        <v>60</v>
      </c>
      <c r="AQ275" s="42">
        <v>0.78</v>
      </c>
      <c r="AR275" s="1">
        <v>75</v>
      </c>
      <c r="AS275" s="1">
        <v>30</v>
      </c>
      <c r="AT275" s="1">
        <v>1</v>
      </c>
      <c r="AU275" s="4">
        <f t="shared" si="124"/>
        <v>4.4444444444444446</v>
      </c>
      <c r="AV275" s="3">
        <f t="shared" si="153"/>
        <v>2000</v>
      </c>
      <c r="AW275" s="1">
        <v>90</v>
      </c>
      <c r="AX275" s="3">
        <f t="shared" si="156"/>
        <v>4</v>
      </c>
      <c r="AY275" s="1">
        <v>1</v>
      </c>
      <c r="AZ275" s="4">
        <f t="shared" si="157"/>
        <v>4</v>
      </c>
      <c r="BA275" s="49">
        <v>0.93</v>
      </c>
      <c r="BB275" s="4">
        <f t="shared" si="125"/>
        <v>3.72</v>
      </c>
      <c r="BC275" s="50">
        <v>0.95</v>
      </c>
      <c r="BD275" s="69">
        <f>IFERROR(
  MAX(0.05, MIN(0.5, CropNorms_Potato[[#This Row],[Leaf_Area_Per_Shoot_m2]] * CropNorms_Potato[[#This Row],[Shoot_Bearing_m2]] )),
  0.2
)</f>
        <v>0.5</v>
      </c>
      <c r="BE275" s="4">
        <f>_xlfn.XLOOKUP(CropNorms_Potato[[#This Row],[LAI_Start_BBCH]], CropPhenology_Potato[Sub_Stage], CropPhenology_Potato[Start_GDD], "Not Found")</f>
        <v>261</v>
      </c>
      <c r="BF275" s="3">
        <f>ROUND(CropNorms_Potato[[#This Row],[Shoot_Bearing_m2]]*CropNorms_Potato[[#This Row],[Leaf_Area_Per_Shoot_m2]],2)</f>
        <v>3.53</v>
      </c>
      <c r="BG275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5" s="3">
        <f>IF(CropNorms_Potato[[#This Row],[Max_LAI]]&gt;=1.2, 0.85*CropNorms_Potato[[#This Row],[Max_LAI]], 1)</f>
        <v>3.0004999999999997</v>
      </c>
      <c r="BI275" s="41">
        <f>_xlfn.XLOOKUP(CropNorms_Potato[[#This Row],[LAI_End_BBCH]], CropPhenology_Potato[Sub_Stage], CropPhenology_Potato[End_GDD], "Not Found")</f>
        <v>2460</v>
      </c>
      <c r="BJ275" s="3" cm="1">
        <f t="array" ref="BJ275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5" s="3" cm="1">
        <f t="array" ref="BK275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5" s="3" cm="1">
        <f t="array" ref="BL275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5" s="3" cm="1">
        <f t="array" ref="BM275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5" s="42">
        <v>0.75</v>
      </c>
      <c r="BO275" s="43">
        <v>0.45</v>
      </c>
      <c r="BP275" s="42">
        <v>27.12</v>
      </c>
      <c r="BQ275" s="43" t="s">
        <v>1787</v>
      </c>
      <c r="BR275" s="3" t="str" cm="1">
        <f t="array" ref="BR275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5" s="3" t="str" cm="1">
        <f t="array" ref="BS275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5" s="3" t="str" cm="1">
        <f t="array" ref="BT275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5" s="3" t="str" cm="1">
        <f t="array" ref="BU275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5" s="48">
        <v>200</v>
      </c>
      <c r="BW275" s="1">
        <v>80</v>
      </c>
      <c r="BX275" s="44">
        <v>250</v>
      </c>
      <c r="BY275" s="51">
        <v>45703</v>
      </c>
      <c r="BZ275" s="5">
        <v>45731</v>
      </c>
      <c r="CA275" s="85">
        <v>0</v>
      </c>
      <c r="CB275" s="2">
        <v>1</v>
      </c>
      <c r="CC275" s="2">
        <v>1</v>
      </c>
      <c r="CD275" s="2">
        <v>1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1</v>
      </c>
      <c r="CP275" s="9"/>
      <c r="CQ275" s="10"/>
    </row>
    <row r="276" spans="2:95" x14ac:dyDescent="0.15">
      <c r="B276" s="103" t="s">
        <v>233</v>
      </c>
      <c r="C276" s="1" t="s">
        <v>238</v>
      </c>
      <c r="D276" s="1" t="s">
        <v>2088</v>
      </c>
      <c r="G276" s="1" t="s">
        <v>2092</v>
      </c>
      <c r="H276" s="1" t="s">
        <v>2105</v>
      </c>
      <c r="J276" s="1" t="s">
        <v>2111</v>
      </c>
      <c r="K276" s="1" t="s">
        <v>1770</v>
      </c>
      <c r="L276" s="1" t="s">
        <v>1750</v>
      </c>
      <c r="M276" s="1" t="s">
        <v>362</v>
      </c>
      <c r="N276" s="6">
        <v>9.2799999999999994</v>
      </c>
      <c r="O276" s="1" t="s">
        <v>4</v>
      </c>
      <c r="P276" s="1">
        <v>45000</v>
      </c>
      <c r="Q276" s="1">
        <v>4</v>
      </c>
      <c r="R276" s="1">
        <v>6</v>
      </c>
      <c r="S276" s="1">
        <v>20</v>
      </c>
      <c r="T276" s="1">
        <v>30</v>
      </c>
      <c r="U276" s="253">
        <v>9</v>
      </c>
      <c r="V276" s="1">
        <v>90</v>
      </c>
      <c r="W276" s="44">
        <v>140</v>
      </c>
      <c r="X276" s="40">
        <f>_xlfn.XLOOKUP("Ripening", CropPhenology_Potato[Main_Stage], CropPhenology_Potato[Start_GDD], "Not Found")</f>
        <v>2461</v>
      </c>
      <c r="Y276" s="4" cm="1">
        <f t="array" ref="Y276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6" s="3">
        <f t="shared" si="151"/>
        <v>23.233730158730161</v>
      </c>
      <c r="AA276" s="41">
        <f t="shared" si="152"/>
        <v>111.90626654597003</v>
      </c>
      <c r="AB276" s="1">
        <v>7</v>
      </c>
      <c r="AC276" s="1">
        <v>10</v>
      </c>
      <c r="AD276" s="1">
        <v>4</v>
      </c>
      <c r="AE276" s="1">
        <v>90</v>
      </c>
      <c r="AF276" s="1">
        <v>5</v>
      </c>
      <c r="AG276" s="1">
        <v>5</v>
      </c>
      <c r="AH276" s="3">
        <f t="shared" si="137"/>
        <v>1.2421109584859586</v>
      </c>
      <c r="AI276" s="1">
        <v>4.8</v>
      </c>
      <c r="AJ276" s="1">
        <v>5.5</v>
      </c>
      <c r="AK276" s="159">
        <v>1.7</v>
      </c>
      <c r="AL276" s="150">
        <v>0.12</v>
      </c>
      <c r="AM276" s="1">
        <v>450</v>
      </c>
      <c r="AN276" s="1">
        <v>600</v>
      </c>
      <c r="AO276" s="48">
        <v>5</v>
      </c>
      <c r="AP276" s="44">
        <v>60</v>
      </c>
      <c r="AQ276" s="42">
        <v>0.79</v>
      </c>
      <c r="AR276" s="1">
        <v>75</v>
      </c>
      <c r="AS276" s="1">
        <v>30</v>
      </c>
      <c r="AT276" s="1">
        <v>1</v>
      </c>
      <c r="AU276" s="4">
        <f t="shared" si="124"/>
        <v>4.4444444444444446</v>
      </c>
      <c r="AV276" s="3">
        <f t="shared" si="153"/>
        <v>2000</v>
      </c>
      <c r="AW276" s="1">
        <v>90</v>
      </c>
      <c r="AX276" s="3">
        <f t="shared" si="156"/>
        <v>4</v>
      </c>
      <c r="AY276" s="1">
        <v>1</v>
      </c>
      <c r="AZ276" s="4">
        <f t="shared" si="157"/>
        <v>4</v>
      </c>
      <c r="BA276" s="49">
        <v>0.93</v>
      </c>
      <c r="BB276" s="4">
        <f t="shared" si="125"/>
        <v>3.72</v>
      </c>
      <c r="BC276" s="50">
        <v>0.95</v>
      </c>
      <c r="BD276" s="69">
        <f>IFERROR(
  MAX(0.05, MIN(0.5, CropNorms_Potato[[#This Row],[Leaf_Area_Per_Shoot_m2]] * CropNorms_Potato[[#This Row],[Shoot_Bearing_m2]] )),
  0.2
)</f>
        <v>0.5</v>
      </c>
      <c r="BE276" s="4">
        <f>_xlfn.XLOOKUP(CropNorms_Potato[[#This Row],[LAI_Start_BBCH]], CropPhenology_Potato[Sub_Stage], CropPhenology_Potato[Start_GDD], "Not Found")</f>
        <v>261</v>
      </c>
      <c r="BF276" s="3">
        <f>ROUND(CropNorms_Potato[[#This Row],[Shoot_Bearing_m2]]*CropNorms_Potato[[#This Row],[Leaf_Area_Per_Shoot_m2]],2)</f>
        <v>3.53</v>
      </c>
      <c r="BG276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6" s="3">
        <f>IF(CropNorms_Potato[[#This Row],[Max_LAI]]&gt;=1.2, 0.85*CropNorms_Potato[[#This Row],[Max_LAI]], 1)</f>
        <v>3.0004999999999997</v>
      </c>
      <c r="BI276" s="41">
        <f>_xlfn.XLOOKUP(CropNorms_Potato[[#This Row],[LAI_End_BBCH]], CropPhenology_Potato[Sub_Stage], CropPhenology_Potato[End_GDD], "Not Found")</f>
        <v>2460</v>
      </c>
      <c r="BJ276" s="3" cm="1">
        <f t="array" ref="BJ276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6" s="3" cm="1">
        <f t="array" ref="BK276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6" s="3" cm="1">
        <f t="array" ref="BL276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6" s="3" cm="1">
        <f t="array" ref="BM276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6" s="42">
        <v>0.75</v>
      </c>
      <c r="BO276" s="43">
        <v>0.45</v>
      </c>
      <c r="BP276" s="42">
        <v>27.12</v>
      </c>
      <c r="BQ276" s="43" t="s">
        <v>1787</v>
      </c>
      <c r="BR276" s="3" t="str" cm="1">
        <f t="array" ref="BR276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6" s="3" t="str" cm="1">
        <f t="array" ref="BS276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6" s="3" t="str" cm="1">
        <f t="array" ref="BT276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6" s="3" t="str" cm="1">
        <f t="array" ref="BU276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6" s="48">
        <v>200</v>
      </c>
      <c r="BW276" s="1">
        <v>80</v>
      </c>
      <c r="BX276" s="44">
        <v>250</v>
      </c>
      <c r="BY276" s="51">
        <v>45703</v>
      </c>
      <c r="BZ276" s="5">
        <v>45731</v>
      </c>
      <c r="CA276" s="85">
        <v>0</v>
      </c>
      <c r="CB276" s="2">
        <v>1</v>
      </c>
      <c r="CC276" s="2">
        <v>1</v>
      </c>
      <c r="CD276" s="2">
        <v>1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1</v>
      </c>
      <c r="CP276" s="9"/>
      <c r="CQ276" s="10"/>
    </row>
    <row r="277" spans="2:95" x14ac:dyDescent="0.15">
      <c r="B277" s="103" t="s">
        <v>233</v>
      </c>
      <c r="C277" s="1" t="s">
        <v>239</v>
      </c>
      <c r="D277" s="1" t="s">
        <v>2088</v>
      </c>
      <c r="E277" s="1" t="s">
        <v>1835</v>
      </c>
      <c r="F277" s="1">
        <v>50</v>
      </c>
      <c r="H277" s="1" t="s">
        <v>2099</v>
      </c>
      <c r="J277" s="1" t="s">
        <v>2109</v>
      </c>
      <c r="K277" s="1" t="s">
        <v>1770</v>
      </c>
      <c r="L277" s="1" t="s">
        <v>1750</v>
      </c>
      <c r="M277" s="1" t="s">
        <v>362</v>
      </c>
      <c r="N277" s="6">
        <v>9.2799999999999994</v>
      </c>
      <c r="O277" s="1" t="s">
        <v>4</v>
      </c>
      <c r="P277" s="1">
        <v>45000</v>
      </c>
      <c r="Q277" s="1">
        <v>4</v>
      </c>
      <c r="R277" s="1">
        <v>6</v>
      </c>
      <c r="S277" s="1">
        <v>20</v>
      </c>
      <c r="T277" s="1">
        <v>30</v>
      </c>
      <c r="U277" s="253">
        <v>9</v>
      </c>
      <c r="V277" s="1">
        <v>90</v>
      </c>
      <c r="W277" s="44">
        <v>140</v>
      </c>
      <c r="X277" s="40">
        <f>_xlfn.XLOOKUP("Ripening", CropPhenology_Potato[Main_Stage], CropPhenology_Potato[Start_GDD], "Not Found")</f>
        <v>2461</v>
      </c>
      <c r="Y277" s="4" cm="1">
        <f t="array" ref="Y277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7" s="3">
        <f t="shared" si="151"/>
        <v>23.233730158730161</v>
      </c>
      <c r="AA277" s="41">
        <f t="shared" si="152"/>
        <v>111.90626654597003</v>
      </c>
      <c r="AB277" s="1">
        <v>7</v>
      </c>
      <c r="AC277" s="1">
        <v>10</v>
      </c>
      <c r="AD277" s="1">
        <v>4</v>
      </c>
      <c r="AE277" s="1">
        <v>90</v>
      </c>
      <c r="AF277" s="1">
        <v>5</v>
      </c>
      <c r="AG277" s="1">
        <v>5</v>
      </c>
      <c r="AH277" s="3">
        <f t="shared" si="137"/>
        <v>1.2421109584859586</v>
      </c>
      <c r="AI277" s="1">
        <v>4.8</v>
      </c>
      <c r="AJ277" s="1">
        <v>5.5</v>
      </c>
      <c r="AK277" s="159">
        <v>1.7</v>
      </c>
      <c r="AL277" s="150">
        <v>0.12</v>
      </c>
      <c r="AM277" s="1">
        <v>450</v>
      </c>
      <c r="AN277" s="1">
        <v>600</v>
      </c>
      <c r="AO277" s="48">
        <v>5</v>
      </c>
      <c r="AP277" s="44">
        <v>60</v>
      </c>
      <c r="AQ277" s="42">
        <v>0.77</v>
      </c>
      <c r="AR277" s="1">
        <v>75</v>
      </c>
      <c r="AS277" s="1">
        <v>30</v>
      </c>
      <c r="AT277" s="1">
        <v>1</v>
      </c>
      <c r="AU277" s="4">
        <f t="shared" si="124"/>
        <v>4.4444444444444446</v>
      </c>
      <c r="AV277" s="3">
        <f t="shared" si="153"/>
        <v>2000</v>
      </c>
      <c r="AW277" s="1">
        <v>90</v>
      </c>
      <c r="AX277" s="3">
        <f t="shared" si="156"/>
        <v>4</v>
      </c>
      <c r="AY277" s="1">
        <v>1</v>
      </c>
      <c r="AZ277" s="4">
        <f t="shared" si="157"/>
        <v>4</v>
      </c>
      <c r="BA277" s="49">
        <v>0.93</v>
      </c>
      <c r="BB277" s="4">
        <f t="shared" si="125"/>
        <v>3.72</v>
      </c>
      <c r="BC277" s="50">
        <v>0.95</v>
      </c>
      <c r="BD277" s="69">
        <f>IFERROR(
  MAX(0.05, MIN(0.5, CropNorms_Potato[[#This Row],[Leaf_Area_Per_Shoot_m2]] * CropNorms_Potato[[#This Row],[Shoot_Bearing_m2]] )),
  0.2
)</f>
        <v>0.5</v>
      </c>
      <c r="BE277" s="4">
        <f>_xlfn.XLOOKUP(CropNorms_Potato[[#This Row],[LAI_Start_BBCH]], CropPhenology_Potato[Sub_Stage], CropPhenology_Potato[Start_GDD], "Not Found")</f>
        <v>261</v>
      </c>
      <c r="BF277" s="3">
        <f>ROUND(CropNorms_Potato[[#This Row],[Shoot_Bearing_m2]]*CropNorms_Potato[[#This Row],[Leaf_Area_Per_Shoot_m2]],2)</f>
        <v>3.53</v>
      </c>
      <c r="BG277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7" s="3">
        <f>IF(CropNorms_Potato[[#This Row],[Max_LAI]]&gt;=1.2, 0.85*CropNorms_Potato[[#This Row],[Max_LAI]], 1)</f>
        <v>3.0004999999999997</v>
      </c>
      <c r="BI277" s="41">
        <f>_xlfn.XLOOKUP(CropNorms_Potato[[#This Row],[LAI_End_BBCH]], CropPhenology_Potato[Sub_Stage], CropPhenology_Potato[End_GDD], "Not Found")</f>
        <v>2460</v>
      </c>
      <c r="BJ277" s="3" cm="1">
        <f t="array" ref="BJ277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7" s="3" cm="1">
        <f t="array" ref="BK277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7" s="3" cm="1">
        <f t="array" ref="BL277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7" s="3" cm="1">
        <f t="array" ref="BM277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7" s="42">
        <v>0.75</v>
      </c>
      <c r="BO277" s="43">
        <v>0.45</v>
      </c>
      <c r="BP277" s="42">
        <v>27.12</v>
      </c>
      <c r="BQ277" s="43" t="s">
        <v>1787</v>
      </c>
      <c r="BR277" s="3" t="str" cm="1">
        <f t="array" ref="BR277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7" s="3" t="str" cm="1">
        <f t="array" ref="BS277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7" s="3" t="str" cm="1">
        <f t="array" ref="BT277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7" s="3" t="str" cm="1">
        <f t="array" ref="BU277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7" s="48">
        <v>200</v>
      </c>
      <c r="BW277" s="1">
        <v>80</v>
      </c>
      <c r="BX277" s="44">
        <v>250</v>
      </c>
      <c r="BY277" s="51">
        <v>45703</v>
      </c>
      <c r="BZ277" s="5">
        <v>45731</v>
      </c>
      <c r="CA277" s="85">
        <v>0</v>
      </c>
      <c r="CB277" s="2">
        <v>1</v>
      </c>
      <c r="CC277" s="2">
        <v>1</v>
      </c>
      <c r="CD277" s="2">
        <v>1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1</v>
      </c>
      <c r="CP277" s="9"/>
      <c r="CQ277" s="10"/>
    </row>
    <row r="278" spans="2:95" x14ac:dyDescent="0.15">
      <c r="B278" s="103" t="s">
        <v>233</v>
      </c>
      <c r="C278" s="29" t="s">
        <v>240</v>
      </c>
      <c r="D278" s="1" t="s">
        <v>2088</v>
      </c>
      <c r="E278" s="29" t="s">
        <v>2076</v>
      </c>
      <c r="F278" s="29">
        <v>53</v>
      </c>
      <c r="G278" s="29"/>
      <c r="H278" s="29" t="s">
        <v>2106</v>
      </c>
      <c r="I278" s="29"/>
      <c r="J278" s="1" t="s">
        <v>2111</v>
      </c>
      <c r="K278" s="29" t="s">
        <v>1770</v>
      </c>
      <c r="L278" s="29" t="s">
        <v>1750</v>
      </c>
      <c r="M278" s="29" t="s">
        <v>362</v>
      </c>
      <c r="N278" s="3">
        <v>9.2799999999999994</v>
      </c>
      <c r="O278" s="29" t="s">
        <v>4</v>
      </c>
      <c r="P278" s="29">
        <v>45000</v>
      </c>
      <c r="Q278" s="29">
        <v>4</v>
      </c>
      <c r="R278" s="29">
        <v>6</v>
      </c>
      <c r="S278" s="29">
        <v>20</v>
      </c>
      <c r="T278" s="29">
        <v>30</v>
      </c>
      <c r="U278" s="253">
        <v>9</v>
      </c>
      <c r="V278" s="29">
        <v>117</v>
      </c>
      <c r="W278" s="47">
        <v>121</v>
      </c>
      <c r="X278" s="40">
        <f>_xlfn.XLOOKUP("Ripening", CropPhenology_Potato[Main_Stage], CropPhenology_Potato[Start_GDD], "Not Found")</f>
        <v>2461</v>
      </c>
      <c r="Y278" s="4" cm="1">
        <f t="array" ref="Y278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8" s="3">
        <f t="shared" si="151"/>
        <v>21.280532598714416</v>
      </c>
      <c r="AA278" s="41">
        <f t="shared" si="152"/>
        <v>122.17739325551793</v>
      </c>
      <c r="AB278" s="1">
        <v>7</v>
      </c>
      <c r="AC278" s="1">
        <v>10</v>
      </c>
      <c r="AD278" s="1">
        <v>4</v>
      </c>
      <c r="AE278" s="1">
        <v>90</v>
      </c>
      <c r="AF278" s="1">
        <v>5</v>
      </c>
      <c r="AG278" s="1">
        <v>5</v>
      </c>
      <c r="AH278" s="3">
        <f t="shared" si="137"/>
        <v>1.1376900120081936</v>
      </c>
      <c r="AI278" s="1">
        <v>4.8</v>
      </c>
      <c r="AJ278" s="1">
        <v>5.5</v>
      </c>
      <c r="AK278" s="159">
        <v>1.7</v>
      </c>
      <c r="AL278" s="150">
        <v>0.12</v>
      </c>
      <c r="AM278" s="1">
        <v>450</v>
      </c>
      <c r="AN278" s="1">
        <v>600</v>
      </c>
      <c r="AO278" s="48">
        <v>5</v>
      </c>
      <c r="AP278" s="44">
        <v>60</v>
      </c>
      <c r="AQ278" s="42">
        <v>0.83</v>
      </c>
      <c r="AR278" s="1">
        <v>75</v>
      </c>
      <c r="AS278" s="1">
        <v>30</v>
      </c>
      <c r="AT278" s="1">
        <v>1</v>
      </c>
      <c r="AU278" s="4">
        <f t="shared" si="124"/>
        <v>4.4444444444444446</v>
      </c>
      <c r="AV278" s="3">
        <f t="shared" si="153"/>
        <v>2000</v>
      </c>
      <c r="AW278" s="1">
        <v>90</v>
      </c>
      <c r="AX278" s="3">
        <f t="shared" si="156"/>
        <v>4</v>
      </c>
      <c r="AY278" s="1">
        <v>1</v>
      </c>
      <c r="AZ278" s="4">
        <f t="shared" si="157"/>
        <v>4</v>
      </c>
      <c r="BA278" s="49">
        <v>0.93</v>
      </c>
      <c r="BB278" s="4">
        <f t="shared" si="125"/>
        <v>3.72</v>
      </c>
      <c r="BC278" s="50">
        <v>0.95</v>
      </c>
      <c r="BD278" s="69">
        <f>IFERROR(
  MAX(0.05, MIN(0.5, CropNorms_Potato[[#This Row],[Leaf_Area_Per_Shoot_m2]] * CropNorms_Potato[[#This Row],[Shoot_Bearing_m2]] )),
  0.2
)</f>
        <v>0.5</v>
      </c>
      <c r="BE278" s="4">
        <f>_xlfn.XLOOKUP(CropNorms_Potato[[#This Row],[LAI_Start_BBCH]], CropPhenology_Potato[Sub_Stage], CropPhenology_Potato[Start_GDD], "Not Found")</f>
        <v>261</v>
      </c>
      <c r="BF278" s="3">
        <f>ROUND(CropNorms_Potato[[#This Row],[Shoot_Bearing_m2]]*CropNorms_Potato[[#This Row],[Leaf_Area_Per_Shoot_m2]],2)</f>
        <v>3.53</v>
      </c>
      <c r="BG278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8" s="3">
        <f>IF(CropNorms_Potato[[#This Row],[Max_LAI]]&gt;=1.2, 0.85*CropNorms_Potato[[#This Row],[Max_LAI]], 1)</f>
        <v>3.0004999999999997</v>
      </c>
      <c r="BI278" s="41">
        <f>_xlfn.XLOOKUP(CropNorms_Potato[[#This Row],[LAI_End_BBCH]], CropPhenology_Potato[Sub_Stage], CropPhenology_Potato[End_GDD], "Not Found")</f>
        <v>2460</v>
      </c>
      <c r="BJ278" s="3" cm="1">
        <f t="array" ref="BJ278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8" s="3" cm="1">
        <f t="array" ref="BK27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8" s="3" cm="1">
        <f t="array" ref="BL278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8" s="3" cm="1">
        <f t="array" ref="BM27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8" s="42">
        <v>0.75</v>
      </c>
      <c r="BO278" s="43">
        <v>0.45</v>
      </c>
      <c r="BP278" s="42">
        <v>27.12</v>
      </c>
      <c r="BQ278" s="43" t="s">
        <v>1787</v>
      </c>
      <c r="BR278" s="3" t="str" cm="1">
        <f t="array" ref="BR27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8" s="3" t="str" cm="1">
        <f t="array" ref="BS27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8" s="3" t="str" cm="1">
        <f t="array" ref="BT278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8" s="3" t="str" cm="1">
        <f t="array" ref="BU278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8" s="48">
        <v>200</v>
      </c>
      <c r="BW278" s="1">
        <v>80</v>
      </c>
      <c r="BX278" s="44">
        <v>250</v>
      </c>
      <c r="BY278" s="51">
        <v>45703</v>
      </c>
      <c r="BZ278" s="5">
        <v>45731</v>
      </c>
      <c r="CA278" s="85">
        <v>0</v>
      </c>
      <c r="CB278" s="2">
        <v>1</v>
      </c>
      <c r="CC278" s="2">
        <v>1</v>
      </c>
      <c r="CD278" s="2">
        <v>1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1</v>
      </c>
      <c r="CP278" s="9"/>
      <c r="CQ278" s="10"/>
    </row>
    <row r="279" spans="2:95" x14ac:dyDescent="0.15">
      <c r="B279" s="103" t="s">
        <v>233</v>
      </c>
      <c r="C279" s="1" t="s">
        <v>241</v>
      </c>
      <c r="D279" s="1" t="s">
        <v>2088</v>
      </c>
      <c r="E279" s="1" t="s">
        <v>1835</v>
      </c>
      <c r="F279" s="1">
        <v>50</v>
      </c>
      <c r="H279" s="1" t="s">
        <v>2100</v>
      </c>
      <c r="J279" s="1" t="s">
        <v>2110</v>
      </c>
      <c r="K279" s="1" t="s">
        <v>1770</v>
      </c>
      <c r="L279" s="1" t="s">
        <v>1750</v>
      </c>
      <c r="M279" s="1" t="s">
        <v>362</v>
      </c>
      <c r="N279" s="6">
        <v>9.2799999999999994</v>
      </c>
      <c r="O279" s="1" t="s">
        <v>4</v>
      </c>
      <c r="P279" s="1">
        <v>45000</v>
      </c>
      <c r="Q279" s="1">
        <v>4</v>
      </c>
      <c r="R279" s="1">
        <v>6</v>
      </c>
      <c r="S279" s="1">
        <v>20</v>
      </c>
      <c r="T279" s="1">
        <v>30</v>
      </c>
      <c r="U279" s="253">
        <v>9</v>
      </c>
      <c r="V279" s="1">
        <v>90</v>
      </c>
      <c r="W279" s="44">
        <v>140</v>
      </c>
      <c r="X279" s="40">
        <f>_xlfn.XLOOKUP("Ripening", CropPhenology_Potato[Main_Stage], CropPhenology_Potato[Start_GDD], "Not Found")</f>
        <v>2461</v>
      </c>
      <c r="Y279" s="4" cm="1">
        <f t="array" ref="Y279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79" s="3">
        <f t="shared" si="151"/>
        <v>23.233730158730161</v>
      </c>
      <c r="AA279" s="41">
        <f t="shared" si="152"/>
        <v>111.90626654597003</v>
      </c>
      <c r="AB279" s="1">
        <v>7</v>
      </c>
      <c r="AC279" s="1">
        <v>10</v>
      </c>
      <c r="AD279" s="1">
        <v>4</v>
      </c>
      <c r="AE279" s="1">
        <v>90</v>
      </c>
      <c r="AF279" s="1">
        <v>5</v>
      </c>
      <c r="AG279" s="1">
        <v>5</v>
      </c>
      <c r="AH279" s="3">
        <f t="shared" si="137"/>
        <v>1.2421109584859586</v>
      </c>
      <c r="AI279" s="1">
        <v>4.8</v>
      </c>
      <c r="AJ279" s="1">
        <v>5.5</v>
      </c>
      <c r="AK279" s="159">
        <v>1.7</v>
      </c>
      <c r="AL279" s="150">
        <v>0.12</v>
      </c>
      <c r="AM279" s="1">
        <v>450</v>
      </c>
      <c r="AN279" s="1">
        <v>600</v>
      </c>
      <c r="AO279" s="48">
        <v>5</v>
      </c>
      <c r="AP279" s="44">
        <v>60</v>
      </c>
      <c r="AQ279" s="42">
        <v>0.76</v>
      </c>
      <c r="AR279" s="1">
        <v>75</v>
      </c>
      <c r="AS279" s="1">
        <v>30</v>
      </c>
      <c r="AT279" s="1">
        <v>1</v>
      </c>
      <c r="AU279" s="4">
        <f t="shared" si="124"/>
        <v>4.4444444444444446</v>
      </c>
      <c r="AV279" s="3">
        <f t="shared" si="153"/>
        <v>2000</v>
      </c>
      <c r="AW279" s="1">
        <v>90</v>
      </c>
      <c r="AX279" s="3">
        <f t="shared" si="156"/>
        <v>4</v>
      </c>
      <c r="AY279" s="1">
        <v>1</v>
      </c>
      <c r="AZ279" s="4">
        <f t="shared" si="157"/>
        <v>4</v>
      </c>
      <c r="BA279" s="49">
        <v>0.93</v>
      </c>
      <c r="BB279" s="4">
        <f t="shared" si="125"/>
        <v>3.72</v>
      </c>
      <c r="BC279" s="50">
        <v>0.95</v>
      </c>
      <c r="BD279" s="69">
        <f>IFERROR(
  MAX(0.05, MIN(0.5, CropNorms_Potato[[#This Row],[Leaf_Area_Per_Shoot_m2]] * CropNorms_Potato[[#This Row],[Shoot_Bearing_m2]] )),
  0.2
)</f>
        <v>0.5</v>
      </c>
      <c r="BE279" s="4">
        <f>_xlfn.XLOOKUP(CropNorms_Potato[[#This Row],[LAI_Start_BBCH]], CropPhenology_Potato[Sub_Stage], CropPhenology_Potato[Start_GDD], "Not Found")</f>
        <v>261</v>
      </c>
      <c r="BF279" s="3">
        <f>ROUND(CropNorms_Potato[[#This Row],[Shoot_Bearing_m2]]*CropNorms_Potato[[#This Row],[Leaf_Area_Per_Shoot_m2]],2)</f>
        <v>3.53</v>
      </c>
      <c r="BG279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79" s="3">
        <f>IF(CropNorms_Potato[[#This Row],[Max_LAI]]&gt;=1.2, 0.85*CropNorms_Potato[[#This Row],[Max_LAI]], 1)</f>
        <v>3.0004999999999997</v>
      </c>
      <c r="BI279" s="41">
        <f>_xlfn.XLOOKUP(CropNorms_Potato[[#This Row],[LAI_End_BBCH]], CropPhenology_Potato[Sub_Stage], CropPhenology_Potato[End_GDD], "Not Found")</f>
        <v>2460</v>
      </c>
      <c r="BJ279" s="3" cm="1">
        <f t="array" ref="BJ279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79" s="3" cm="1">
        <f t="array" ref="BK27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79" s="3" cm="1">
        <f t="array" ref="BL279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79" s="3" cm="1">
        <f t="array" ref="BM27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79" s="42">
        <v>0.75</v>
      </c>
      <c r="BO279" s="43">
        <v>0.45</v>
      </c>
      <c r="BP279" s="42">
        <v>27.12</v>
      </c>
      <c r="BQ279" s="43" t="s">
        <v>1787</v>
      </c>
      <c r="BR279" s="3" t="str" cm="1">
        <f t="array" ref="BR27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79" s="3" t="str" cm="1">
        <f t="array" ref="BS27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79" s="3" t="str" cm="1">
        <f t="array" ref="BT279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79" s="3" t="str" cm="1">
        <f t="array" ref="BU279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79" s="48">
        <v>200</v>
      </c>
      <c r="BW279" s="1">
        <v>80</v>
      </c>
      <c r="BX279" s="44">
        <v>250</v>
      </c>
      <c r="BY279" s="51">
        <v>45703</v>
      </c>
      <c r="BZ279" s="5">
        <v>45731</v>
      </c>
      <c r="CA279" s="85">
        <v>0</v>
      </c>
      <c r="CB279" s="2">
        <v>1</v>
      </c>
      <c r="CC279" s="2">
        <v>1</v>
      </c>
      <c r="CD279" s="2">
        <v>1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1</v>
      </c>
      <c r="CP279" s="9"/>
      <c r="CQ279" s="10"/>
    </row>
    <row r="280" spans="2:95" x14ac:dyDescent="0.15">
      <c r="B280" s="103" t="s">
        <v>233</v>
      </c>
      <c r="C280" s="1" t="s">
        <v>242</v>
      </c>
      <c r="D280" s="1" t="s">
        <v>2088</v>
      </c>
      <c r="E280" s="1" t="s">
        <v>1835</v>
      </c>
      <c r="F280" s="1">
        <v>50</v>
      </c>
      <c r="G280" s="1" t="s">
        <v>2093</v>
      </c>
      <c r="H280" s="1" t="s">
        <v>2101</v>
      </c>
      <c r="J280" s="1" t="s">
        <v>2112</v>
      </c>
      <c r="K280" s="1" t="s">
        <v>1770</v>
      </c>
      <c r="L280" s="1" t="s">
        <v>1750</v>
      </c>
      <c r="M280" s="1" t="s">
        <v>362</v>
      </c>
      <c r="N280" s="6">
        <v>9.2799999999999994</v>
      </c>
      <c r="O280" s="1" t="s">
        <v>4</v>
      </c>
      <c r="P280" s="1">
        <v>45000</v>
      </c>
      <c r="Q280" s="1">
        <v>4</v>
      </c>
      <c r="R280" s="1">
        <v>6</v>
      </c>
      <c r="S280" s="1">
        <v>20</v>
      </c>
      <c r="T280" s="1">
        <v>30</v>
      </c>
      <c r="U280" s="253">
        <v>9</v>
      </c>
      <c r="V280" s="1">
        <v>90</v>
      </c>
      <c r="W280" s="44">
        <v>140</v>
      </c>
      <c r="X280" s="40">
        <f>_xlfn.XLOOKUP("Ripening", CropPhenology_Potato[Main_Stage], CropPhenology_Potato[Start_GDD], "Not Found")</f>
        <v>2461</v>
      </c>
      <c r="Y280" s="4" cm="1">
        <f t="array" ref="Y280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80" s="3">
        <f t="shared" si="151"/>
        <v>23.233730158730161</v>
      </c>
      <c r="AA280" s="41">
        <f t="shared" si="152"/>
        <v>111.90626654597003</v>
      </c>
      <c r="AB280" s="1">
        <v>7</v>
      </c>
      <c r="AC280" s="1">
        <v>10</v>
      </c>
      <c r="AD280" s="1">
        <v>4</v>
      </c>
      <c r="AE280" s="1">
        <v>90</v>
      </c>
      <c r="AF280" s="1">
        <v>5</v>
      </c>
      <c r="AG280" s="1">
        <v>5</v>
      </c>
      <c r="AH280" s="3">
        <f t="shared" si="137"/>
        <v>1.2421109584859586</v>
      </c>
      <c r="AI280" s="1">
        <v>4.8</v>
      </c>
      <c r="AJ280" s="1">
        <v>5.5</v>
      </c>
      <c r="AK280" s="159">
        <v>1.7</v>
      </c>
      <c r="AL280" s="150">
        <v>0.12</v>
      </c>
      <c r="AM280" s="1">
        <v>450</v>
      </c>
      <c r="AN280" s="1">
        <v>600</v>
      </c>
      <c r="AO280" s="48">
        <v>5</v>
      </c>
      <c r="AP280" s="44">
        <v>60</v>
      </c>
      <c r="AQ280" s="42">
        <v>0.8</v>
      </c>
      <c r="AR280" s="1">
        <v>75</v>
      </c>
      <c r="AS280" s="1">
        <v>30</v>
      </c>
      <c r="AT280" s="1">
        <v>1</v>
      </c>
      <c r="AU280" s="4">
        <f t="shared" si="124"/>
        <v>4.4444444444444446</v>
      </c>
      <c r="AV280" s="3">
        <f t="shared" si="153"/>
        <v>2000</v>
      </c>
      <c r="AW280" s="1">
        <v>90</v>
      </c>
      <c r="AX280" s="3">
        <f t="shared" si="156"/>
        <v>4</v>
      </c>
      <c r="AY280" s="1">
        <v>1</v>
      </c>
      <c r="AZ280" s="4">
        <f t="shared" si="157"/>
        <v>4</v>
      </c>
      <c r="BA280" s="49">
        <v>0.93</v>
      </c>
      <c r="BB280" s="4">
        <f t="shared" si="125"/>
        <v>3.72</v>
      </c>
      <c r="BC280" s="50">
        <v>0.95</v>
      </c>
      <c r="BD280" s="69">
        <f>IFERROR(
  MAX(0.05, MIN(0.5, CropNorms_Potato[[#This Row],[Leaf_Area_Per_Shoot_m2]] * CropNorms_Potato[[#This Row],[Shoot_Bearing_m2]] )),
  0.2
)</f>
        <v>0.5</v>
      </c>
      <c r="BE280" s="4">
        <f>_xlfn.XLOOKUP(CropNorms_Potato[[#This Row],[LAI_Start_BBCH]], CropPhenology_Potato[Sub_Stage], CropPhenology_Potato[Start_GDD], "Not Found")</f>
        <v>261</v>
      </c>
      <c r="BF280" s="3">
        <f>ROUND(CropNorms_Potato[[#This Row],[Shoot_Bearing_m2]]*CropNorms_Potato[[#This Row],[Leaf_Area_Per_Shoot_m2]],2)</f>
        <v>3.53</v>
      </c>
      <c r="BG280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80" s="3">
        <f>IF(CropNorms_Potato[[#This Row],[Max_LAI]]&gt;=1.2, 0.85*CropNorms_Potato[[#This Row],[Max_LAI]], 1)</f>
        <v>3.0004999999999997</v>
      </c>
      <c r="BI280" s="41">
        <f>_xlfn.XLOOKUP(CropNorms_Potato[[#This Row],[LAI_End_BBCH]], CropPhenology_Potato[Sub_Stage], CropPhenology_Potato[End_GDD], "Not Found")</f>
        <v>2460</v>
      </c>
      <c r="BJ280" s="3" cm="1">
        <f t="array" ref="BJ280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80" s="3" cm="1">
        <f t="array" ref="BK28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80" s="3" cm="1">
        <f t="array" ref="BL280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80" s="3" cm="1">
        <f t="array" ref="BM28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0" s="42">
        <v>0.75</v>
      </c>
      <c r="BO280" s="43">
        <v>0.45</v>
      </c>
      <c r="BP280" s="42">
        <v>27.12</v>
      </c>
      <c r="BQ280" s="43" t="s">
        <v>1787</v>
      </c>
      <c r="BR280" s="3" t="str" cm="1">
        <f t="array" ref="BR28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80" s="3" t="str" cm="1">
        <f t="array" ref="BS28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80" s="3" t="str" cm="1">
        <f t="array" ref="BT280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80" s="3" t="str" cm="1">
        <f t="array" ref="BU280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80" s="48">
        <v>200</v>
      </c>
      <c r="BW280" s="1">
        <v>80</v>
      </c>
      <c r="BX280" s="44">
        <v>250</v>
      </c>
      <c r="BY280" s="51">
        <v>45703</v>
      </c>
      <c r="BZ280" s="5">
        <v>45731</v>
      </c>
      <c r="CA280" s="85">
        <v>0</v>
      </c>
      <c r="CB280" s="2">
        <v>1</v>
      </c>
      <c r="CC280" s="2">
        <v>1</v>
      </c>
      <c r="CD280" s="2">
        <v>1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1</v>
      </c>
      <c r="CP280" s="9"/>
      <c r="CQ280" s="10"/>
    </row>
    <row r="281" spans="2:95" x14ac:dyDescent="0.15">
      <c r="B281" s="103" t="s">
        <v>233</v>
      </c>
      <c r="C281" s="1" t="s">
        <v>243</v>
      </c>
      <c r="D281" s="1" t="s">
        <v>2088</v>
      </c>
      <c r="J281" s="1" t="s">
        <v>2110</v>
      </c>
      <c r="K281" s="1" t="s">
        <v>1770</v>
      </c>
      <c r="L281" s="1" t="s">
        <v>1750</v>
      </c>
      <c r="M281" s="1" t="s">
        <v>362</v>
      </c>
      <c r="N281" s="6">
        <v>9.2799999999999994</v>
      </c>
      <c r="O281" s="1" t="s">
        <v>4</v>
      </c>
      <c r="P281" s="1">
        <v>45000</v>
      </c>
      <c r="Q281" s="1">
        <v>4</v>
      </c>
      <c r="R281" s="1">
        <v>6</v>
      </c>
      <c r="S281" s="1">
        <v>20</v>
      </c>
      <c r="T281" s="1">
        <v>30</v>
      </c>
      <c r="U281" s="253">
        <v>9</v>
      </c>
      <c r="V281" s="1">
        <v>90</v>
      </c>
      <c r="W281" s="44">
        <v>140</v>
      </c>
      <c r="X281" s="40">
        <f>_xlfn.XLOOKUP("Ripening", CropPhenology_Potato[Main_Stage], CropPhenology_Potato[Start_GDD], "Not Found")</f>
        <v>2461</v>
      </c>
      <c r="Y281" s="4" cm="1">
        <f t="array" ref="Y281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81" s="3">
        <f t="shared" si="151"/>
        <v>23.233730158730161</v>
      </c>
      <c r="AA281" s="41">
        <f t="shared" si="152"/>
        <v>111.90626654597003</v>
      </c>
      <c r="AB281" s="1">
        <v>7</v>
      </c>
      <c r="AC281" s="1">
        <v>10</v>
      </c>
      <c r="AD281" s="1">
        <v>4</v>
      </c>
      <c r="AE281" s="1">
        <v>90</v>
      </c>
      <c r="AF281" s="1">
        <v>5</v>
      </c>
      <c r="AG281" s="1">
        <v>5</v>
      </c>
      <c r="AH281" s="3">
        <f t="shared" si="137"/>
        <v>1.2421109584859586</v>
      </c>
      <c r="AI281" s="1">
        <v>5</v>
      </c>
      <c r="AJ281" s="1">
        <v>6</v>
      </c>
      <c r="AK281" s="159">
        <v>1.7</v>
      </c>
      <c r="AL281" s="150">
        <v>0.12</v>
      </c>
      <c r="AM281" s="1">
        <v>450</v>
      </c>
      <c r="AN281" s="1">
        <v>600</v>
      </c>
      <c r="AO281" s="48">
        <v>5</v>
      </c>
      <c r="AP281" s="44">
        <v>60</v>
      </c>
      <c r="AQ281" s="42">
        <v>0.79</v>
      </c>
      <c r="AR281" s="1">
        <v>75</v>
      </c>
      <c r="AS281" s="1">
        <v>30</v>
      </c>
      <c r="AT281" s="1">
        <v>1</v>
      </c>
      <c r="AU281" s="4">
        <f t="shared" si="124"/>
        <v>4.4444444444444446</v>
      </c>
      <c r="AV281" s="3">
        <f t="shared" si="153"/>
        <v>2000</v>
      </c>
      <c r="AW281" s="1">
        <v>90</v>
      </c>
      <c r="AX281" s="3">
        <f t="shared" si="156"/>
        <v>4</v>
      </c>
      <c r="AY281" s="1">
        <v>1</v>
      </c>
      <c r="AZ281" s="4">
        <f t="shared" si="157"/>
        <v>4</v>
      </c>
      <c r="BA281" s="49">
        <v>0.93</v>
      </c>
      <c r="BB281" s="4">
        <f t="shared" si="125"/>
        <v>3.72</v>
      </c>
      <c r="BC281" s="50">
        <v>0.95</v>
      </c>
      <c r="BD281" s="69">
        <f>IFERROR(
  MAX(0.05, MIN(0.5, CropNorms_Potato[[#This Row],[Leaf_Area_Per_Shoot_m2]] * CropNorms_Potato[[#This Row],[Shoot_Bearing_m2]] )),
  0.2
)</f>
        <v>0.5</v>
      </c>
      <c r="BE281" s="4">
        <f>_xlfn.XLOOKUP(CropNorms_Potato[[#This Row],[LAI_Start_BBCH]], CropPhenology_Potato[Sub_Stage], CropPhenology_Potato[Start_GDD], "Not Found")</f>
        <v>261</v>
      </c>
      <c r="BF281" s="3">
        <f>ROUND(CropNorms_Potato[[#This Row],[Shoot_Bearing_m2]]*CropNorms_Potato[[#This Row],[Leaf_Area_Per_Shoot_m2]],2)</f>
        <v>3.53</v>
      </c>
      <c r="BG281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81" s="3">
        <f>IF(CropNorms_Potato[[#This Row],[Max_LAI]]&gt;=1.2, 0.85*CropNorms_Potato[[#This Row],[Max_LAI]], 1)</f>
        <v>3.0004999999999997</v>
      </c>
      <c r="BI281" s="41">
        <f>_xlfn.XLOOKUP(CropNorms_Potato[[#This Row],[LAI_End_BBCH]], CropPhenology_Potato[Sub_Stage], CropPhenology_Potato[End_GDD], "Not Found")</f>
        <v>2460</v>
      </c>
      <c r="BJ281" s="3" cm="1">
        <f t="array" ref="BJ281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81" s="3" cm="1">
        <f t="array" ref="BK28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81" s="3" cm="1">
        <f t="array" ref="BL281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81" s="3" cm="1">
        <f t="array" ref="BM28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1" s="42">
        <v>0.75</v>
      </c>
      <c r="BO281" s="43">
        <v>0.45</v>
      </c>
      <c r="BP281" s="42">
        <v>27.12</v>
      </c>
      <c r="BQ281" s="43" t="s">
        <v>1787</v>
      </c>
      <c r="BR281" s="3" t="str" cm="1">
        <f t="array" ref="BR28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81" s="3" t="str" cm="1">
        <f t="array" ref="BS28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81" s="3" t="str" cm="1">
        <f t="array" ref="BT281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81" s="3" t="str" cm="1">
        <f t="array" ref="BU281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81" s="48">
        <v>200</v>
      </c>
      <c r="BW281" s="1">
        <v>80</v>
      </c>
      <c r="BX281" s="44">
        <v>250</v>
      </c>
      <c r="BY281" s="51">
        <v>45703</v>
      </c>
      <c r="BZ281" s="5">
        <v>45731</v>
      </c>
      <c r="CA281" s="85">
        <v>0</v>
      </c>
      <c r="CB281" s="2">
        <v>1</v>
      </c>
      <c r="CC281" s="2">
        <v>1</v>
      </c>
      <c r="CD281" s="2">
        <v>1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1</v>
      </c>
      <c r="CP281" s="9"/>
      <c r="CQ281" s="10"/>
    </row>
    <row r="282" spans="2:95" x14ac:dyDescent="0.15">
      <c r="B282" s="103" t="s">
        <v>233</v>
      </c>
      <c r="C282" s="1" t="s">
        <v>244</v>
      </c>
      <c r="D282" s="1" t="s">
        <v>2088</v>
      </c>
      <c r="E282" s="1" t="s">
        <v>2089</v>
      </c>
      <c r="F282" s="1">
        <v>21</v>
      </c>
      <c r="G282" s="1" t="s">
        <v>2094</v>
      </c>
      <c r="H282" s="1" t="s">
        <v>2102</v>
      </c>
      <c r="J282" s="1" t="s">
        <v>1156</v>
      </c>
      <c r="K282" s="1" t="s">
        <v>1770</v>
      </c>
      <c r="L282" s="1" t="s">
        <v>1750</v>
      </c>
      <c r="M282" s="1" t="s">
        <v>362</v>
      </c>
      <c r="N282" s="6">
        <v>9.2799999999999994</v>
      </c>
      <c r="O282" s="1" t="s">
        <v>4</v>
      </c>
      <c r="P282" s="1">
        <v>100000</v>
      </c>
      <c r="Q282" s="1">
        <v>4</v>
      </c>
      <c r="R282" s="1">
        <v>6</v>
      </c>
      <c r="S282" s="1">
        <v>20</v>
      </c>
      <c r="T282" s="1">
        <v>30</v>
      </c>
      <c r="U282" s="253">
        <v>9</v>
      </c>
      <c r="V282" s="1">
        <v>90</v>
      </c>
      <c r="W282" s="44">
        <v>140</v>
      </c>
      <c r="X282" s="40">
        <f>_xlfn.XLOOKUP("Ripening", CropPhenology_Potato[Main_Stage], CropPhenology_Potato[Start_GDD], "Not Found")</f>
        <v>2461</v>
      </c>
      <c r="Y282" s="4" cm="1">
        <f t="array" ref="Y282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82" s="3">
        <f t="shared" si="151"/>
        <v>23.233730158730161</v>
      </c>
      <c r="AA282" s="41">
        <f t="shared" si="152"/>
        <v>111.90626654597003</v>
      </c>
      <c r="AB282" s="1">
        <v>7</v>
      </c>
      <c r="AC282" s="1">
        <v>10</v>
      </c>
      <c r="AD282" s="1">
        <v>4</v>
      </c>
      <c r="AE282" s="1">
        <v>90</v>
      </c>
      <c r="AF282" s="1">
        <v>5</v>
      </c>
      <c r="AG282" s="1">
        <v>5</v>
      </c>
      <c r="AH282" s="3">
        <f t="shared" si="137"/>
        <v>1.2421109584859586</v>
      </c>
      <c r="AI282" s="1">
        <v>4.8</v>
      </c>
      <c r="AJ282" s="1">
        <v>5.5</v>
      </c>
      <c r="AK282" s="159">
        <v>1.7</v>
      </c>
      <c r="AL282" s="150">
        <v>0.12</v>
      </c>
      <c r="AM282" s="1">
        <v>450</v>
      </c>
      <c r="AN282" s="1">
        <v>600</v>
      </c>
      <c r="AO282" s="48">
        <v>5</v>
      </c>
      <c r="AP282" s="44">
        <v>60</v>
      </c>
      <c r="AQ282" s="42">
        <v>0.82</v>
      </c>
      <c r="AR282" s="1">
        <v>75</v>
      </c>
      <c r="AS282" s="1">
        <v>30</v>
      </c>
      <c r="AT282" s="1">
        <v>1</v>
      </c>
      <c r="AU282" s="4">
        <f t="shared" si="124"/>
        <v>4.4444444444444446</v>
      </c>
      <c r="AV282" s="3">
        <f t="shared" si="153"/>
        <v>4444.4399999999996</v>
      </c>
      <c r="AW282" s="1">
        <v>90</v>
      </c>
      <c r="AX282" s="3">
        <f t="shared" si="156"/>
        <v>4</v>
      </c>
      <c r="AY282" s="1">
        <v>1</v>
      </c>
      <c r="AZ282" s="4">
        <f t="shared" si="157"/>
        <v>4</v>
      </c>
      <c r="BA282" s="49">
        <v>0.93</v>
      </c>
      <c r="BB282" s="4">
        <f t="shared" si="125"/>
        <v>3.72</v>
      </c>
      <c r="BC282" s="50">
        <v>0.95</v>
      </c>
      <c r="BD282" s="69">
        <f>IFERROR(
  MAX(0.05, MIN(0.5, CropNorms_Potato[[#This Row],[Leaf_Area_Per_Shoot_m2]] * CropNorms_Potato[[#This Row],[Shoot_Bearing_m2]] )),
  0.2
)</f>
        <v>0.5</v>
      </c>
      <c r="BE282" s="4">
        <f>_xlfn.XLOOKUP(CropNorms_Potato[[#This Row],[LAI_Start_BBCH]], CropPhenology_Potato[Sub_Stage], CropPhenology_Potato[Start_GDD], "Not Found")</f>
        <v>261</v>
      </c>
      <c r="BF282" s="3">
        <f>ROUND(CropNorms_Potato[[#This Row],[Shoot_Bearing_m2]]*CropNorms_Potato[[#This Row],[Leaf_Area_Per_Shoot_m2]],2)</f>
        <v>3.53</v>
      </c>
      <c r="BG282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82" s="3">
        <f>IF(CropNorms_Potato[[#This Row],[Max_LAI]]&gt;=1.2, 0.85*CropNorms_Potato[[#This Row],[Max_LAI]], 1)</f>
        <v>3.0004999999999997</v>
      </c>
      <c r="BI282" s="41">
        <f>_xlfn.XLOOKUP(CropNorms_Potato[[#This Row],[LAI_End_BBCH]], CropPhenology_Potato[Sub_Stage], CropPhenology_Potato[End_GDD], "Not Found")</f>
        <v>2460</v>
      </c>
      <c r="BJ282" s="3" cm="1">
        <f t="array" ref="BJ282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82" s="3" cm="1">
        <f t="array" ref="BK28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82" s="3" cm="1">
        <f t="array" ref="BL282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82" s="3" cm="1">
        <f t="array" ref="BM28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2" s="42">
        <v>0.75</v>
      </c>
      <c r="BO282" s="43">
        <v>0.45</v>
      </c>
      <c r="BP282" s="42">
        <v>27.12</v>
      </c>
      <c r="BQ282" s="43" t="s">
        <v>1787</v>
      </c>
      <c r="BR282" s="3" t="str" cm="1">
        <f t="array" ref="BR28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82" s="3" t="str" cm="1">
        <f t="array" ref="BS28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82" s="3" t="str" cm="1">
        <f t="array" ref="BT282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82" s="3" t="str" cm="1">
        <f t="array" ref="BU282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82" s="48">
        <v>200</v>
      </c>
      <c r="BW282" s="1">
        <v>80</v>
      </c>
      <c r="BX282" s="44">
        <v>250</v>
      </c>
      <c r="BY282" s="51">
        <v>45703</v>
      </c>
      <c r="BZ282" s="5">
        <v>45731</v>
      </c>
      <c r="CA282" s="85">
        <v>0</v>
      </c>
      <c r="CB282" s="2">
        <v>1</v>
      </c>
      <c r="CC282" s="2">
        <v>1</v>
      </c>
      <c r="CD282" s="2">
        <v>1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1</v>
      </c>
      <c r="CP282" s="9"/>
      <c r="CQ282" s="10"/>
    </row>
    <row r="283" spans="2:95" x14ac:dyDescent="0.15">
      <c r="B283" s="103" t="s">
        <v>233</v>
      </c>
      <c r="C283" s="1" t="s">
        <v>245</v>
      </c>
      <c r="D283" s="1" t="s">
        <v>2088</v>
      </c>
      <c r="E283" s="1" t="s">
        <v>1835</v>
      </c>
      <c r="F283" s="1">
        <v>50</v>
      </c>
      <c r="H283" s="1" t="s">
        <v>2097</v>
      </c>
      <c r="J283" s="1" t="s">
        <v>2110</v>
      </c>
      <c r="K283" s="1" t="s">
        <v>1770</v>
      </c>
      <c r="L283" s="1" t="s">
        <v>1750</v>
      </c>
      <c r="M283" s="1" t="s">
        <v>362</v>
      </c>
      <c r="N283" s="6">
        <v>9.2799999999999994</v>
      </c>
      <c r="O283" s="1" t="s">
        <v>4</v>
      </c>
      <c r="P283" s="1">
        <v>45000</v>
      </c>
      <c r="Q283" s="1">
        <v>4</v>
      </c>
      <c r="R283" s="1">
        <v>6</v>
      </c>
      <c r="S283" s="1">
        <v>20</v>
      </c>
      <c r="T283" s="1">
        <v>30</v>
      </c>
      <c r="U283" s="253">
        <v>9</v>
      </c>
      <c r="V283" s="1">
        <v>90</v>
      </c>
      <c r="W283" s="44">
        <v>140</v>
      </c>
      <c r="X283" s="40">
        <f>_xlfn.XLOOKUP("Ripening", CropPhenology_Potato[Main_Stage], CropPhenology_Potato[Start_GDD], "Not Found")</f>
        <v>2461</v>
      </c>
      <c r="Y283" s="4" cm="1">
        <f t="array" ref="Y283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83" s="3">
        <f t="shared" si="151"/>
        <v>23.233730158730161</v>
      </c>
      <c r="AA283" s="41">
        <f t="shared" si="152"/>
        <v>111.90626654597003</v>
      </c>
      <c r="AB283" s="1">
        <v>7</v>
      </c>
      <c r="AC283" s="1">
        <v>10</v>
      </c>
      <c r="AD283" s="1">
        <v>4</v>
      </c>
      <c r="AE283" s="1">
        <v>90</v>
      </c>
      <c r="AF283" s="1">
        <v>5</v>
      </c>
      <c r="AG283" s="1">
        <v>5</v>
      </c>
      <c r="AH283" s="3">
        <f t="shared" si="137"/>
        <v>1.2421109584859586</v>
      </c>
      <c r="AI283" s="1">
        <v>4.8</v>
      </c>
      <c r="AJ283" s="1">
        <v>5.5</v>
      </c>
      <c r="AK283" s="159">
        <v>1.7</v>
      </c>
      <c r="AL283" s="150">
        <v>0.12</v>
      </c>
      <c r="AM283" s="1">
        <v>450</v>
      </c>
      <c r="AN283" s="1">
        <v>600</v>
      </c>
      <c r="AO283" s="48">
        <v>5</v>
      </c>
      <c r="AP283" s="44">
        <v>60</v>
      </c>
      <c r="AQ283" s="42">
        <v>0.78</v>
      </c>
      <c r="AR283" s="1">
        <v>75</v>
      </c>
      <c r="AS283" s="1">
        <v>30</v>
      </c>
      <c r="AT283" s="1">
        <v>1</v>
      </c>
      <c r="AU283" s="4">
        <f t="shared" si="124"/>
        <v>4.4444444444444446</v>
      </c>
      <c r="AV283" s="3">
        <f t="shared" si="153"/>
        <v>2000</v>
      </c>
      <c r="AW283" s="1">
        <v>90</v>
      </c>
      <c r="AX283" s="3">
        <f t="shared" si="156"/>
        <v>4</v>
      </c>
      <c r="AY283" s="1">
        <v>1</v>
      </c>
      <c r="AZ283" s="4">
        <f t="shared" si="157"/>
        <v>4</v>
      </c>
      <c r="BA283" s="49">
        <v>0.93</v>
      </c>
      <c r="BB283" s="4">
        <f t="shared" si="125"/>
        <v>3.72</v>
      </c>
      <c r="BC283" s="50">
        <v>0.95</v>
      </c>
      <c r="BD283" s="69">
        <f>IFERROR(
  MAX(0.05, MIN(0.5, CropNorms_Potato[[#This Row],[Leaf_Area_Per_Shoot_m2]] * CropNorms_Potato[[#This Row],[Shoot_Bearing_m2]] )),
  0.2
)</f>
        <v>0.5</v>
      </c>
      <c r="BE283" s="4">
        <f>_xlfn.XLOOKUP(CropNorms_Potato[[#This Row],[LAI_Start_BBCH]], CropPhenology_Potato[Sub_Stage], CropPhenology_Potato[Start_GDD], "Not Found")</f>
        <v>261</v>
      </c>
      <c r="BF283" s="3">
        <f>ROUND(CropNorms_Potato[[#This Row],[Shoot_Bearing_m2]]*CropNorms_Potato[[#This Row],[Leaf_Area_Per_Shoot_m2]],2)</f>
        <v>3.53</v>
      </c>
      <c r="BG283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83" s="3">
        <f>IF(CropNorms_Potato[[#This Row],[Max_LAI]]&gt;=1.2, 0.85*CropNorms_Potato[[#This Row],[Max_LAI]], 1)</f>
        <v>3.0004999999999997</v>
      </c>
      <c r="BI283" s="41">
        <f>_xlfn.XLOOKUP(CropNorms_Potato[[#This Row],[LAI_End_BBCH]], CropPhenology_Potato[Sub_Stage], CropPhenology_Potato[End_GDD], "Not Found")</f>
        <v>2460</v>
      </c>
      <c r="BJ283" s="3" cm="1">
        <f t="array" ref="BJ283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83" s="3" cm="1">
        <f t="array" ref="BK28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83" s="3" cm="1">
        <f t="array" ref="BL283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83" s="3" cm="1">
        <f t="array" ref="BM28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3" s="42">
        <v>0.75</v>
      </c>
      <c r="BO283" s="43">
        <v>0.45</v>
      </c>
      <c r="BP283" s="42">
        <v>27.12</v>
      </c>
      <c r="BQ283" s="43" t="s">
        <v>1787</v>
      </c>
      <c r="BR283" s="3" t="str" cm="1">
        <f t="array" ref="BR28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83" s="3" t="str" cm="1">
        <f t="array" ref="BS28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83" s="3" t="str" cm="1">
        <f t="array" ref="BT283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83" s="3" t="str" cm="1">
        <f t="array" ref="BU283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83" s="48">
        <v>200</v>
      </c>
      <c r="BW283" s="1">
        <v>80</v>
      </c>
      <c r="BX283" s="44">
        <v>250</v>
      </c>
      <c r="BY283" s="51">
        <v>45703</v>
      </c>
      <c r="BZ283" s="5">
        <v>45731</v>
      </c>
      <c r="CA283" s="85">
        <v>0</v>
      </c>
      <c r="CB283" s="2">
        <v>1</v>
      </c>
      <c r="CC283" s="2">
        <v>1</v>
      </c>
      <c r="CD283" s="2">
        <v>1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1</v>
      </c>
      <c r="CP283" s="9"/>
      <c r="CQ283" s="10"/>
    </row>
    <row r="284" spans="2:95" ht="11.25" thickBot="1" x14ac:dyDescent="0.2">
      <c r="B284" s="103" t="s">
        <v>233</v>
      </c>
      <c r="C284" s="1" t="s">
        <v>246</v>
      </c>
      <c r="D284" s="1" t="s">
        <v>2088</v>
      </c>
      <c r="H284" s="1" t="s">
        <v>2103</v>
      </c>
      <c r="J284" s="1" t="s">
        <v>2110</v>
      </c>
      <c r="K284" s="1" t="s">
        <v>1770</v>
      </c>
      <c r="L284" s="1" t="s">
        <v>1750</v>
      </c>
      <c r="M284" s="1" t="s">
        <v>362</v>
      </c>
      <c r="N284" s="6">
        <v>9.2799999999999994</v>
      </c>
      <c r="O284" s="1" t="s">
        <v>4</v>
      </c>
      <c r="P284" s="1">
        <v>45000</v>
      </c>
      <c r="Q284" s="1">
        <v>4</v>
      </c>
      <c r="R284" s="1">
        <v>6</v>
      </c>
      <c r="S284" s="1">
        <v>20</v>
      </c>
      <c r="T284" s="1">
        <v>30</v>
      </c>
      <c r="U284" s="254">
        <v>9</v>
      </c>
      <c r="V284" s="1">
        <v>90</v>
      </c>
      <c r="W284" s="44">
        <v>140</v>
      </c>
      <c r="X284" s="40">
        <f>_xlfn.XLOOKUP("Ripening", CropPhenology_Potato[Main_Stage], CropPhenology_Potato[Start_GDD], "Not Found")</f>
        <v>2461</v>
      </c>
      <c r="Y284" s="4" cm="1">
        <f t="array" ref="Y284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Z284" s="3">
        <f t="shared" si="151"/>
        <v>23.233730158730161</v>
      </c>
      <c r="AA284" s="41">
        <f t="shared" si="152"/>
        <v>111.90626654597003</v>
      </c>
      <c r="AB284" s="1">
        <v>7</v>
      </c>
      <c r="AC284" s="1">
        <v>10</v>
      </c>
      <c r="AD284" s="1">
        <v>4</v>
      </c>
      <c r="AE284" s="1">
        <v>90</v>
      </c>
      <c r="AF284" s="1">
        <v>5</v>
      </c>
      <c r="AG284" s="1">
        <v>5</v>
      </c>
      <c r="AH284" s="3">
        <f t="shared" si="137"/>
        <v>1.2421109584859586</v>
      </c>
      <c r="AI284" s="1">
        <v>4.8</v>
      </c>
      <c r="AJ284" s="1">
        <v>5.5</v>
      </c>
      <c r="AK284" s="160">
        <v>1.7</v>
      </c>
      <c r="AL284" s="161">
        <v>0.12</v>
      </c>
      <c r="AM284" s="1">
        <v>450</v>
      </c>
      <c r="AN284" s="1">
        <v>600</v>
      </c>
      <c r="AO284" s="48">
        <v>5</v>
      </c>
      <c r="AP284" s="44">
        <v>60</v>
      </c>
      <c r="AQ284" s="42">
        <v>0.81</v>
      </c>
      <c r="AR284" s="1">
        <v>75</v>
      </c>
      <c r="AS284" s="1">
        <v>30</v>
      </c>
      <c r="AT284" s="1">
        <v>1</v>
      </c>
      <c r="AU284" s="4">
        <f t="shared" si="124"/>
        <v>4.4444444444444446</v>
      </c>
      <c r="AV284" s="3">
        <f t="shared" si="153"/>
        <v>2000</v>
      </c>
      <c r="AW284" s="1">
        <v>90</v>
      </c>
      <c r="AX284" s="3">
        <f t="shared" si="156"/>
        <v>4</v>
      </c>
      <c r="AY284" s="1">
        <v>1</v>
      </c>
      <c r="AZ284" s="4">
        <f t="shared" si="157"/>
        <v>4</v>
      </c>
      <c r="BA284" s="49">
        <v>0.93</v>
      </c>
      <c r="BB284" s="4">
        <f t="shared" si="125"/>
        <v>3.72</v>
      </c>
      <c r="BC284" s="50">
        <v>0.95</v>
      </c>
      <c r="BD284" s="69">
        <f>IFERROR(
  MAX(0.05, MIN(0.5, CropNorms_Potato[[#This Row],[Leaf_Area_Per_Shoot_m2]] * CropNorms_Potato[[#This Row],[Shoot_Bearing_m2]] )),
  0.2
)</f>
        <v>0.5</v>
      </c>
      <c r="BE284" s="4">
        <f>_xlfn.XLOOKUP(CropNorms_Potato[[#This Row],[LAI_Start_BBCH]], CropPhenology_Potato[Sub_Stage], CropPhenology_Potato[Start_GDD], "Not Found")</f>
        <v>261</v>
      </c>
      <c r="BF284" s="3">
        <f>ROUND(CropNorms_Potato[[#This Row],[Shoot_Bearing_m2]]*CropNorms_Potato[[#This Row],[Leaf_Area_Per_Shoot_m2]],2)</f>
        <v>3.53</v>
      </c>
      <c r="BG284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H284" s="3">
        <f>IF(CropNorms_Potato[[#This Row],[Max_LAI]]&gt;=1.2, 0.85*CropNorms_Potato[[#This Row],[Max_LAI]], 1)</f>
        <v>3.0004999999999997</v>
      </c>
      <c r="BI284" s="41">
        <f>_xlfn.XLOOKUP(CropNorms_Potato[[#This Row],[LAI_End_BBCH]], CropPhenology_Potato[Sub_Stage], CropPhenology_Potato[End_GDD], "Not Found")</f>
        <v>2460</v>
      </c>
      <c r="BJ284" s="3" cm="1">
        <f t="array" ref="BJ284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K284" s="3" cm="1">
        <f t="array" ref="BK28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L284" s="3" cm="1">
        <f t="array" ref="BL284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M284" s="3" cm="1">
        <f t="array" ref="BM28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4" s="42">
        <v>0.75</v>
      </c>
      <c r="BO284" s="43">
        <v>0.45</v>
      </c>
      <c r="BP284" s="42">
        <v>27.12</v>
      </c>
      <c r="BQ284" s="43" t="s">
        <v>1787</v>
      </c>
      <c r="BR284" s="3" t="str" cm="1">
        <f t="array" ref="BR28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S284" s="3" t="str" cm="1">
        <f t="array" ref="BS28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T284" s="3" t="str" cm="1">
        <f t="array" ref="BT284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U284" s="3" t="str" cm="1">
        <f t="array" ref="BU284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V284" s="48">
        <v>200</v>
      </c>
      <c r="BW284" s="1">
        <v>80</v>
      </c>
      <c r="BX284" s="44">
        <v>250</v>
      </c>
      <c r="BY284" s="51">
        <v>45703</v>
      </c>
      <c r="BZ284" s="5">
        <v>45731</v>
      </c>
      <c r="CA284" s="85">
        <v>0</v>
      </c>
      <c r="CB284" s="2">
        <v>1</v>
      </c>
      <c r="CC284" s="2">
        <v>1</v>
      </c>
      <c r="CD284" s="2">
        <v>1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1</v>
      </c>
      <c r="CP284" s="9"/>
      <c r="CQ284" s="10"/>
    </row>
    <row r="285" spans="2:95" ht="11.25" thickBot="1" x14ac:dyDescent="0.2">
      <c r="B285" s="68"/>
      <c r="Y285" s="3"/>
      <c r="Z285" s="4"/>
      <c r="AG285" s="3"/>
      <c r="AR285" s="4"/>
      <c r="AS285" s="3"/>
      <c r="AU285" s="3"/>
      <c r="AW285" s="4"/>
      <c r="AX285" s="49"/>
      <c r="AY285" s="4"/>
      <c r="BV285" s="51"/>
      <c r="BW285" s="51"/>
      <c r="CP285" s="9"/>
      <c r="CQ285" s="10"/>
    </row>
    <row r="286" spans="2:95" ht="11.25" thickBot="1" x14ac:dyDescent="0.2">
      <c r="B286" s="54" t="s">
        <v>1753</v>
      </c>
      <c r="C286" s="53" t="s">
        <v>1754</v>
      </c>
      <c r="D286" s="53" t="s">
        <v>1804</v>
      </c>
      <c r="E286" s="53" t="s">
        <v>1805</v>
      </c>
      <c r="F286" s="53" t="s">
        <v>1806</v>
      </c>
      <c r="G286" s="53" t="s">
        <v>1807</v>
      </c>
      <c r="H286" s="53" t="s">
        <v>1808</v>
      </c>
      <c r="I286" s="53" t="s">
        <v>1809</v>
      </c>
      <c r="J286" s="53" t="s">
        <v>1810</v>
      </c>
      <c r="K286" s="53" t="s">
        <v>1747</v>
      </c>
      <c r="L286" s="54" t="s">
        <v>1749</v>
      </c>
      <c r="M286" s="53" t="s">
        <v>357</v>
      </c>
      <c r="N286" s="55" t="s">
        <v>692</v>
      </c>
      <c r="O286" s="53" t="s">
        <v>325</v>
      </c>
      <c r="P286" s="53" t="s">
        <v>356</v>
      </c>
      <c r="Q286" s="53" t="s">
        <v>326</v>
      </c>
      <c r="R286" s="53" t="s">
        <v>327</v>
      </c>
      <c r="S286" s="53" t="s">
        <v>328</v>
      </c>
      <c r="T286" s="53" t="s">
        <v>329</v>
      </c>
      <c r="U286" s="250" t="s">
        <v>2349</v>
      </c>
      <c r="V286" s="53" t="s">
        <v>330</v>
      </c>
      <c r="W286" s="53" t="s">
        <v>331</v>
      </c>
      <c r="X286" s="56" t="s">
        <v>354</v>
      </c>
      <c r="Y286" s="57" t="s">
        <v>355</v>
      </c>
      <c r="Z286" s="58" t="s">
        <v>413</v>
      </c>
      <c r="AA286" s="59" t="s">
        <v>583</v>
      </c>
      <c r="AB286" s="61" t="s">
        <v>324</v>
      </c>
      <c r="AC286" s="53" t="s">
        <v>332</v>
      </c>
      <c r="AD286" s="53" t="s">
        <v>333</v>
      </c>
      <c r="AE286" s="53" t="s">
        <v>334</v>
      </c>
      <c r="AF286" s="53" t="s">
        <v>335</v>
      </c>
      <c r="AG286" s="53" t="s">
        <v>336</v>
      </c>
      <c r="AH286" s="60" t="s">
        <v>337</v>
      </c>
      <c r="AI286" s="53" t="s">
        <v>338</v>
      </c>
      <c r="AJ286" s="53" t="s">
        <v>339</v>
      </c>
      <c r="AK286" s="157" t="s">
        <v>2346</v>
      </c>
      <c r="AL286" s="158" t="s">
        <v>2347</v>
      </c>
      <c r="AM286" s="53" t="s">
        <v>340</v>
      </c>
      <c r="AN286" s="53" t="s">
        <v>341</v>
      </c>
      <c r="AO286" s="61" t="s">
        <v>342</v>
      </c>
      <c r="AP286" s="62" t="s">
        <v>343</v>
      </c>
      <c r="AQ286" s="55" t="s">
        <v>344</v>
      </c>
      <c r="AR286" s="53" t="s">
        <v>345</v>
      </c>
      <c r="AS286" s="53" t="s">
        <v>346</v>
      </c>
      <c r="AT286" s="53" t="s">
        <v>364</v>
      </c>
      <c r="AU286" s="60" t="s">
        <v>347</v>
      </c>
      <c r="AV286" s="58" t="s">
        <v>363</v>
      </c>
      <c r="AW286" s="53" t="s">
        <v>348</v>
      </c>
      <c r="AX286" s="58" t="s">
        <v>349</v>
      </c>
      <c r="AY286" s="53" t="s">
        <v>366</v>
      </c>
      <c r="AZ286" s="60" t="s">
        <v>350</v>
      </c>
      <c r="BA286" s="53" t="s">
        <v>365</v>
      </c>
      <c r="BB286" s="60" t="s">
        <v>1827</v>
      </c>
      <c r="BC286" s="63" t="s">
        <v>351</v>
      </c>
      <c r="BD286" s="71" t="s">
        <v>1811</v>
      </c>
      <c r="BE286" s="57" t="s">
        <v>352</v>
      </c>
      <c r="BF286" s="58" t="s">
        <v>1812</v>
      </c>
      <c r="BG286" s="57" t="s">
        <v>1752</v>
      </c>
      <c r="BH286" s="60" t="s">
        <v>1813</v>
      </c>
      <c r="BI286" s="59" t="s">
        <v>353</v>
      </c>
      <c r="BJ286" s="71" t="s">
        <v>1828</v>
      </c>
      <c r="BK286" s="58" t="s">
        <v>1829</v>
      </c>
      <c r="BL286" s="58" t="s">
        <v>1830</v>
      </c>
      <c r="BM286" s="72" t="s">
        <v>1831</v>
      </c>
      <c r="BN286" s="64" t="s">
        <v>1154</v>
      </c>
      <c r="BO286" s="65" t="s">
        <v>1742</v>
      </c>
      <c r="BP286" s="64" t="s">
        <v>1155</v>
      </c>
      <c r="BQ286" s="65" t="s">
        <v>1755</v>
      </c>
      <c r="BR286" s="58" t="s">
        <v>367</v>
      </c>
      <c r="BS286" s="58" t="s">
        <v>1751</v>
      </c>
      <c r="BT286" s="58" t="s">
        <v>368</v>
      </c>
      <c r="BU286" s="60" t="s">
        <v>1814</v>
      </c>
      <c r="BV286" s="61" t="s">
        <v>369</v>
      </c>
      <c r="BW286" s="53" t="s">
        <v>370</v>
      </c>
      <c r="BX286" s="62" t="s">
        <v>371</v>
      </c>
      <c r="BY286" s="53" t="s">
        <v>359</v>
      </c>
      <c r="BZ286" s="53" t="s">
        <v>361</v>
      </c>
      <c r="CA286" s="61" t="s">
        <v>1815</v>
      </c>
      <c r="CB286" s="53" t="s">
        <v>1816</v>
      </c>
      <c r="CC286" s="53" t="s">
        <v>1817</v>
      </c>
      <c r="CD286" s="53" t="s">
        <v>1818</v>
      </c>
      <c r="CE286" s="53" t="s">
        <v>1819</v>
      </c>
      <c r="CF286" s="53" t="s">
        <v>1820</v>
      </c>
      <c r="CG286" s="53" t="s">
        <v>1821</v>
      </c>
      <c r="CH286" s="53" t="s">
        <v>1822</v>
      </c>
      <c r="CI286" s="53" t="s">
        <v>1823</v>
      </c>
      <c r="CJ286" s="53" t="s">
        <v>1824</v>
      </c>
      <c r="CK286" s="53" t="s">
        <v>1825</v>
      </c>
      <c r="CL286" s="53" t="s">
        <v>1826</v>
      </c>
      <c r="CP286" s="9"/>
      <c r="CQ286" s="10"/>
    </row>
    <row r="287" spans="2:95" x14ac:dyDescent="0.15">
      <c r="B287" s="36" t="s">
        <v>247</v>
      </c>
      <c r="C287" s="1" t="s">
        <v>248</v>
      </c>
      <c r="K287" s="1" t="s">
        <v>1770</v>
      </c>
      <c r="L287" s="1" t="s">
        <v>1750</v>
      </c>
      <c r="M287" s="1" t="s">
        <v>362</v>
      </c>
      <c r="N287" s="6">
        <v>19</v>
      </c>
      <c r="O287" s="1" t="s">
        <v>4</v>
      </c>
      <c r="P287" s="1">
        <v>8</v>
      </c>
      <c r="Q287" s="1">
        <v>5</v>
      </c>
      <c r="R287" s="1">
        <v>4</v>
      </c>
      <c r="S287" s="1">
        <v>20</v>
      </c>
      <c r="T287" s="1">
        <v>30</v>
      </c>
      <c r="U287" s="253">
        <v>7</v>
      </c>
      <c r="V287" s="1">
        <v>50</v>
      </c>
      <c r="W287" s="44">
        <v>65</v>
      </c>
      <c r="X287" s="40">
        <f>_xlfn.XLOOKUP("Ripening", CropPhenology_Radish[Main_Stage], CropPhenology_Radish[Start_GDD], "Not Found")</f>
        <v>1141</v>
      </c>
      <c r="Y287" s="4" cm="1">
        <f t="array" ref="Y287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Z287" s="3">
        <f>MIN(Y287/V287,MAX(X287/W287,R287,(X287/W287+Y287/V287)/2))</f>
        <v>20.776923076923076</v>
      </c>
      <c r="AA287" s="41">
        <f t="shared" ref="AA287:AA289" si="158">Y287/Z287</f>
        <v>57.756386523509811</v>
      </c>
      <c r="AB287" s="48">
        <v>7</v>
      </c>
      <c r="AC287" s="1">
        <v>10</v>
      </c>
      <c r="AD287" s="1">
        <v>3</v>
      </c>
      <c r="AE287" s="1">
        <v>90</v>
      </c>
      <c r="AF287" s="1">
        <v>5</v>
      </c>
      <c r="AG287" s="1">
        <v>4</v>
      </c>
      <c r="AH287" s="3">
        <f t="shared" si="137"/>
        <v>1.0215320512820514</v>
      </c>
      <c r="AI287" s="1">
        <v>5.8</v>
      </c>
      <c r="AJ287" s="1">
        <v>6.8</v>
      </c>
      <c r="AK287" s="159">
        <v>1.2</v>
      </c>
      <c r="AL287" s="150">
        <v>0.13</v>
      </c>
      <c r="AM287" s="1">
        <v>250</v>
      </c>
      <c r="AN287" s="1">
        <v>350</v>
      </c>
      <c r="AO287" s="48">
        <v>2</v>
      </c>
      <c r="AP287" s="44">
        <v>50</v>
      </c>
      <c r="AQ287" s="42">
        <v>0.78</v>
      </c>
      <c r="AR287" s="1">
        <v>30</v>
      </c>
      <c r="AS287" s="1">
        <v>10</v>
      </c>
      <c r="AT287" s="1">
        <v>1</v>
      </c>
      <c r="AU287" s="4">
        <f t="shared" si="124"/>
        <v>33.333333333333336</v>
      </c>
      <c r="AV287" s="3">
        <f>ROUND((P287/1000000)*AU287*10000,2)</f>
        <v>2.67</v>
      </c>
      <c r="AW287" s="1">
        <v>85</v>
      </c>
      <c r="AX287" s="3">
        <f t="shared" si="156"/>
        <v>28.333333333333336</v>
      </c>
      <c r="AY287" s="1">
        <v>1</v>
      </c>
      <c r="AZ287" s="4">
        <f t="shared" ref="AZ287" si="159">IFERROR(AX287*AY287,0)</f>
        <v>28.333333333333336</v>
      </c>
      <c r="BA287" s="49">
        <v>0.93</v>
      </c>
      <c r="BB287" s="4">
        <f t="shared" si="125"/>
        <v>26.350000000000005</v>
      </c>
      <c r="BC287" s="50">
        <v>0.15</v>
      </c>
      <c r="BD287" s="69">
        <f>IFERROR(
  MAX(0.05, MIN(0.5, CropNorms_Radish[[#This Row],[Leaf_Area_Per_Shoot_m2]] * CropNorms_Radish[[#This Row],[Shoot_Bearing_m2]] )),
  0.2
)</f>
        <v>0.5</v>
      </c>
      <c r="BE287" s="4">
        <f>_xlfn.XLOOKUP(CropNorms_Radish[[#This Row],[LAI_Start_BBCH]], CropPhenology_Radish[Sub_Stage], CropPhenology_Radish[Start_GDD], "Not Found")</f>
        <v>121</v>
      </c>
      <c r="BF287" s="3">
        <f>ROUND(CropNorms_Radish[[#This Row],[Shoot_Bearing_m2]]*CropNorms_Radish[[#This Row],[Leaf_Area_Per_Shoot_m2]],2)</f>
        <v>3.95</v>
      </c>
      <c r="BG287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H287" s="3">
        <f>IF(CropNorms_Radish[[#This Row],[Max_LAI]]&gt;=1.2, 0.85*CropNorms_Radish[[#This Row],[Max_LAI]], 1)</f>
        <v>3.3574999999999999</v>
      </c>
      <c r="BI287" s="41">
        <f>_xlfn.XLOOKUP(CropNorms_Radish[[#This Row],[LAI_End_BBCH]], CropPhenology_Radish[Sub_Stage], CropPhenology_Radish[End_GDD], "Not Found")</f>
        <v>1140</v>
      </c>
      <c r="BJ287" s="3" cm="1">
        <f t="array" ref="BJ287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K287" s="3" cm="1">
        <f t="array" ref="BK287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0.93387609029011243</v>
      </c>
      <c r="BL287" s="3" cm="1">
        <f t="array" ref="BL287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1.9471986673863078</v>
      </c>
      <c r="BM287" s="3" cm="1">
        <f t="array" ref="BM287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7" s="42">
        <v>0.6</v>
      </c>
      <c r="BO287" s="43">
        <v>0.55000000000000004</v>
      </c>
      <c r="BP287" s="42">
        <v>8.18</v>
      </c>
      <c r="BQ287" s="43" t="s">
        <v>1786</v>
      </c>
      <c r="BR287" s="3" t="str" cm="1">
        <f t="array" ref="BR287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87" s="3" t="str" cm="1">
        <f t="array" ref="BS287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287" s="3" t="str" cm="1">
        <f t="array" ref="BT287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287" s="3" t="str" cm="1">
        <f t="array" ref="BU287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287" s="48">
        <v>80</v>
      </c>
      <c r="BW287" s="1">
        <v>40</v>
      </c>
      <c r="BX287" s="44">
        <v>60</v>
      </c>
      <c r="BY287" s="51">
        <v>45703</v>
      </c>
      <c r="BZ287" s="5">
        <v>45731</v>
      </c>
      <c r="CA287" s="85">
        <v>0</v>
      </c>
      <c r="CB287" s="2">
        <v>1</v>
      </c>
      <c r="CC287" s="2">
        <v>1</v>
      </c>
      <c r="CD287" s="2">
        <v>1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P287" s="9"/>
      <c r="CQ287" s="10"/>
    </row>
    <row r="288" spans="2:95" x14ac:dyDescent="0.15">
      <c r="B288" s="36" t="s">
        <v>247</v>
      </c>
      <c r="C288" s="1" t="s">
        <v>249</v>
      </c>
      <c r="K288" s="1" t="s">
        <v>1770</v>
      </c>
      <c r="L288" s="1" t="s">
        <v>1750</v>
      </c>
      <c r="M288" s="1" t="s">
        <v>362</v>
      </c>
      <c r="N288" s="6">
        <v>19</v>
      </c>
      <c r="O288" s="1" t="s">
        <v>4</v>
      </c>
      <c r="P288" s="1">
        <v>8</v>
      </c>
      <c r="Q288" s="1">
        <v>5</v>
      </c>
      <c r="R288" s="1">
        <v>4</v>
      </c>
      <c r="S288" s="1">
        <v>20</v>
      </c>
      <c r="T288" s="1">
        <v>30</v>
      </c>
      <c r="U288" s="253">
        <v>7</v>
      </c>
      <c r="V288" s="1">
        <v>50</v>
      </c>
      <c r="W288" s="44">
        <v>65</v>
      </c>
      <c r="X288" s="40">
        <f>_xlfn.XLOOKUP("Ripening", CropPhenology_Radish[Main_Stage], CropPhenology_Radish[Start_GDD], "Not Found")</f>
        <v>1141</v>
      </c>
      <c r="Y288" s="4" cm="1">
        <f t="array" ref="Y288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Z288" s="3">
        <f>MIN(Y288/V288,MAX(X288/W288,R288,(X288/W288+Y288/V288)/2))</f>
        <v>20.776923076923076</v>
      </c>
      <c r="AA288" s="41">
        <f t="shared" si="158"/>
        <v>57.756386523509811</v>
      </c>
      <c r="AB288" s="48">
        <v>7</v>
      </c>
      <c r="AC288" s="1">
        <v>10</v>
      </c>
      <c r="AD288" s="1">
        <v>3</v>
      </c>
      <c r="AE288" s="1">
        <v>90</v>
      </c>
      <c r="AF288" s="1">
        <v>5</v>
      </c>
      <c r="AG288" s="1">
        <v>4</v>
      </c>
      <c r="AH288" s="3">
        <f t="shared" si="137"/>
        <v>1.0215320512820514</v>
      </c>
      <c r="AI288" s="1">
        <v>5.8</v>
      </c>
      <c r="AJ288" s="1">
        <v>6.8</v>
      </c>
      <c r="AK288" s="159">
        <v>1.2</v>
      </c>
      <c r="AL288" s="150">
        <v>0.13</v>
      </c>
      <c r="AM288" s="1">
        <v>250</v>
      </c>
      <c r="AN288" s="1">
        <v>350</v>
      </c>
      <c r="AO288" s="48">
        <v>2</v>
      </c>
      <c r="AP288" s="44">
        <v>50</v>
      </c>
      <c r="AQ288" s="42">
        <v>0.8</v>
      </c>
      <c r="AR288" s="1">
        <v>30</v>
      </c>
      <c r="AS288" s="1">
        <v>10</v>
      </c>
      <c r="AT288" s="1">
        <v>1</v>
      </c>
      <c r="AU288" s="4">
        <f t="shared" si="124"/>
        <v>33.333333333333336</v>
      </c>
      <c r="AV288" s="3">
        <f>ROUND((P288/1000000)*AU288*10000,2)</f>
        <v>2.67</v>
      </c>
      <c r="AW288" s="1">
        <v>85</v>
      </c>
      <c r="AX288" s="3">
        <f t="shared" ref="AX288:AX289" si="160">IFERROR((AU288*AW288/100),0)</f>
        <v>28.333333333333336</v>
      </c>
      <c r="AY288" s="1">
        <v>1</v>
      </c>
      <c r="AZ288" s="4">
        <f t="shared" ref="AZ288:AZ289" si="161">IFERROR(AX288*AY288,0)</f>
        <v>28.333333333333336</v>
      </c>
      <c r="BA288" s="49">
        <v>0.93</v>
      </c>
      <c r="BB288" s="4">
        <f t="shared" si="125"/>
        <v>26.350000000000005</v>
      </c>
      <c r="BC288" s="50">
        <v>0.15</v>
      </c>
      <c r="BD288" s="69">
        <f>IFERROR(
  MAX(0.05, MIN(0.5, CropNorms_Radish[[#This Row],[Leaf_Area_Per_Shoot_m2]] * CropNorms_Radish[[#This Row],[Shoot_Bearing_m2]] )),
  0.2
)</f>
        <v>0.5</v>
      </c>
      <c r="BE288" s="4">
        <f>_xlfn.XLOOKUP(CropNorms_Radish[[#This Row],[LAI_Start_BBCH]], CropPhenology_Radish[Sub_Stage], CropPhenology_Radish[Start_GDD], "Not Found")</f>
        <v>121</v>
      </c>
      <c r="BF288" s="3">
        <f>ROUND(CropNorms_Radish[[#This Row],[Shoot_Bearing_m2]]*CropNorms_Radish[[#This Row],[Leaf_Area_Per_Shoot_m2]],2)</f>
        <v>3.95</v>
      </c>
      <c r="BG288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H288" s="3">
        <f>IF(CropNorms_Radish[[#This Row],[Max_LAI]]&gt;=1.2, 0.85*CropNorms_Radish[[#This Row],[Max_LAI]], 1)</f>
        <v>3.3574999999999999</v>
      </c>
      <c r="BI288" s="41">
        <f>_xlfn.XLOOKUP(CropNorms_Radish[[#This Row],[LAI_End_BBCH]], CropPhenology_Radish[Sub_Stage], CropPhenology_Radish[End_GDD], "Not Found")</f>
        <v>1140</v>
      </c>
      <c r="BJ288" s="3" cm="1">
        <f t="array" ref="BJ288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K288" s="3" cm="1">
        <f t="array" ref="BK288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0.93387609029011243</v>
      </c>
      <c r="BL288" s="3" cm="1">
        <f t="array" ref="BL288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1.9471986673863078</v>
      </c>
      <c r="BM288" s="3" cm="1">
        <f t="array" ref="BM288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8" s="42">
        <v>0.6</v>
      </c>
      <c r="BO288" s="43">
        <v>0.55000000000000004</v>
      </c>
      <c r="BP288" s="42">
        <v>8.18</v>
      </c>
      <c r="BQ288" s="43" t="s">
        <v>1786</v>
      </c>
      <c r="BR288" s="3" t="str" cm="1">
        <f t="array" ref="BR288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88" s="3" t="str" cm="1">
        <f t="array" ref="BS288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288" s="3" t="str" cm="1">
        <f t="array" ref="BT288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288" s="3" t="str" cm="1">
        <f t="array" ref="BU288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288" s="48">
        <v>80</v>
      </c>
      <c r="BW288" s="1">
        <v>40</v>
      </c>
      <c r="BX288" s="44">
        <v>60</v>
      </c>
      <c r="BY288" s="51">
        <v>45703</v>
      </c>
      <c r="BZ288" s="5">
        <v>45731</v>
      </c>
      <c r="CA288" s="85">
        <v>0</v>
      </c>
      <c r="CB288" s="2">
        <v>1</v>
      </c>
      <c r="CC288" s="2">
        <v>1</v>
      </c>
      <c r="CD288" s="2">
        <v>1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P288" s="9"/>
      <c r="CQ288" s="10"/>
    </row>
    <row r="289" spans="2:95" ht="11.25" thickBot="1" x14ac:dyDescent="0.2">
      <c r="B289" s="36" t="s">
        <v>247</v>
      </c>
      <c r="C289" s="1" t="s">
        <v>250</v>
      </c>
      <c r="K289" s="1" t="s">
        <v>1770</v>
      </c>
      <c r="L289" s="1" t="s">
        <v>1750</v>
      </c>
      <c r="M289" s="1" t="s">
        <v>362</v>
      </c>
      <c r="N289" s="6">
        <v>19</v>
      </c>
      <c r="O289" s="1" t="s">
        <v>4</v>
      </c>
      <c r="P289" s="1">
        <v>8</v>
      </c>
      <c r="Q289" s="1">
        <v>5</v>
      </c>
      <c r="R289" s="1">
        <v>4</v>
      </c>
      <c r="S289" s="1">
        <v>20</v>
      </c>
      <c r="T289" s="1">
        <v>30</v>
      </c>
      <c r="U289" s="254">
        <v>7</v>
      </c>
      <c r="V289" s="1">
        <v>50</v>
      </c>
      <c r="W289" s="44">
        <v>65</v>
      </c>
      <c r="X289" s="40">
        <f>_xlfn.XLOOKUP("Ripening", CropPhenology_Radish[Main_Stage], CropPhenology_Radish[Start_GDD], "Not Found")</f>
        <v>1141</v>
      </c>
      <c r="Y289" s="4" cm="1">
        <f t="array" ref="Y289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Z289" s="3">
        <f>MIN(Y289/V289,MAX(X289/W289,R289,(X289/W289+Y289/V289)/2))</f>
        <v>20.776923076923076</v>
      </c>
      <c r="AA289" s="41">
        <f t="shared" si="158"/>
        <v>57.756386523509811</v>
      </c>
      <c r="AB289" s="48">
        <v>7</v>
      </c>
      <c r="AC289" s="1">
        <v>10</v>
      </c>
      <c r="AD289" s="1">
        <v>3</v>
      </c>
      <c r="AE289" s="1">
        <v>90</v>
      </c>
      <c r="AF289" s="1">
        <v>5</v>
      </c>
      <c r="AG289" s="1">
        <v>4</v>
      </c>
      <c r="AH289" s="3">
        <f t="shared" si="137"/>
        <v>1.0215320512820514</v>
      </c>
      <c r="AI289" s="1">
        <v>5.8</v>
      </c>
      <c r="AJ289" s="1">
        <v>6.8</v>
      </c>
      <c r="AK289" s="160">
        <v>1.2</v>
      </c>
      <c r="AL289" s="161">
        <v>0.13</v>
      </c>
      <c r="AM289" s="1">
        <v>250</v>
      </c>
      <c r="AN289" s="1">
        <v>350</v>
      </c>
      <c r="AO289" s="48">
        <v>2</v>
      </c>
      <c r="AP289" s="44">
        <v>50</v>
      </c>
      <c r="AQ289" s="42">
        <v>0.76</v>
      </c>
      <c r="AR289" s="1">
        <v>30</v>
      </c>
      <c r="AS289" s="1">
        <v>10</v>
      </c>
      <c r="AT289" s="1">
        <v>1</v>
      </c>
      <c r="AU289" s="4">
        <f t="shared" si="124"/>
        <v>33.333333333333336</v>
      </c>
      <c r="AV289" s="3">
        <f>ROUND((P289/1000000)*AU289*10000,2)</f>
        <v>2.67</v>
      </c>
      <c r="AW289" s="1">
        <v>85</v>
      </c>
      <c r="AX289" s="3">
        <f t="shared" si="160"/>
        <v>28.333333333333336</v>
      </c>
      <c r="AY289" s="1">
        <v>1</v>
      </c>
      <c r="AZ289" s="4">
        <f t="shared" si="161"/>
        <v>28.333333333333336</v>
      </c>
      <c r="BA289" s="49">
        <v>0.93</v>
      </c>
      <c r="BB289" s="4">
        <f t="shared" si="125"/>
        <v>26.350000000000005</v>
      </c>
      <c r="BC289" s="50">
        <v>0.15</v>
      </c>
      <c r="BD289" s="69">
        <f>IFERROR(
  MAX(0.05, MIN(0.5, CropNorms_Radish[[#This Row],[Leaf_Area_Per_Shoot_m2]] * CropNorms_Radish[[#This Row],[Shoot_Bearing_m2]] )),
  0.2
)</f>
        <v>0.5</v>
      </c>
      <c r="BE289" s="4">
        <f>_xlfn.XLOOKUP(CropNorms_Radish[[#This Row],[LAI_Start_BBCH]], CropPhenology_Radish[Sub_Stage], CropPhenology_Radish[Start_GDD], "Not Found")</f>
        <v>121</v>
      </c>
      <c r="BF289" s="3">
        <f>ROUND(CropNorms_Radish[[#This Row],[Shoot_Bearing_m2]]*CropNorms_Radish[[#This Row],[Leaf_Area_Per_Shoot_m2]],2)</f>
        <v>3.95</v>
      </c>
      <c r="BG289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H289" s="3">
        <f>IF(CropNorms_Radish[[#This Row],[Max_LAI]]&gt;=1.2, 0.85*CropNorms_Radish[[#This Row],[Max_LAI]], 1)</f>
        <v>3.3574999999999999</v>
      </c>
      <c r="BI289" s="41">
        <f>_xlfn.XLOOKUP(CropNorms_Radish[[#This Row],[LAI_End_BBCH]], CropPhenology_Radish[Sub_Stage], CropPhenology_Radish[End_GDD], "Not Found")</f>
        <v>1140</v>
      </c>
      <c r="BJ289" s="3" cm="1">
        <f t="array" ref="BJ289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K289" s="3" cm="1">
        <f t="array" ref="BK289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0.93387609029011243</v>
      </c>
      <c r="BL289" s="3" cm="1">
        <f t="array" ref="BL289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1.9471986673863078</v>
      </c>
      <c r="BM289" s="3" cm="1">
        <f t="array" ref="BM289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89" s="42">
        <v>0.6</v>
      </c>
      <c r="BO289" s="43">
        <v>0.55000000000000004</v>
      </c>
      <c r="BP289" s="42">
        <v>8.18</v>
      </c>
      <c r="BQ289" s="43" t="s">
        <v>1786</v>
      </c>
      <c r="BR289" s="3" t="str" cm="1">
        <f t="array" ref="BR289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89" s="3" t="str" cm="1">
        <f t="array" ref="BS289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289" s="3" t="str" cm="1">
        <f t="array" ref="BT289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289" s="3" t="str" cm="1">
        <f t="array" ref="BU289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289" s="48">
        <v>80</v>
      </c>
      <c r="BW289" s="1">
        <v>40</v>
      </c>
      <c r="BX289" s="44">
        <v>60</v>
      </c>
      <c r="BY289" s="51">
        <v>45703</v>
      </c>
      <c r="BZ289" s="5">
        <v>45731</v>
      </c>
      <c r="CA289" s="85">
        <v>0</v>
      </c>
      <c r="CB289" s="2">
        <v>1</v>
      </c>
      <c r="CC289" s="2">
        <v>1</v>
      </c>
      <c r="CD289" s="2">
        <v>1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P289" s="9"/>
      <c r="CQ289" s="10"/>
    </row>
    <row r="290" spans="2:95" ht="11.25" thickBot="1" x14ac:dyDescent="0.2">
      <c r="Y290" s="3"/>
      <c r="Z290" s="4"/>
      <c r="AG290" s="3"/>
      <c r="AR290" s="4"/>
      <c r="AS290" s="3"/>
      <c r="AU290" s="3"/>
      <c r="AW290" s="4"/>
      <c r="AX290" s="49"/>
      <c r="AY290" s="4"/>
      <c r="BV290" s="51"/>
      <c r="BW290" s="51"/>
      <c r="CP290" s="9"/>
      <c r="CQ290" s="10"/>
    </row>
    <row r="291" spans="2:95" ht="11.25" thickBot="1" x14ac:dyDescent="0.2">
      <c r="B291" s="54" t="s">
        <v>1753</v>
      </c>
      <c r="C291" s="53" t="s">
        <v>1754</v>
      </c>
      <c r="D291" s="53" t="s">
        <v>1804</v>
      </c>
      <c r="E291" s="53" t="s">
        <v>1805</v>
      </c>
      <c r="F291" s="53" t="s">
        <v>1806</v>
      </c>
      <c r="G291" s="53" t="s">
        <v>1807</v>
      </c>
      <c r="H291" s="53" t="s">
        <v>1808</v>
      </c>
      <c r="I291" s="53" t="s">
        <v>1809</v>
      </c>
      <c r="J291" s="53" t="s">
        <v>1810</v>
      </c>
      <c r="K291" s="53" t="s">
        <v>1747</v>
      </c>
      <c r="L291" s="54" t="s">
        <v>1749</v>
      </c>
      <c r="M291" s="53" t="s">
        <v>357</v>
      </c>
      <c r="N291" s="55" t="s">
        <v>692</v>
      </c>
      <c r="O291" s="53" t="s">
        <v>325</v>
      </c>
      <c r="P291" s="53" t="s">
        <v>356</v>
      </c>
      <c r="Q291" s="53" t="s">
        <v>326</v>
      </c>
      <c r="R291" s="53" t="s">
        <v>327</v>
      </c>
      <c r="S291" s="53" t="s">
        <v>328</v>
      </c>
      <c r="T291" s="53" t="s">
        <v>329</v>
      </c>
      <c r="U291" s="250" t="s">
        <v>2349</v>
      </c>
      <c r="V291" s="53" t="s">
        <v>330</v>
      </c>
      <c r="W291" s="53" t="s">
        <v>331</v>
      </c>
      <c r="X291" s="56" t="s">
        <v>354</v>
      </c>
      <c r="Y291" s="57" t="s">
        <v>355</v>
      </c>
      <c r="Z291" s="58" t="s">
        <v>413</v>
      </c>
      <c r="AA291" s="59" t="s">
        <v>583</v>
      </c>
      <c r="AB291" s="53" t="s">
        <v>324</v>
      </c>
      <c r="AC291" s="53" t="s">
        <v>332</v>
      </c>
      <c r="AD291" s="53" t="s">
        <v>333</v>
      </c>
      <c r="AE291" s="53" t="s">
        <v>334</v>
      </c>
      <c r="AF291" s="53" t="s">
        <v>335</v>
      </c>
      <c r="AG291" s="53" t="s">
        <v>336</v>
      </c>
      <c r="AH291" s="60" t="s">
        <v>337</v>
      </c>
      <c r="AI291" s="53" t="s">
        <v>338</v>
      </c>
      <c r="AJ291" s="53" t="s">
        <v>339</v>
      </c>
      <c r="AK291" s="157" t="s">
        <v>2346</v>
      </c>
      <c r="AL291" s="158" t="s">
        <v>2347</v>
      </c>
      <c r="AM291" s="53" t="s">
        <v>340</v>
      </c>
      <c r="AN291" s="53" t="s">
        <v>341</v>
      </c>
      <c r="AO291" s="61" t="s">
        <v>342</v>
      </c>
      <c r="AP291" s="62" t="s">
        <v>343</v>
      </c>
      <c r="AQ291" s="55" t="s">
        <v>344</v>
      </c>
      <c r="AR291" s="53" t="s">
        <v>345</v>
      </c>
      <c r="AS291" s="53" t="s">
        <v>346</v>
      </c>
      <c r="AT291" s="53" t="s">
        <v>364</v>
      </c>
      <c r="AU291" s="60" t="s">
        <v>347</v>
      </c>
      <c r="AV291" s="58" t="s">
        <v>363</v>
      </c>
      <c r="AW291" s="53" t="s">
        <v>348</v>
      </c>
      <c r="AX291" s="58" t="s">
        <v>349</v>
      </c>
      <c r="AY291" s="53" t="s">
        <v>366</v>
      </c>
      <c r="AZ291" s="60" t="s">
        <v>350</v>
      </c>
      <c r="BA291" s="53" t="s">
        <v>365</v>
      </c>
      <c r="BB291" s="60" t="s">
        <v>1827</v>
      </c>
      <c r="BC291" s="63" t="s">
        <v>351</v>
      </c>
      <c r="BD291" s="71" t="s">
        <v>1811</v>
      </c>
      <c r="BE291" s="57" t="s">
        <v>352</v>
      </c>
      <c r="BF291" s="58" t="s">
        <v>1812</v>
      </c>
      <c r="BG291" s="57" t="s">
        <v>1752</v>
      </c>
      <c r="BH291" s="60" t="s">
        <v>1813</v>
      </c>
      <c r="BI291" s="59" t="s">
        <v>353</v>
      </c>
      <c r="BJ291" s="71" t="s">
        <v>1828</v>
      </c>
      <c r="BK291" s="58" t="s">
        <v>1829</v>
      </c>
      <c r="BL291" s="58" t="s">
        <v>1830</v>
      </c>
      <c r="BM291" s="72" t="s">
        <v>1831</v>
      </c>
      <c r="BN291" s="64" t="s">
        <v>1154</v>
      </c>
      <c r="BO291" s="65" t="s">
        <v>1742</v>
      </c>
      <c r="BP291" s="64" t="s">
        <v>1155</v>
      </c>
      <c r="BQ291" s="65" t="s">
        <v>1755</v>
      </c>
      <c r="BR291" s="58" t="s">
        <v>367</v>
      </c>
      <c r="BS291" s="58" t="s">
        <v>1751</v>
      </c>
      <c r="BT291" s="58" t="s">
        <v>368</v>
      </c>
      <c r="BU291" s="60" t="s">
        <v>1814</v>
      </c>
      <c r="BV291" s="61" t="s">
        <v>369</v>
      </c>
      <c r="BW291" s="53" t="s">
        <v>370</v>
      </c>
      <c r="BX291" s="62" t="s">
        <v>371</v>
      </c>
      <c r="BY291" s="53" t="s">
        <v>359</v>
      </c>
      <c r="BZ291" s="53" t="s">
        <v>361</v>
      </c>
      <c r="CA291" s="61" t="s">
        <v>1815</v>
      </c>
      <c r="CB291" s="53" t="s">
        <v>1816</v>
      </c>
      <c r="CC291" s="53" t="s">
        <v>1817</v>
      </c>
      <c r="CD291" s="53" t="s">
        <v>1818</v>
      </c>
      <c r="CE291" s="53" t="s">
        <v>1819</v>
      </c>
      <c r="CF291" s="53" t="s">
        <v>1820</v>
      </c>
      <c r="CG291" s="53" t="s">
        <v>1821</v>
      </c>
      <c r="CH291" s="53" t="s">
        <v>1822</v>
      </c>
      <c r="CI291" s="53" t="s">
        <v>1823</v>
      </c>
      <c r="CJ291" s="53" t="s">
        <v>1824</v>
      </c>
      <c r="CK291" s="53" t="s">
        <v>1825</v>
      </c>
      <c r="CL291" s="53" t="s">
        <v>1826</v>
      </c>
      <c r="CP291" s="9"/>
      <c r="CQ291" s="10"/>
    </row>
    <row r="292" spans="2:95" x14ac:dyDescent="0.15">
      <c r="B292" s="36" t="s">
        <v>251</v>
      </c>
      <c r="C292" s="1" t="s">
        <v>252</v>
      </c>
      <c r="K292" s="1" t="s">
        <v>1748</v>
      </c>
      <c r="L292" s="1" t="s">
        <v>1750</v>
      </c>
      <c r="M292" s="1" t="s">
        <v>360</v>
      </c>
      <c r="N292" s="6">
        <v>21</v>
      </c>
      <c r="O292" s="1" t="s">
        <v>4</v>
      </c>
      <c r="P292" s="1">
        <v>25</v>
      </c>
      <c r="Q292" s="1">
        <v>12</v>
      </c>
      <c r="R292" s="1">
        <v>8</v>
      </c>
      <c r="S292" s="1">
        <v>30</v>
      </c>
      <c r="T292" s="1">
        <v>38</v>
      </c>
      <c r="U292" s="253">
        <v>7</v>
      </c>
      <c r="V292" s="1">
        <v>90</v>
      </c>
      <c r="W292" s="44">
        <v>145</v>
      </c>
      <c r="X292" s="40">
        <f>_xlfn.XLOOKUP("Ripening", CropPhenology_Rice[Main_Stage], CropPhenology_Rice[Start_GDD], "Not Found")</f>
        <v>1551</v>
      </c>
      <c r="Y292" s="4" cm="1">
        <f t="array" ref="Y292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Z292" s="3">
        <f>MIN(Y292/V292,MAX(X292/W292,R292,(X292/W292+Y292/V292)/2))</f>
        <v>15.626053639846745</v>
      </c>
      <c r="AA292" s="41">
        <f t="shared" ref="AA292:AA296" si="162">Y292/Z292</f>
        <v>118.39201647704981</v>
      </c>
      <c r="AB292" s="1">
        <v>7.5</v>
      </c>
      <c r="AC292" s="1">
        <v>15</v>
      </c>
      <c r="AD292" s="1">
        <v>4</v>
      </c>
      <c r="AE292" s="1">
        <v>90</v>
      </c>
      <c r="AF292" s="1">
        <v>12</v>
      </c>
      <c r="AG292" s="1">
        <v>5</v>
      </c>
      <c r="AH292" s="3">
        <f t="shared" si="137"/>
        <v>2.525508128818474</v>
      </c>
      <c r="AI292" s="1">
        <v>5.5</v>
      </c>
      <c r="AJ292" s="1">
        <v>7.5</v>
      </c>
      <c r="AK292" s="159">
        <v>3</v>
      </c>
      <c r="AL292" s="150">
        <v>0.12</v>
      </c>
      <c r="AM292" s="1">
        <v>650</v>
      </c>
      <c r="AN292" s="1">
        <v>850</v>
      </c>
      <c r="AO292" s="48">
        <v>3</v>
      </c>
      <c r="AP292" s="44">
        <v>80</v>
      </c>
      <c r="AQ292" s="42">
        <v>0.78</v>
      </c>
      <c r="AR292" s="1">
        <v>20</v>
      </c>
      <c r="AS292" s="1">
        <v>15</v>
      </c>
      <c r="AT292" s="1">
        <v>1</v>
      </c>
      <c r="AU292" s="4">
        <f t="shared" si="124"/>
        <v>33.333333333333336</v>
      </c>
      <c r="AV292" s="3">
        <f>ROUND((P292/1000000)*AU292*10000,2)</f>
        <v>8.33</v>
      </c>
      <c r="AW292" s="1">
        <v>90</v>
      </c>
      <c r="AX292" s="3">
        <f t="shared" ref="AX292" si="163">IFERROR((AU292*AW292/100),0)</f>
        <v>30</v>
      </c>
      <c r="AY292" s="1">
        <v>4</v>
      </c>
      <c r="AZ292" s="4">
        <f t="shared" ref="AZ292:AZ296" si="164">IFERROR(AX292*AY292,0)</f>
        <v>120</v>
      </c>
      <c r="BA292" s="49">
        <v>0.9</v>
      </c>
      <c r="BB292" s="4">
        <f t="shared" si="125"/>
        <v>108</v>
      </c>
      <c r="BC292" s="50">
        <v>2.1297999999999991E-2</v>
      </c>
      <c r="BD292" s="69">
        <f>IFERROR(
  MAX(0.05, MIN(0.5, CropNorms_Rice[[#This Row],[Leaf_Area_Per_Shoot_m2]] * CropNorms_Rice[[#This Row],[Shoot_Bearing_m2]] )),
  0.2
)</f>
        <v>0.5</v>
      </c>
      <c r="BE292" s="4">
        <f>_xlfn.XLOOKUP(CropNorms_Rice[[#This Row],[LAI_Start_BBCH]], CropPhenology_Rice[Sub_Stage], CropPhenology_Rice[Start_GDD], "Not Found")</f>
        <v>101</v>
      </c>
      <c r="BF292" s="3">
        <f>ROUND(CropNorms_Rice[[#This Row],[Shoot_Bearing_m2]]*CropNorms_Rice[[#This Row],[Leaf_Area_Per_Shoot_m2]],2)</f>
        <v>2.2999999999999998</v>
      </c>
      <c r="BG292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H292" s="3">
        <f>IF(CropNorms_Rice[[#This Row],[Max_LAI]]&gt;=1.2, 0.85*CropNorms_Rice[[#This Row],[Max_LAI]], 1)</f>
        <v>1.9549999999999998</v>
      </c>
      <c r="BI292" s="41">
        <f>_xlfn.XLOOKUP(CropNorms_Rice[[#This Row],[LAI_End_BBCH]], CropPhenology_Rice[Sub_Stage], CropPhenology_Rice[End_GDD], "Not Found")</f>
        <v>1550</v>
      </c>
      <c r="BJ292" s="3" cm="1">
        <f t="array" ref="BJ292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K292" s="3" cm="1">
        <f t="array" ref="BK292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L292" s="3" cm="1">
        <f t="array" ref="BL292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M292" s="3" cm="1">
        <f t="array" ref="BM292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2" s="42">
        <v>0.45</v>
      </c>
      <c r="BO292" s="43">
        <v>0</v>
      </c>
      <c r="BP292" s="42">
        <v>4.5999999999999996</v>
      </c>
      <c r="BQ292" s="43" t="s">
        <v>1795</v>
      </c>
      <c r="BR292" s="3" t="str" cm="1">
        <f t="array" ref="BR292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S292" s="3" t="str" cm="1">
        <f t="array" ref="BS292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T292" s="3" t="str" cm="1">
        <f t="array" ref="BT292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92" s="3" t="str" cm="1">
        <f t="array" ref="BU292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92" s="48">
        <v>114</v>
      </c>
      <c r="BW292" s="1">
        <v>56</v>
      </c>
      <c r="BX292" s="44">
        <v>170</v>
      </c>
      <c r="BY292" s="51">
        <v>45823</v>
      </c>
      <c r="BZ292" s="5">
        <v>45853</v>
      </c>
      <c r="CA292" s="85">
        <v>0</v>
      </c>
      <c r="CB292" s="2">
        <v>0</v>
      </c>
      <c r="CC292" s="2">
        <v>0</v>
      </c>
      <c r="CD292" s="2">
        <v>1</v>
      </c>
      <c r="CE292" s="2">
        <v>1</v>
      </c>
      <c r="CF292" s="2">
        <v>1</v>
      </c>
      <c r="CG292" s="2">
        <v>0</v>
      </c>
      <c r="CH292" s="2">
        <v>0</v>
      </c>
      <c r="CI292" s="2">
        <v>1</v>
      </c>
      <c r="CJ292" s="2">
        <v>0</v>
      </c>
      <c r="CK292" s="2">
        <v>0</v>
      </c>
      <c r="CL292" s="2">
        <v>0</v>
      </c>
      <c r="CP292" s="9"/>
      <c r="CQ292" s="10"/>
    </row>
    <row r="293" spans="2:95" x14ac:dyDescent="0.15">
      <c r="B293" s="36" t="s">
        <v>251</v>
      </c>
      <c r="C293" s="1" t="s">
        <v>253</v>
      </c>
      <c r="K293" s="1" t="s">
        <v>1748</v>
      </c>
      <c r="L293" s="1" t="s">
        <v>1750</v>
      </c>
      <c r="M293" s="1" t="s">
        <v>360</v>
      </c>
      <c r="N293" s="6">
        <v>21</v>
      </c>
      <c r="O293" s="1" t="s">
        <v>4</v>
      </c>
      <c r="P293" s="1">
        <v>25</v>
      </c>
      <c r="Q293" s="1">
        <v>12</v>
      </c>
      <c r="R293" s="1">
        <v>8</v>
      </c>
      <c r="S293" s="1">
        <v>30</v>
      </c>
      <c r="T293" s="1">
        <v>38</v>
      </c>
      <c r="U293" s="253">
        <v>7</v>
      </c>
      <c r="V293" s="1">
        <v>90</v>
      </c>
      <c r="W293" s="44">
        <v>145</v>
      </c>
      <c r="X293" s="40">
        <f>_xlfn.XLOOKUP("Ripening", CropPhenology_Rice[Main_Stage], CropPhenology_Rice[Start_GDD], "Not Found")</f>
        <v>1551</v>
      </c>
      <c r="Y293" s="4" cm="1">
        <f t="array" ref="Y293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Z293" s="3">
        <f>MIN(Y293/V293,MAX(X293/W293,R293,(X293/W293+Y293/V293)/2))</f>
        <v>15.626053639846745</v>
      </c>
      <c r="AA293" s="41">
        <f t="shared" si="162"/>
        <v>118.39201647704981</v>
      </c>
      <c r="AB293" s="1">
        <v>7.5</v>
      </c>
      <c r="AC293" s="1">
        <v>15</v>
      </c>
      <c r="AD293" s="1">
        <v>4</v>
      </c>
      <c r="AE293" s="1">
        <v>90</v>
      </c>
      <c r="AF293" s="1">
        <v>12</v>
      </c>
      <c r="AG293" s="1">
        <v>5</v>
      </c>
      <c r="AH293" s="3">
        <f t="shared" si="137"/>
        <v>2.525508128818474</v>
      </c>
      <c r="AI293" s="1">
        <v>5.5</v>
      </c>
      <c r="AJ293" s="1">
        <v>7.5</v>
      </c>
      <c r="AK293" s="159">
        <v>3</v>
      </c>
      <c r="AL293" s="150">
        <v>0.12</v>
      </c>
      <c r="AM293" s="1">
        <v>650</v>
      </c>
      <c r="AN293" s="1">
        <v>850</v>
      </c>
      <c r="AO293" s="48">
        <v>3</v>
      </c>
      <c r="AP293" s="44">
        <v>80</v>
      </c>
      <c r="AQ293" s="42">
        <v>0.8</v>
      </c>
      <c r="AR293" s="1">
        <v>20</v>
      </c>
      <c r="AS293" s="1">
        <v>15</v>
      </c>
      <c r="AT293" s="1">
        <v>1</v>
      </c>
      <c r="AU293" s="4">
        <f t="shared" si="124"/>
        <v>33.333333333333336</v>
      </c>
      <c r="AV293" s="3">
        <f>ROUND((P293/1000000)*AU293*10000,2)</f>
        <v>8.33</v>
      </c>
      <c r="AW293" s="1">
        <v>90</v>
      </c>
      <c r="AX293" s="3">
        <f t="shared" ref="AX293:AX299" si="165">IFERROR((AU293*AW293/100),0)</f>
        <v>30</v>
      </c>
      <c r="AY293" s="1">
        <v>4</v>
      </c>
      <c r="AZ293" s="4">
        <f t="shared" si="164"/>
        <v>120</v>
      </c>
      <c r="BA293" s="49">
        <v>0.9</v>
      </c>
      <c r="BB293" s="4">
        <f t="shared" si="125"/>
        <v>108</v>
      </c>
      <c r="BC293" s="50">
        <v>2.1297999999999991E-2</v>
      </c>
      <c r="BD293" s="69">
        <f>IFERROR(
  MAX(0.05, MIN(0.5, CropNorms_Rice[[#This Row],[Leaf_Area_Per_Shoot_m2]] * CropNorms_Rice[[#This Row],[Shoot_Bearing_m2]] )),
  0.2
)</f>
        <v>0.5</v>
      </c>
      <c r="BE293" s="4">
        <f>_xlfn.XLOOKUP(CropNorms_Rice[[#This Row],[LAI_Start_BBCH]], CropPhenology_Rice[Sub_Stage], CropPhenology_Rice[Start_GDD], "Not Found")</f>
        <v>101</v>
      </c>
      <c r="BF293" s="3">
        <f>ROUND(CropNorms_Rice[[#This Row],[Shoot_Bearing_m2]]*CropNorms_Rice[[#This Row],[Leaf_Area_Per_Shoot_m2]],2)</f>
        <v>2.2999999999999998</v>
      </c>
      <c r="BG293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H293" s="3">
        <f>IF(CropNorms_Rice[[#This Row],[Max_LAI]]&gt;=1.2, 0.85*CropNorms_Rice[[#This Row],[Max_LAI]], 1)</f>
        <v>1.9549999999999998</v>
      </c>
      <c r="BI293" s="41">
        <f>_xlfn.XLOOKUP(CropNorms_Rice[[#This Row],[LAI_End_BBCH]], CropPhenology_Rice[Sub_Stage], CropPhenology_Rice[End_GDD], "Not Found")</f>
        <v>1550</v>
      </c>
      <c r="BJ293" s="3" cm="1">
        <f t="array" ref="BJ293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K293" s="3" cm="1">
        <f t="array" ref="BK293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L293" s="3" cm="1">
        <f t="array" ref="BL293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M293" s="3" cm="1">
        <f t="array" ref="BM293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3" s="42">
        <v>0.45</v>
      </c>
      <c r="BO293" s="43">
        <v>0</v>
      </c>
      <c r="BP293" s="42">
        <v>4.5999999999999996</v>
      </c>
      <c r="BQ293" s="43" t="s">
        <v>1795</v>
      </c>
      <c r="BR293" s="3" t="str" cm="1">
        <f t="array" ref="BR293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S293" s="3" t="str" cm="1">
        <f t="array" ref="BS293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T293" s="3" t="str" cm="1">
        <f t="array" ref="BT293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93" s="3" t="str" cm="1">
        <f t="array" ref="BU293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93" s="48">
        <v>114</v>
      </c>
      <c r="BW293" s="1">
        <v>56</v>
      </c>
      <c r="BX293" s="44">
        <v>170</v>
      </c>
      <c r="BY293" s="51">
        <v>45823</v>
      </c>
      <c r="BZ293" s="5">
        <v>45853</v>
      </c>
      <c r="CA293" s="85">
        <v>0</v>
      </c>
      <c r="CB293" s="2">
        <v>0</v>
      </c>
      <c r="CC293" s="2">
        <v>0</v>
      </c>
      <c r="CD293" s="2">
        <v>1</v>
      </c>
      <c r="CE293" s="2">
        <v>1</v>
      </c>
      <c r="CF293" s="2">
        <v>1</v>
      </c>
      <c r="CG293" s="2">
        <v>0</v>
      </c>
      <c r="CH293" s="2">
        <v>0</v>
      </c>
      <c r="CI293" s="2">
        <v>1</v>
      </c>
      <c r="CJ293" s="2">
        <v>0</v>
      </c>
      <c r="CK293" s="2">
        <v>0</v>
      </c>
      <c r="CL293" s="2">
        <v>0</v>
      </c>
      <c r="CP293" s="9"/>
      <c r="CQ293" s="10"/>
    </row>
    <row r="294" spans="2:95" x14ac:dyDescent="0.15">
      <c r="B294" s="36" t="s">
        <v>251</v>
      </c>
      <c r="C294" s="1" t="s">
        <v>254</v>
      </c>
      <c r="K294" s="1" t="s">
        <v>1748</v>
      </c>
      <c r="L294" s="1" t="s">
        <v>1750</v>
      </c>
      <c r="M294" s="1" t="s">
        <v>360</v>
      </c>
      <c r="N294" s="6">
        <v>21</v>
      </c>
      <c r="O294" s="1" t="s">
        <v>4</v>
      </c>
      <c r="P294" s="1">
        <v>25</v>
      </c>
      <c r="Q294" s="1">
        <v>12</v>
      </c>
      <c r="R294" s="1">
        <v>8</v>
      </c>
      <c r="S294" s="1">
        <v>30</v>
      </c>
      <c r="T294" s="1">
        <v>38</v>
      </c>
      <c r="U294" s="253">
        <v>7</v>
      </c>
      <c r="V294" s="1">
        <v>90</v>
      </c>
      <c r="W294" s="44">
        <v>145</v>
      </c>
      <c r="X294" s="40">
        <f>_xlfn.XLOOKUP("Ripening", CropPhenology_Rice[Main_Stage], CropPhenology_Rice[Start_GDD], "Not Found")</f>
        <v>1551</v>
      </c>
      <c r="Y294" s="4" cm="1">
        <f t="array" ref="Y294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Z294" s="3">
        <f>MIN(Y294/V294,MAX(X294/W294,R294,(X294/W294+Y294/V294)/2))</f>
        <v>15.626053639846745</v>
      </c>
      <c r="AA294" s="41">
        <f t="shared" si="162"/>
        <v>118.39201647704981</v>
      </c>
      <c r="AB294" s="1">
        <v>7.5</v>
      </c>
      <c r="AC294" s="1">
        <v>15</v>
      </c>
      <c r="AD294" s="1">
        <v>4</v>
      </c>
      <c r="AE294" s="1">
        <v>90</v>
      </c>
      <c r="AF294" s="1">
        <v>12</v>
      </c>
      <c r="AG294" s="1">
        <v>5</v>
      </c>
      <c r="AH294" s="3">
        <f t="shared" si="137"/>
        <v>2.525508128818474</v>
      </c>
      <c r="AI294" s="1">
        <v>5.5</v>
      </c>
      <c r="AJ294" s="1">
        <v>7.5</v>
      </c>
      <c r="AK294" s="159">
        <v>3</v>
      </c>
      <c r="AL294" s="150">
        <v>0.12</v>
      </c>
      <c r="AM294" s="1">
        <v>650</v>
      </c>
      <c r="AN294" s="1">
        <v>850</v>
      </c>
      <c r="AO294" s="48">
        <v>3</v>
      </c>
      <c r="AP294" s="44">
        <v>80</v>
      </c>
      <c r="AQ294" s="42">
        <v>0.85</v>
      </c>
      <c r="AR294" s="1">
        <v>20</v>
      </c>
      <c r="AS294" s="1">
        <v>15</v>
      </c>
      <c r="AT294" s="1">
        <v>1</v>
      </c>
      <c r="AU294" s="4">
        <f t="shared" si="124"/>
        <v>33.333333333333336</v>
      </c>
      <c r="AV294" s="3">
        <f>ROUND((P294/1000000)*AU294*10000,2)</f>
        <v>8.33</v>
      </c>
      <c r="AW294" s="1">
        <v>90</v>
      </c>
      <c r="AX294" s="3">
        <f t="shared" si="165"/>
        <v>30</v>
      </c>
      <c r="AY294" s="1">
        <v>4</v>
      </c>
      <c r="AZ294" s="4">
        <f t="shared" si="164"/>
        <v>120</v>
      </c>
      <c r="BA294" s="49">
        <v>0.9</v>
      </c>
      <c r="BB294" s="4">
        <f t="shared" si="125"/>
        <v>108</v>
      </c>
      <c r="BC294" s="50">
        <v>2.1297999999999991E-2</v>
      </c>
      <c r="BD294" s="69">
        <f>IFERROR(
  MAX(0.05, MIN(0.5, CropNorms_Rice[[#This Row],[Leaf_Area_Per_Shoot_m2]] * CropNorms_Rice[[#This Row],[Shoot_Bearing_m2]] )),
  0.2
)</f>
        <v>0.5</v>
      </c>
      <c r="BE294" s="4">
        <f>_xlfn.XLOOKUP(CropNorms_Rice[[#This Row],[LAI_Start_BBCH]], CropPhenology_Rice[Sub_Stage], CropPhenology_Rice[Start_GDD], "Not Found")</f>
        <v>101</v>
      </c>
      <c r="BF294" s="3">
        <f>ROUND(CropNorms_Rice[[#This Row],[Shoot_Bearing_m2]]*CropNorms_Rice[[#This Row],[Leaf_Area_Per_Shoot_m2]],2)</f>
        <v>2.2999999999999998</v>
      </c>
      <c r="BG294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H294" s="3">
        <f>IF(CropNorms_Rice[[#This Row],[Max_LAI]]&gt;=1.2, 0.85*CropNorms_Rice[[#This Row],[Max_LAI]], 1)</f>
        <v>1.9549999999999998</v>
      </c>
      <c r="BI294" s="41">
        <f>_xlfn.XLOOKUP(CropNorms_Rice[[#This Row],[LAI_End_BBCH]], CropPhenology_Rice[Sub_Stage], CropPhenology_Rice[End_GDD], "Not Found")</f>
        <v>1550</v>
      </c>
      <c r="BJ294" s="3" cm="1">
        <f t="array" ref="BJ294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K294" s="3" cm="1">
        <f t="array" ref="BK294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L294" s="3" cm="1">
        <f t="array" ref="BL294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M294" s="3" cm="1">
        <f t="array" ref="BM294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4" s="42">
        <v>0.45</v>
      </c>
      <c r="BO294" s="43">
        <v>0</v>
      </c>
      <c r="BP294" s="42">
        <v>4.5999999999999996</v>
      </c>
      <c r="BQ294" s="43" t="s">
        <v>1795</v>
      </c>
      <c r="BR294" s="3" t="str" cm="1">
        <f t="array" ref="BR294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S294" s="3" t="str" cm="1">
        <f t="array" ref="BS294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T294" s="3" t="str" cm="1">
        <f t="array" ref="BT294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94" s="3" t="str" cm="1">
        <f t="array" ref="BU294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94" s="48">
        <v>114</v>
      </c>
      <c r="BW294" s="1">
        <v>56</v>
      </c>
      <c r="BX294" s="44">
        <v>170</v>
      </c>
      <c r="BY294" s="51">
        <v>45823</v>
      </c>
      <c r="BZ294" s="5">
        <v>45853</v>
      </c>
      <c r="CA294" s="85">
        <v>0</v>
      </c>
      <c r="CB294" s="2">
        <v>0</v>
      </c>
      <c r="CC294" s="2">
        <v>0</v>
      </c>
      <c r="CD294" s="2">
        <v>1</v>
      </c>
      <c r="CE294" s="2">
        <v>1</v>
      </c>
      <c r="CF294" s="2">
        <v>1</v>
      </c>
      <c r="CG294" s="2">
        <v>0</v>
      </c>
      <c r="CH294" s="2">
        <v>0</v>
      </c>
      <c r="CI294" s="2">
        <v>1</v>
      </c>
      <c r="CJ294" s="2">
        <v>0</v>
      </c>
      <c r="CK294" s="2">
        <v>0</v>
      </c>
      <c r="CL294" s="2">
        <v>0</v>
      </c>
      <c r="CP294" s="9"/>
      <c r="CQ294" s="10"/>
    </row>
    <row r="295" spans="2:95" x14ac:dyDescent="0.15">
      <c r="B295" s="36" t="s">
        <v>251</v>
      </c>
      <c r="C295" s="1" t="s">
        <v>255</v>
      </c>
      <c r="K295" s="1" t="s">
        <v>1748</v>
      </c>
      <c r="L295" s="1" t="s">
        <v>1750</v>
      </c>
      <c r="M295" s="1" t="s">
        <v>360</v>
      </c>
      <c r="N295" s="6">
        <v>21</v>
      </c>
      <c r="O295" s="1" t="s">
        <v>4</v>
      </c>
      <c r="P295" s="1">
        <v>25</v>
      </c>
      <c r="Q295" s="1">
        <v>12</v>
      </c>
      <c r="R295" s="1">
        <v>8</v>
      </c>
      <c r="S295" s="1">
        <v>30</v>
      </c>
      <c r="T295" s="1">
        <v>38</v>
      </c>
      <c r="U295" s="253">
        <v>7</v>
      </c>
      <c r="V295" s="1">
        <v>90</v>
      </c>
      <c r="W295" s="44">
        <v>150</v>
      </c>
      <c r="X295" s="40">
        <f>_xlfn.XLOOKUP("Ripening", CropPhenology_Rice[Main_Stage], CropPhenology_Rice[Start_GDD], "Not Found")</f>
        <v>1551</v>
      </c>
      <c r="Y295" s="4" cm="1">
        <f t="array" ref="Y295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Z295" s="3">
        <f>MIN(Y295/V295,MAX(X295/W295,R295,(X295/W295+Y295/V295)/2))</f>
        <v>15.447777777777778</v>
      </c>
      <c r="AA295" s="41">
        <f t="shared" si="162"/>
        <v>119.75832554125009</v>
      </c>
      <c r="AB295" s="1">
        <v>7.5</v>
      </c>
      <c r="AC295" s="1">
        <v>15</v>
      </c>
      <c r="AD295" s="1">
        <v>4</v>
      </c>
      <c r="AE295" s="1">
        <v>90</v>
      </c>
      <c r="AF295" s="1">
        <v>12</v>
      </c>
      <c r="AG295" s="1">
        <v>5</v>
      </c>
      <c r="AH295" s="3">
        <f t="shared" si="137"/>
        <v>2.4966948948948948</v>
      </c>
      <c r="AI295" s="1">
        <v>5.5</v>
      </c>
      <c r="AJ295" s="1">
        <v>7.5</v>
      </c>
      <c r="AK295" s="159">
        <v>3</v>
      </c>
      <c r="AL295" s="150">
        <v>0.12</v>
      </c>
      <c r="AM295" s="1">
        <v>650</v>
      </c>
      <c r="AN295" s="1">
        <v>850</v>
      </c>
      <c r="AO295" s="48">
        <v>3</v>
      </c>
      <c r="AP295" s="44">
        <v>80</v>
      </c>
      <c r="AQ295" s="42">
        <v>0.85</v>
      </c>
      <c r="AR295" s="1">
        <v>20</v>
      </c>
      <c r="AS295" s="1">
        <v>15</v>
      </c>
      <c r="AT295" s="1">
        <v>1</v>
      </c>
      <c r="AU295" s="4">
        <f t="shared" si="124"/>
        <v>33.333333333333336</v>
      </c>
      <c r="AV295" s="3">
        <f>ROUND((P295/1000000)*AU295*10000,2)</f>
        <v>8.33</v>
      </c>
      <c r="AW295" s="1">
        <v>90</v>
      </c>
      <c r="AX295" s="3">
        <f t="shared" si="165"/>
        <v>30</v>
      </c>
      <c r="AY295" s="1">
        <v>4</v>
      </c>
      <c r="AZ295" s="4">
        <f t="shared" si="164"/>
        <v>120</v>
      </c>
      <c r="BA295" s="49">
        <v>0.9</v>
      </c>
      <c r="BB295" s="4">
        <f t="shared" si="125"/>
        <v>108</v>
      </c>
      <c r="BC295" s="50">
        <v>2.1297999999999991E-2</v>
      </c>
      <c r="BD295" s="69">
        <f>IFERROR(
  MAX(0.05, MIN(0.5, CropNorms_Rice[[#This Row],[Leaf_Area_Per_Shoot_m2]] * CropNorms_Rice[[#This Row],[Shoot_Bearing_m2]] )),
  0.2
)</f>
        <v>0.5</v>
      </c>
      <c r="BE295" s="4">
        <f>_xlfn.XLOOKUP(CropNorms_Rice[[#This Row],[LAI_Start_BBCH]], CropPhenology_Rice[Sub_Stage], CropPhenology_Rice[Start_GDD], "Not Found")</f>
        <v>101</v>
      </c>
      <c r="BF295" s="3">
        <f>ROUND(CropNorms_Rice[[#This Row],[Shoot_Bearing_m2]]*CropNorms_Rice[[#This Row],[Leaf_Area_Per_Shoot_m2]],2)</f>
        <v>2.2999999999999998</v>
      </c>
      <c r="BG295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H295" s="3">
        <f>IF(CropNorms_Rice[[#This Row],[Max_LAI]]&gt;=1.2, 0.85*CropNorms_Rice[[#This Row],[Max_LAI]], 1)</f>
        <v>1.9549999999999998</v>
      </c>
      <c r="BI295" s="41">
        <f>_xlfn.XLOOKUP(CropNorms_Rice[[#This Row],[LAI_End_BBCH]], CropPhenology_Rice[Sub_Stage], CropPhenology_Rice[End_GDD], "Not Found")</f>
        <v>1550</v>
      </c>
      <c r="BJ295" s="3" cm="1">
        <f t="array" ref="BJ295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K295" s="3" cm="1">
        <f t="array" ref="BK295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L295" s="3" cm="1">
        <f t="array" ref="BL295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M295" s="3" cm="1">
        <f t="array" ref="BM295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5" s="42">
        <v>0.45</v>
      </c>
      <c r="BO295" s="43">
        <v>0</v>
      </c>
      <c r="BP295" s="42">
        <v>4.5999999999999996</v>
      </c>
      <c r="BQ295" s="43" t="s">
        <v>1795</v>
      </c>
      <c r="BR295" s="3" t="str" cm="1">
        <f t="array" ref="BR295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S295" s="3" t="str" cm="1">
        <f t="array" ref="BS295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T295" s="3" t="str" cm="1">
        <f t="array" ref="BT295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95" s="3" t="str" cm="1">
        <f t="array" ref="BU295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95" s="48">
        <v>114</v>
      </c>
      <c r="BW295" s="1">
        <v>56</v>
      </c>
      <c r="BX295" s="44">
        <v>170</v>
      </c>
      <c r="BY295" s="51">
        <v>45823</v>
      </c>
      <c r="BZ295" s="5">
        <v>45853</v>
      </c>
      <c r="CA295" s="85">
        <v>0</v>
      </c>
      <c r="CB295" s="2">
        <v>0</v>
      </c>
      <c r="CC295" s="2">
        <v>0</v>
      </c>
      <c r="CD295" s="2">
        <v>1</v>
      </c>
      <c r="CE295" s="2">
        <v>1</v>
      </c>
      <c r="CF295" s="2">
        <v>1</v>
      </c>
      <c r="CG295" s="2">
        <v>0</v>
      </c>
      <c r="CH295" s="2">
        <v>0</v>
      </c>
      <c r="CI295" s="2">
        <v>1</v>
      </c>
      <c r="CJ295" s="2">
        <v>0</v>
      </c>
      <c r="CK295" s="2">
        <v>0</v>
      </c>
      <c r="CL295" s="2">
        <v>0</v>
      </c>
      <c r="CP295" s="9"/>
      <c r="CQ295" s="10"/>
    </row>
    <row r="296" spans="2:95" ht="11.25" thickBot="1" x14ac:dyDescent="0.2">
      <c r="B296" s="36" t="s">
        <v>251</v>
      </c>
      <c r="C296" s="1" t="s">
        <v>256</v>
      </c>
      <c r="K296" s="1" t="s">
        <v>1748</v>
      </c>
      <c r="L296" s="1" t="s">
        <v>1750</v>
      </c>
      <c r="M296" s="1" t="s">
        <v>360</v>
      </c>
      <c r="N296" s="6">
        <v>21</v>
      </c>
      <c r="O296" s="1" t="s">
        <v>4</v>
      </c>
      <c r="P296" s="1">
        <v>25</v>
      </c>
      <c r="Q296" s="1">
        <v>12</v>
      </c>
      <c r="R296" s="1">
        <v>8</v>
      </c>
      <c r="S296" s="1">
        <v>30</v>
      </c>
      <c r="T296" s="1">
        <v>38</v>
      </c>
      <c r="U296" s="254">
        <v>7</v>
      </c>
      <c r="V296" s="1">
        <v>90</v>
      </c>
      <c r="W296" s="44">
        <v>150</v>
      </c>
      <c r="X296" s="40">
        <f>_xlfn.XLOOKUP("Ripening", CropPhenology_Rice[Main_Stage], CropPhenology_Rice[Start_GDD], "Not Found")</f>
        <v>1551</v>
      </c>
      <c r="Y296" s="4" cm="1">
        <f t="array" ref="Y296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Z296" s="3">
        <f>MIN(Y296/V296,MAX(X296/W296,R296,(X296/W296+Y296/V296)/2))</f>
        <v>15.447777777777778</v>
      </c>
      <c r="AA296" s="41">
        <f t="shared" si="162"/>
        <v>119.75832554125009</v>
      </c>
      <c r="AB296" s="1">
        <v>7.5</v>
      </c>
      <c r="AC296" s="1">
        <v>15</v>
      </c>
      <c r="AD296" s="1">
        <v>4</v>
      </c>
      <c r="AE296" s="1">
        <v>90</v>
      </c>
      <c r="AF296" s="1">
        <v>12</v>
      </c>
      <c r="AG296" s="1">
        <v>5</v>
      </c>
      <c r="AH296" s="3">
        <f t="shared" si="137"/>
        <v>2.4966948948948948</v>
      </c>
      <c r="AI296" s="1">
        <v>5.5</v>
      </c>
      <c r="AJ296" s="1">
        <v>7.5</v>
      </c>
      <c r="AK296" s="160">
        <v>3</v>
      </c>
      <c r="AL296" s="161">
        <v>0.12</v>
      </c>
      <c r="AM296" s="1">
        <v>650</v>
      </c>
      <c r="AN296" s="1">
        <v>850</v>
      </c>
      <c r="AO296" s="48">
        <v>3</v>
      </c>
      <c r="AP296" s="44">
        <v>80</v>
      </c>
      <c r="AQ296" s="42">
        <v>0.85</v>
      </c>
      <c r="AR296" s="1">
        <v>20</v>
      </c>
      <c r="AS296" s="1">
        <v>15</v>
      </c>
      <c r="AT296" s="1">
        <v>1</v>
      </c>
      <c r="AU296" s="4">
        <f t="shared" ref="AU296:AU368" si="166">IFERROR(10000/(AS296*AR296),0)*AT296</f>
        <v>33.333333333333336</v>
      </c>
      <c r="AV296" s="3">
        <f>ROUND((P296/1000000)*AU296*10000,2)</f>
        <v>8.33</v>
      </c>
      <c r="AW296" s="1">
        <v>90</v>
      </c>
      <c r="AX296" s="3">
        <f t="shared" si="165"/>
        <v>30</v>
      </c>
      <c r="AY296" s="1">
        <v>4</v>
      </c>
      <c r="AZ296" s="4">
        <f t="shared" si="164"/>
        <v>120</v>
      </c>
      <c r="BA296" s="49">
        <v>0.9</v>
      </c>
      <c r="BB296" s="4">
        <f t="shared" ref="BB296:BB390" si="167">IFERROR(AZ296*BA296,0)</f>
        <v>108</v>
      </c>
      <c r="BC296" s="50">
        <v>2.1297999999999991E-2</v>
      </c>
      <c r="BD296" s="69">
        <f>IFERROR(
  MAX(0.05, MIN(0.5, CropNorms_Rice[[#This Row],[Leaf_Area_Per_Shoot_m2]] * CropNorms_Rice[[#This Row],[Shoot_Bearing_m2]] )),
  0.2
)</f>
        <v>0.5</v>
      </c>
      <c r="BE296" s="4">
        <f>_xlfn.XLOOKUP(CropNorms_Rice[[#This Row],[LAI_Start_BBCH]], CropPhenology_Rice[Sub_Stage], CropPhenology_Rice[Start_GDD], "Not Found")</f>
        <v>101</v>
      </c>
      <c r="BF296" s="3">
        <f>ROUND(CropNorms_Rice[[#This Row],[Shoot_Bearing_m2]]*CropNorms_Rice[[#This Row],[Leaf_Area_Per_Shoot_m2]],2)</f>
        <v>2.2999999999999998</v>
      </c>
      <c r="BG296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H296" s="3">
        <f>IF(CropNorms_Rice[[#This Row],[Max_LAI]]&gt;=1.2, 0.85*CropNorms_Rice[[#This Row],[Max_LAI]], 1)</f>
        <v>1.9549999999999998</v>
      </c>
      <c r="BI296" s="41">
        <f>_xlfn.XLOOKUP(CropNorms_Rice[[#This Row],[LAI_End_BBCH]], CropPhenology_Rice[Sub_Stage], CropPhenology_Rice[End_GDD], "Not Found")</f>
        <v>1550</v>
      </c>
      <c r="BJ296" s="3" cm="1">
        <f t="array" ref="BJ296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K296" s="3" cm="1">
        <f t="array" ref="BK296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L296" s="3" cm="1">
        <f t="array" ref="BL296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M296" s="3" cm="1">
        <f t="array" ref="BM296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6" s="42">
        <v>0.45</v>
      </c>
      <c r="BO296" s="43">
        <v>0</v>
      </c>
      <c r="BP296" s="42">
        <v>4.5999999999999996</v>
      </c>
      <c r="BQ296" s="43" t="s">
        <v>1795</v>
      </c>
      <c r="BR296" s="3" t="str" cm="1">
        <f t="array" ref="BR296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S296" s="3" t="str" cm="1">
        <f t="array" ref="BS296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T296" s="3" t="str" cm="1">
        <f t="array" ref="BT296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296" s="3" t="str" cm="1">
        <f t="array" ref="BU296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296" s="48">
        <v>114</v>
      </c>
      <c r="BW296" s="1">
        <v>56</v>
      </c>
      <c r="BX296" s="44">
        <v>170</v>
      </c>
      <c r="BY296" s="51">
        <v>45823</v>
      </c>
      <c r="BZ296" s="5">
        <v>45853</v>
      </c>
      <c r="CA296" s="85">
        <v>0</v>
      </c>
      <c r="CB296" s="2">
        <v>0</v>
      </c>
      <c r="CC296" s="2">
        <v>0</v>
      </c>
      <c r="CD296" s="2">
        <v>1</v>
      </c>
      <c r="CE296" s="2">
        <v>1</v>
      </c>
      <c r="CF296" s="2">
        <v>1</v>
      </c>
      <c r="CG296" s="2">
        <v>0</v>
      </c>
      <c r="CH296" s="2">
        <v>0</v>
      </c>
      <c r="CI296" s="2">
        <v>1</v>
      </c>
      <c r="CJ296" s="2">
        <v>0</v>
      </c>
      <c r="CK296" s="2">
        <v>0</v>
      </c>
      <c r="CL296" s="2">
        <v>0</v>
      </c>
      <c r="CP296" s="9"/>
      <c r="CQ296" s="10"/>
    </row>
    <row r="297" spans="2:95" ht="11.25" thickBot="1" x14ac:dyDescent="0.2">
      <c r="Y297" s="3"/>
      <c r="Z297" s="4"/>
      <c r="AG297" s="3"/>
      <c r="AR297" s="4"/>
      <c r="AS297" s="3"/>
      <c r="AU297" s="3"/>
      <c r="AW297" s="4"/>
      <c r="AX297" s="49"/>
      <c r="AY297" s="4"/>
      <c r="BV297" s="51"/>
      <c r="BW297" s="51"/>
      <c r="CP297" s="9"/>
      <c r="CQ297" s="10"/>
    </row>
    <row r="298" spans="2:95" ht="11.25" thickBot="1" x14ac:dyDescent="0.2">
      <c r="B298" s="54" t="s">
        <v>1753</v>
      </c>
      <c r="C298" s="53" t="s">
        <v>1754</v>
      </c>
      <c r="D298" s="53" t="s">
        <v>1804</v>
      </c>
      <c r="E298" s="53" t="s">
        <v>1805</v>
      </c>
      <c r="F298" s="53" t="s">
        <v>1806</v>
      </c>
      <c r="G298" s="53" t="s">
        <v>1807</v>
      </c>
      <c r="H298" s="53" t="s">
        <v>1808</v>
      </c>
      <c r="I298" s="53" t="s">
        <v>1809</v>
      </c>
      <c r="J298" s="53" t="s">
        <v>1810</v>
      </c>
      <c r="K298" s="53" t="s">
        <v>1747</v>
      </c>
      <c r="L298" s="54" t="s">
        <v>1749</v>
      </c>
      <c r="M298" s="53" t="s">
        <v>357</v>
      </c>
      <c r="N298" s="55" t="s">
        <v>692</v>
      </c>
      <c r="O298" s="53" t="s">
        <v>325</v>
      </c>
      <c r="P298" s="53" t="s">
        <v>356</v>
      </c>
      <c r="Q298" s="53" t="s">
        <v>326</v>
      </c>
      <c r="R298" s="53" t="s">
        <v>327</v>
      </c>
      <c r="S298" s="53" t="s">
        <v>328</v>
      </c>
      <c r="T298" s="53" t="s">
        <v>329</v>
      </c>
      <c r="U298" s="250" t="s">
        <v>2349</v>
      </c>
      <c r="V298" s="53" t="s">
        <v>330</v>
      </c>
      <c r="W298" s="53" t="s">
        <v>331</v>
      </c>
      <c r="X298" s="56" t="s">
        <v>354</v>
      </c>
      <c r="Y298" s="57" t="s">
        <v>355</v>
      </c>
      <c r="Z298" s="58" t="s">
        <v>413</v>
      </c>
      <c r="AA298" s="59" t="s">
        <v>583</v>
      </c>
      <c r="AB298" s="53" t="s">
        <v>324</v>
      </c>
      <c r="AC298" s="53" t="s">
        <v>332</v>
      </c>
      <c r="AD298" s="53" t="s">
        <v>333</v>
      </c>
      <c r="AE298" s="53" t="s">
        <v>334</v>
      </c>
      <c r="AF298" s="53" t="s">
        <v>335</v>
      </c>
      <c r="AG298" s="53" t="s">
        <v>336</v>
      </c>
      <c r="AH298" s="60" t="s">
        <v>337</v>
      </c>
      <c r="AI298" s="53" t="s">
        <v>338</v>
      </c>
      <c r="AJ298" s="53" t="s">
        <v>339</v>
      </c>
      <c r="AK298" s="157" t="s">
        <v>2346</v>
      </c>
      <c r="AL298" s="158" t="s">
        <v>2347</v>
      </c>
      <c r="AM298" s="53" t="s">
        <v>340</v>
      </c>
      <c r="AN298" s="53" t="s">
        <v>341</v>
      </c>
      <c r="AO298" s="61" t="s">
        <v>342</v>
      </c>
      <c r="AP298" s="62" t="s">
        <v>343</v>
      </c>
      <c r="AQ298" s="55" t="s">
        <v>344</v>
      </c>
      <c r="AR298" s="53" t="s">
        <v>345</v>
      </c>
      <c r="AS298" s="53" t="s">
        <v>346</v>
      </c>
      <c r="AT298" s="53" t="s">
        <v>364</v>
      </c>
      <c r="AU298" s="60" t="s">
        <v>347</v>
      </c>
      <c r="AV298" s="58" t="s">
        <v>363</v>
      </c>
      <c r="AW298" s="53" t="s">
        <v>348</v>
      </c>
      <c r="AX298" s="58" t="s">
        <v>349</v>
      </c>
      <c r="AY298" s="53" t="s">
        <v>366</v>
      </c>
      <c r="AZ298" s="60" t="s">
        <v>350</v>
      </c>
      <c r="BA298" s="53" t="s">
        <v>365</v>
      </c>
      <c r="BB298" s="60" t="s">
        <v>1827</v>
      </c>
      <c r="BC298" s="63" t="s">
        <v>351</v>
      </c>
      <c r="BD298" s="71" t="s">
        <v>1811</v>
      </c>
      <c r="BE298" s="57" t="s">
        <v>352</v>
      </c>
      <c r="BF298" s="58" t="s">
        <v>1812</v>
      </c>
      <c r="BG298" s="57" t="s">
        <v>1752</v>
      </c>
      <c r="BH298" s="60" t="s">
        <v>1813</v>
      </c>
      <c r="BI298" s="59" t="s">
        <v>353</v>
      </c>
      <c r="BJ298" s="71" t="s">
        <v>1828</v>
      </c>
      <c r="BK298" s="58" t="s">
        <v>1829</v>
      </c>
      <c r="BL298" s="58" t="s">
        <v>1830</v>
      </c>
      <c r="BM298" s="72" t="s">
        <v>1831</v>
      </c>
      <c r="BN298" s="64" t="s">
        <v>1154</v>
      </c>
      <c r="BO298" s="65" t="s">
        <v>1742</v>
      </c>
      <c r="BP298" s="64" t="s">
        <v>1155</v>
      </c>
      <c r="BQ298" s="65" t="s">
        <v>1755</v>
      </c>
      <c r="BR298" s="58" t="s">
        <v>367</v>
      </c>
      <c r="BS298" s="58" t="s">
        <v>1751</v>
      </c>
      <c r="BT298" s="58" t="s">
        <v>368</v>
      </c>
      <c r="BU298" s="60" t="s">
        <v>1814</v>
      </c>
      <c r="BV298" s="61" t="s">
        <v>369</v>
      </c>
      <c r="BW298" s="53" t="s">
        <v>370</v>
      </c>
      <c r="BX298" s="62" t="s">
        <v>371</v>
      </c>
      <c r="BY298" s="53" t="s">
        <v>359</v>
      </c>
      <c r="BZ298" s="53" t="s">
        <v>361</v>
      </c>
      <c r="CA298" s="61" t="s">
        <v>1815</v>
      </c>
      <c r="CB298" s="53" t="s">
        <v>1816</v>
      </c>
      <c r="CC298" s="53" t="s">
        <v>1817</v>
      </c>
      <c r="CD298" s="53" t="s">
        <v>1818</v>
      </c>
      <c r="CE298" s="53" t="s">
        <v>1819</v>
      </c>
      <c r="CF298" s="53" t="s">
        <v>1820</v>
      </c>
      <c r="CG298" s="53" t="s">
        <v>1821</v>
      </c>
      <c r="CH298" s="53" t="s">
        <v>1822</v>
      </c>
      <c r="CI298" s="53" t="s">
        <v>1823</v>
      </c>
      <c r="CJ298" s="53" t="s">
        <v>1824</v>
      </c>
      <c r="CK298" s="53" t="s">
        <v>1825</v>
      </c>
      <c r="CL298" s="53" t="s">
        <v>1826</v>
      </c>
      <c r="CP298" s="9"/>
      <c r="CQ298" s="10"/>
    </row>
    <row r="299" spans="2:95" x14ac:dyDescent="0.15">
      <c r="B299" s="105" t="s">
        <v>257</v>
      </c>
      <c r="C299" s="1" t="s">
        <v>258</v>
      </c>
      <c r="K299" s="1" t="s">
        <v>1769</v>
      </c>
      <c r="L299" s="1" t="s">
        <v>1750</v>
      </c>
      <c r="M299" s="1" t="s">
        <v>360</v>
      </c>
      <c r="N299" s="6">
        <v>21</v>
      </c>
      <c r="O299" s="1" t="s">
        <v>4</v>
      </c>
      <c r="P299" s="1">
        <v>2</v>
      </c>
      <c r="Q299" s="1">
        <v>15</v>
      </c>
      <c r="R299" s="1">
        <v>10</v>
      </c>
      <c r="S299" s="1">
        <v>32</v>
      </c>
      <c r="T299" s="1">
        <v>40</v>
      </c>
      <c r="U299" s="253">
        <v>4</v>
      </c>
      <c r="V299" s="1">
        <v>90</v>
      </c>
      <c r="W299" s="44">
        <v>120</v>
      </c>
      <c r="X299" s="40">
        <f>_xlfn.XLOOKUP("Ripening", CropPhenology_Sesame[Main_Stage], CropPhenology_Sesame[Start_GDD], "Not Found")</f>
        <v>1901</v>
      </c>
      <c r="Y299" s="4" cm="1">
        <f t="array" ref="Y299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Z299" s="3">
        <f>MIN(Y299/V299,MAX(X299/W299,R299,(X299/W299+Y299/V299)/2))</f>
        <v>20.809722222222224</v>
      </c>
      <c r="AA299" s="41">
        <f t="shared" ref="AA299:AA303" si="168">Y299/Z299</f>
        <v>111.48635119802442</v>
      </c>
      <c r="AB299" s="1">
        <v>8</v>
      </c>
      <c r="AC299" s="1">
        <v>18</v>
      </c>
      <c r="AD299" s="1">
        <v>4</v>
      </c>
      <c r="AE299" s="1">
        <v>85</v>
      </c>
      <c r="AF299" s="1">
        <v>12</v>
      </c>
      <c r="AG299" s="1">
        <v>5</v>
      </c>
      <c r="AH299" s="3">
        <f t="shared" si="137"/>
        <v>3.7583075909961687</v>
      </c>
      <c r="AI299" s="1">
        <v>6</v>
      </c>
      <c r="AJ299" s="1">
        <v>7.5</v>
      </c>
      <c r="AK299" s="159">
        <v>5</v>
      </c>
      <c r="AL299" s="150">
        <v>0.06</v>
      </c>
      <c r="AM299" s="1">
        <v>400</v>
      </c>
      <c r="AN299" s="1">
        <v>550</v>
      </c>
      <c r="AO299" s="48">
        <v>2</v>
      </c>
      <c r="AP299" s="44">
        <v>60</v>
      </c>
      <c r="AQ299" s="42">
        <v>0.78</v>
      </c>
      <c r="AR299" s="1">
        <v>45</v>
      </c>
      <c r="AS299" s="1">
        <v>10</v>
      </c>
      <c r="AT299" s="1">
        <v>1</v>
      </c>
      <c r="AU299" s="4">
        <f t="shared" si="166"/>
        <v>22.222222222222221</v>
      </c>
      <c r="AV299" s="3">
        <f>ROUND((P299/1000000)*AU299*10000,2)</f>
        <v>0.44</v>
      </c>
      <c r="AW299" s="1">
        <v>85</v>
      </c>
      <c r="AX299" s="3">
        <f t="shared" si="165"/>
        <v>18.888888888888889</v>
      </c>
      <c r="AY299" s="1">
        <v>1</v>
      </c>
      <c r="AZ299" s="4">
        <f t="shared" ref="AZ299:AZ303" si="169">IFERROR(AX299*AY299,0)</f>
        <v>18.888888888888889</v>
      </c>
      <c r="BA299" s="49">
        <v>0.89</v>
      </c>
      <c r="BB299" s="4">
        <f t="shared" si="167"/>
        <v>16.81111111111111</v>
      </c>
      <c r="BC299" s="50">
        <v>6.5500000000000003E-2</v>
      </c>
      <c r="BD299" s="69">
        <f>IFERROR(
  MAX(0.05, MIN(0.5, CropNorms_Sesame[[#This Row],[Leaf_Area_Per_Shoot_m2]] * CropNorms_Sesame[[#This Row],[Shoot_Bearing_m2]] )),
  0.2
)</f>
        <v>0.5</v>
      </c>
      <c r="BE299" s="4">
        <f>_xlfn.XLOOKUP(CropNorms_Sesame[[#This Row],[LAI_Start_BBCH]], CropPhenology_Sesame[Sub_Stage], CropPhenology_Sesame[Start_GDD], "Not Found")</f>
        <v>131</v>
      </c>
      <c r="BF299" s="3">
        <f>ROUND(CropNorms_Sesame[[#This Row],[Shoot_Bearing_m2]]*CropNorms_Sesame[[#This Row],[Leaf_Area_Per_Shoot_m2]],2)</f>
        <v>1.1000000000000001</v>
      </c>
      <c r="BG299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H299" s="3">
        <f>IF(CropNorms_Sesame[[#This Row],[Max_LAI]]&gt;=1.2, 0.85*CropNorms_Sesame[[#This Row],[Max_LAI]], 1)</f>
        <v>1</v>
      </c>
      <c r="BI299" s="41">
        <f>_xlfn.XLOOKUP(CropNorms_Sesame[[#This Row],[LAI_End_BBCH]], CropPhenology_Sesame[Sub_Stage], CropPhenology_Sesame[End_GDD], "Not Found")</f>
        <v>1900</v>
      </c>
      <c r="BJ299" s="3" cm="1">
        <f t="array" ref="BJ299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K299" s="3" cm="1">
        <f t="array" ref="BK299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L299" s="3" cm="1">
        <f t="array" ref="BL299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299" s="3" cm="1">
        <f t="array" ref="BM299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299" s="42">
        <v>0.35</v>
      </c>
      <c r="BO299" s="43">
        <v>0</v>
      </c>
      <c r="BP299" s="42">
        <v>0.5</v>
      </c>
      <c r="BQ299" s="43" t="s">
        <v>1745</v>
      </c>
      <c r="BR299" s="3" t="str" cm="1">
        <f t="array" ref="BR299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299" s="3" t="str" cm="1">
        <f t="array" ref="BS299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299" s="3" t="str" cm="1">
        <f t="array" ref="BT299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299" s="3" t="str" cm="1">
        <f t="array" ref="BU299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299" s="48">
        <v>75</v>
      </c>
      <c r="BW299" s="1">
        <v>45</v>
      </c>
      <c r="BX299" s="44">
        <v>22.5</v>
      </c>
      <c r="BY299" s="51">
        <v>45853</v>
      </c>
      <c r="BZ299" s="5">
        <v>45884</v>
      </c>
      <c r="CA299" s="85">
        <v>0</v>
      </c>
      <c r="CB299" s="2">
        <v>0</v>
      </c>
      <c r="CC299" s="2">
        <v>1</v>
      </c>
      <c r="CD299" s="2">
        <v>1</v>
      </c>
      <c r="CE299" s="2">
        <v>1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P299" s="9"/>
      <c r="CQ299" s="10"/>
    </row>
    <row r="300" spans="2:95" x14ac:dyDescent="0.15">
      <c r="B300" s="36" t="s">
        <v>257</v>
      </c>
      <c r="C300" s="1" t="s">
        <v>259</v>
      </c>
      <c r="K300" s="1" t="s">
        <v>1769</v>
      </c>
      <c r="L300" s="1" t="s">
        <v>1750</v>
      </c>
      <c r="M300" s="1" t="s">
        <v>360</v>
      </c>
      <c r="N300" s="6">
        <v>21</v>
      </c>
      <c r="O300" s="1" t="s">
        <v>4</v>
      </c>
      <c r="P300" s="1">
        <v>2</v>
      </c>
      <c r="Q300" s="1">
        <v>15</v>
      </c>
      <c r="R300" s="1">
        <v>10</v>
      </c>
      <c r="S300" s="1">
        <v>32</v>
      </c>
      <c r="T300" s="1">
        <v>40</v>
      </c>
      <c r="U300" s="253">
        <v>4</v>
      </c>
      <c r="V300" s="1">
        <v>90</v>
      </c>
      <c r="W300" s="44">
        <v>120</v>
      </c>
      <c r="X300" s="40">
        <f>_xlfn.XLOOKUP("Ripening", CropPhenology_Sesame[Main_Stage], CropPhenology_Sesame[Start_GDD], "Not Found")</f>
        <v>1901</v>
      </c>
      <c r="Y300" s="4" cm="1">
        <f t="array" ref="Y300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Z300" s="3">
        <f>MIN(Y300/V300,MAX(X300/W300,R300,(X300/W300+Y300/V300)/2))</f>
        <v>20.809722222222224</v>
      </c>
      <c r="AA300" s="41">
        <f t="shared" si="168"/>
        <v>111.48635119802442</v>
      </c>
      <c r="AB300" s="1">
        <v>8</v>
      </c>
      <c r="AC300" s="1">
        <v>18</v>
      </c>
      <c r="AD300" s="1">
        <v>4</v>
      </c>
      <c r="AE300" s="1">
        <v>85</v>
      </c>
      <c r="AF300" s="1">
        <v>12</v>
      </c>
      <c r="AG300" s="1">
        <v>5</v>
      </c>
      <c r="AH300" s="3">
        <f t="shared" si="137"/>
        <v>3.7583075909961687</v>
      </c>
      <c r="AI300" s="1">
        <v>6</v>
      </c>
      <c r="AJ300" s="1">
        <v>7.5</v>
      </c>
      <c r="AK300" s="159">
        <v>5</v>
      </c>
      <c r="AL300" s="150">
        <v>0.06</v>
      </c>
      <c r="AM300" s="1">
        <v>400</v>
      </c>
      <c r="AN300" s="1">
        <v>550</v>
      </c>
      <c r="AO300" s="48">
        <v>2</v>
      </c>
      <c r="AP300" s="44">
        <v>60</v>
      </c>
      <c r="AQ300" s="42">
        <v>0.8</v>
      </c>
      <c r="AR300" s="1">
        <v>45</v>
      </c>
      <c r="AS300" s="1">
        <v>10</v>
      </c>
      <c r="AT300" s="1">
        <v>1</v>
      </c>
      <c r="AU300" s="4">
        <f t="shared" si="166"/>
        <v>22.222222222222221</v>
      </c>
      <c r="AV300" s="3">
        <f>ROUND((P300/1000000)*AU300*10000,2)</f>
        <v>0.44</v>
      </c>
      <c r="AW300" s="1">
        <v>85</v>
      </c>
      <c r="AX300" s="3">
        <f t="shared" ref="AX300:AX306" si="170">IFERROR((AU300*AW300/100),0)</f>
        <v>18.888888888888889</v>
      </c>
      <c r="AY300" s="1">
        <v>1</v>
      </c>
      <c r="AZ300" s="4">
        <f t="shared" si="169"/>
        <v>18.888888888888889</v>
      </c>
      <c r="BA300" s="49">
        <v>0.89</v>
      </c>
      <c r="BB300" s="4">
        <f t="shared" si="167"/>
        <v>16.81111111111111</v>
      </c>
      <c r="BC300" s="50">
        <v>6.5500000000000003E-2</v>
      </c>
      <c r="BD300" s="69">
        <f>IFERROR(
  MAX(0.05, MIN(0.5, CropNorms_Sesame[[#This Row],[Leaf_Area_Per_Shoot_m2]] * CropNorms_Sesame[[#This Row],[Shoot_Bearing_m2]] )),
  0.2
)</f>
        <v>0.5</v>
      </c>
      <c r="BE300" s="4">
        <f>_xlfn.XLOOKUP(CropNorms_Sesame[[#This Row],[LAI_Start_BBCH]], CropPhenology_Sesame[Sub_Stage], CropPhenology_Sesame[Start_GDD], "Not Found")</f>
        <v>131</v>
      </c>
      <c r="BF300" s="3">
        <f>ROUND(CropNorms_Sesame[[#This Row],[Shoot_Bearing_m2]]*CropNorms_Sesame[[#This Row],[Leaf_Area_Per_Shoot_m2]],2)</f>
        <v>1.1000000000000001</v>
      </c>
      <c r="BG300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H300" s="3">
        <f>IF(CropNorms_Sesame[[#This Row],[Max_LAI]]&gt;=1.2, 0.85*CropNorms_Sesame[[#This Row],[Max_LAI]], 1)</f>
        <v>1</v>
      </c>
      <c r="BI300" s="41">
        <f>_xlfn.XLOOKUP(CropNorms_Sesame[[#This Row],[LAI_End_BBCH]], CropPhenology_Sesame[Sub_Stage], CropPhenology_Sesame[End_GDD], "Not Found")</f>
        <v>1900</v>
      </c>
      <c r="BJ300" s="3" cm="1">
        <f t="array" ref="BJ300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K300" s="3" cm="1">
        <f t="array" ref="BK300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L300" s="3" cm="1">
        <f t="array" ref="BL300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300" s="3" cm="1">
        <f t="array" ref="BM300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0" s="42">
        <v>0.35</v>
      </c>
      <c r="BO300" s="43">
        <v>0</v>
      </c>
      <c r="BP300" s="42">
        <v>0.5</v>
      </c>
      <c r="BQ300" s="43" t="s">
        <v>1745</v>
      </c>
      <c r="BR300" s="3" t="str" cm="1">
        <f t="array" ref="BR300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00" s="3" t="str" cm="1">
        <f t="array" ref="BS300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300" s="3" t="str" cm="1">
        <f t="array" ref="BT300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300" s="3" t="str" cm="1">
        <f t="array" ref="BU300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300" s="48">
        <v>75</v>
      </c>
      <c r="BW300" s="1">
        <v>45</v>
      </c>
      <c r="BX300" s="44">
        <v>22.5</v>
      </c>
      <c r="BY300" s="51">
        <v>45853</v>
      </c>
      <c r="BZ300" s="5">
        <v>45884</v>
      </c>
      <c r="CA300" s="85">
        <v>0</v>
      </c>
      <c r="CB300" s="2">
        <v>0</v>
      </c>
      <c r="CC300" s="2">
        <v>1</v>
      </c>
      <c r="CD300" s="2">
        <v>1</v>
      </c>
      <c r="CE300" s="2">
        <v>1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P300" s="9"/>
      <c r="CQ300" s="10"/>
    </row>
    <row r="301" spans="2:95" x14ac:dyDescent="0.15">
      <c r="B301" s="36" t="s">
        <v>257</v>
      </c>
      <c r="C301" s="1" t="s">
        <v>260</v>
      </c>
      <c r="K301" s="1" t="s">
        <v>1769</v>
      </c>
      <c r="L301" s="1" t="s">
        <v>1750</v>
      </c>
      <c r="M301" s="1" t="s">
        <v>360</v>
      </c>
      <c r="N301" s="6">
        <v>21</v>
      </c>
      <c r="O301" s="1" t="s">
        <v>4</v>
      </c>
      <c r="P301" s="1">
        <v>2</v>
      </c>
      <c r="Q301" s="1">
        <v>15</v>
      </c>
      <c r="R301" s="1">
        <v>10</v>
      </c>
      <c r="S301" s="1">
        <v>32</v>
      </c>
      <c r="T301" s="1">
        <v>40</v>
      </c>
      <c r="U301" s="253">
        <v>4</v>
      </c>
      <c r="V301" s="1">
        <v>90</v>
      </c>
      <c r="W301" s="44">
        <v>120</v>
      </c>
      <c r="X301" s="40">
        <f>_xlfn.XLOOKUP("Ripening", CropPhenology_Sesame[Main_Stage], CropPhenology_Sesame[Start_GDD], "Not Found")</f>
        <v>1901</v>
      </c>
      <c r="Y301" s="4" cm="1">
        <f t="array" ref="Y301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Z301" s="3">
        <f>MIN(Y301/V301,MAX(X301/W301,R301,(X301/W301+Y301/V301)/2))</f>
        <v>20.809722222222224</v>
      </c>
      <c r="AA301" s="41">
        <f t="shared" si="168"/>
        <v>111.48635119802442</v>
      </c>
      <c r="AB301" s="1">
        <v>8</v>
      </c>
      <c r="AC301" s="1">
        <v>18</v>
      </c>
      <c r="AD301" s="1">
        <v>4</v>
      </c>
      <c r="AE301" s="1">
        <v>85</v>
      </c>
      <c r="AF301" s="1">
        <v>12</v>
      </c>
      <c r="AG301" s="1">
        <v>5</v>
      </c>
      <c r="AH301" s="3">
        <f t="shared" si="137"/>
        <v>3.7583075909961687</v>
      </c>
      <c r="AI301" s="1">
        <v>6</v>
      </c>
      <c r="AJ301" s="1">
        <v>7.5</v>
      </c>
      <c r="AK301" s="159">
        <v>5</v>
      </c>
      <c r="AL301" s="150">
        <v>0.06</v>
      </c>
      <c r="AM301" s="1">
        <v>400</v>
      </c>
      <c r="AN301" s="1">
        <v>550</v>
      </c>
      <c r="AO301" s="48">
        <v>2</v>
      </c>
      <c r="AP301" s="44">
        <v>60</v>
      </c>
      <c r="AQ301" s="42">
        <v>0.76</v>
      </c>
      <c r="AR301" s="1">
        <v>45</v>
      </c>
      <c r="AS301" s="1">
        <v>10</v>
      </c>
      <c r="AT301" s="1">
        <v>1</v>
      </c>
      <c r="AU301" s="4">
        <f t="shared" si="166"/>
        <v>22.222222222222221</v>
      </c>
      <c r="AV301" s="3">
        <f>ROUND((P301/1000000)*AU301*10000,2)</f>
        <v>0.44</v>
      </c>
      <c r="AW301" s="1">
        <v>85</v>
      </c>
      <c r="AX301" s="3">
        <f t="shared" si="170"/>
        <v>18.888888888888889</v>
      </c>
      <c r="AY301" s="1">
        <v>1</v>
      </c>
      <c r="AZ301" s="4">
        <f t="shared" si="169"/>
        <v>18.888888888888889</v>
      </c>
      <c r="BA301" s="49">
        <v>0.89</v>
      </c>
      <c r="BB301" s="4">
        <f t="shared" si="167"/>
        <v>16.81111111111111</v>
      </c>
      <c r="BC301" s="50">
        <v>6.5500000000000003E-2</v>
      </c>
      <c r="BD301" s="69">
        <f>IFERROR(
  MAX(0.05, MIN(0.5, CropNorms_Sesame[[#This Row],[Leaf_Area_Per_Shoot_m2]] * CropNorms_Sesame[[#This Row],[Shoot_Bearing_m2]] )),
  0.2
)</f>
        <v>0.5</v>
      </c>
      <c r="BE301" s="4">
        <f>_xlfn.XLOOKUP(CropNorms_Sesame[[#This Row],[LAI_Start_BBCH]], CropPhenology_Sesame[Sub_Stage], CropPhenology_Sesame[Start_GDD], "Not Found")</f>
        <v>131</v>
      </c>
      <c r="BF301" s="3">
        <f>ROUND(CropNorms_Sesame[[#This Row],[Shoot_Bearing_m2]]*CropNorms_Sesame[[#This Row],[Leaf_Area_Per_Shoot_m2]],2)</f>
        <v>1.1000000000000001</v>
      </c>
      <c r="BG301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H301" s="3">
        <f>IF(CropNorms_Sesame[[#This Row],[Max_LAI]]&gt;=1.2, 0.85*CropNorms_Sesame[[#This Row],[Max_LAI]], 1)</f>
        <v>1</v>
      </c>
      <c r="BI301" s="41">
        <f>_xlfn.XLOOKUP(CropNorms_Sesame[[#This Row],[LAI_End_BBCH]], CropPhenology_Sesame[Sub_Stage], CropPhenology_Sesame[End_GDD], "Not Found")</f>
        <v>1900</v>
      </c>
      <c r="BJ301" s="3" cm="1">
        <f t="array" ref="BJ301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K301" s="3" cm="1">
        <f t="array" ref="BK30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L301" s="3" cm="1">
        <f t="array" ref="BL301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301" s="3" cm="1">
        <f t="array" ref="BM30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1" s="42">
        <v>0.35</v>
      </c>
      <c r="BO301" s="43">
        <v>0</v>
      </c>
      <c r="BP301" s="42">
        <v>0.5</v>
      </c>
      <c r="BQ301" s="43" t="s">
        <v>1745</v>
      </c>
      <c r="BR301" s="3" t="str" cm="1">
        <f t="array" ref="BR30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01" s="3" t="str" cm="1">
        <f t="array" ref="BS30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301" s="3" t="str" cm="1">
        <f t="array" ref="BT301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301" s="3" t="str" cm="1">
        <f t="array" ref="BU301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301" s="48">
        <v>75</v>
      </c>
      <c r="BW301" s="1">
        <v>45</v>
      </c>
      <c r="BX301" s="44">
        <v>22.5</v>
      </c>
      <c r="BY301" s="51">
        <v>45853</v>
      </c>
      <c r="BZ301" s="5">
        <v>45884</v>
      </c>
      <c r="CA301" s="85">
        <v>0</v>
      </c>
      <c r="CB301" s="2">
        <v>0</v>
      </c>
      <c r="CC301" s="2">
        <v>1</v>
      </c>
      <c r="CD301" s="2">
        <v>1</v>
      </c>
      <c r="CE301" s="2">
        <v>1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P301" s="9"/>
      <c r="CQ301" s="10"/>
    </row>
    <row r="302" spans="2:95" x14ac:dyDescent="0.15">
      <c r="B302" s="36" t="s">
        <v>257</v>
      </c>
      <c r="C302" s="1" t="s">
        <v>261</v>
      </c>
      <c r="K302" s="1" t="s">
        <v>1769</v>
      </c>
      <c r="L302" s="1" t="s">
        <v>1750</v>
      </c>
      <c r="M302" s="1" t="s">
        <v>360</v>
      </c>
      <c r="N302" s="6">
        <v>21</v>
      </c>
      <c r="O302" s="1" t="s">
        <v>4</v>
      </c>
      <c r="P302" s="1">
        <v>2</v>
      </c>
      <c r="Q302" s="1">
        <v>15</v>
      </c>
      <c r="R302" s="1">
        <v>10</v>
      </c>
      <c r="S302" s="1">
        <v>32</v>
      </c>
      <c r="T302" s="1">
        <v>40</v>
      </c>
      <c r="U302" s="253">
        <v>4</v>
      </c>
      <c r="V302" s="1">
        <v>90</v>
      </c>
      <c r="W302" s="44">
        <v>120</v>
      </c>
      <c r="X302" s="40">
        <f>_xlfn.XLOOKUP("Ripening", CropPhenology_Sesame[Main_Stage], CropPhenology_Sesame[Start_GDD], "Not Found")</f>
        <v>1901</v>
      </c>
      <c r="Y302" s="4" cm="1">
        <f t="array" ref="Y302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Z302" s="3">
        <f>MIN(Y302/V302,MAX(X302/W302,R302,(X302/W302+Y302/V302)/2))</f>
        <v>20.809722222222224</v>
      </c>
      <c r="AA302" s="41">
        <f t="shared" si="168"/>
        <v>111.48635119802442</v>
      </c>
      <c r="AB302" s="1">
        <v>8</v>
      </c>
      <c r="AC302" s="1">
        <v>18</v>
      </c>
      <c r="AD302" s="1">
        <v>4</v>
      </c>
      <c r="AE302" s="1">
        <v>85</v>
      </c>
      <c r="AF302" s="1">
        <v>12</v>
      </c>
      <c r="AG302" s="1">
        <v>5</v>
      </c>
      <c r="AH302" s="3">
        <f t="shared" ref="AH302:AH303" si="171">IFERROR((Y302-X302)/AA302,0)</f>
        <v>3.7583075909961687</v>
      </c>
      <c r="AI302" s="1">
        <v>6</v>
      </c>
      <c r="AJ302" s="1">
        <v>7.5</v>
      </c>
      <c r="AK302" s="159">
        <v>5</v>
      </c>
      <c r="AL302" s="150">
        <v>0.06</v>
      </c>
      <c r="AM302" s="1">
        <v>400</v>
      </c>
      <c r="AN302" s="1">
        <v>550</v>
      </c>
      <c r="AO302" s="48">
        <v>2</v>
      </c>
      <c r="AP302" s="44">
        <v>60</v>
      </c>
      <c r="AQ302" s="42">
        <v>0.82</v>
      </c>
      <c r="AR302" s="1">
        <v>45</v>
      </c>
      <c r="AS302" s="1">
        <v>10</v>
      </c>
      <c r="AT302" s="1">
        <v>1</v>
      </c>
      <c r="AU302" s="4">
        <f t="shared" si="166"/>
        <v>22.222222222222221</v>
      </c>
      <c r="AV302" s="3">
        <f>ROUND((P302/1000000)*AU302*10000,2)</f>
        <v>0.44</v>
      </c>
      <c r="AW302" s="1">
        <v>85</v>
      </c>
      <c r="AX302" s="3">
        <f t="shared" si="170"/>
        <v>18.888888888888889</v>
      </c>
      <c r="AY302" s="1">
        <v>1</v>
      </c>
      <c r="AZ302" s="4">
        <f t="shared" si="169"/>
        <v>18.888888888888889</v>
      </c>
      <c r="BA302" s="49">
        <v>0.89</v>
      </c>
      <c r="BB302" s="4">
        <f t="shared" si="167"/>
        <v>16.81111111111111</v>
      </c>
      <c r="BC302" s="50">
        <v>6.5500000000000003E-2</v>
      </c>
      <c r="BD302" s="69">
        <f>IFERROR(
  MAX(0.05, MIN(0.5, CropNorms_Sesame[[#This Row],[Leaf_Area_Per_Shoot_m2]] * CropNorms_Sesame[[#This Row],[Shoot_Bearing_m2]] )),
  0.2
)</f>
        <v>0.5</v>
      </c>
      <c r="BE302" s="4">
        <f>_xlfn.XLOOKUP(CropNorms_Sesame[[#This Row],[LAI_Start_BBCH]], CropPhenology_Sesame[Sub_Stage], CropPhenology_Sesame[Start_GDD], "Not Found")</f>
        <v>131</v>
      </c>
      <c r="BF302" s="3">
        <f>ROUND(CropNorms_Sesame[[#This Row],[Shoot_Bearing_m2]]*CropNorms_Sesame[[#This Row],[Leaf_Area_Per_Shoot_m2]],2)</f>
        <v>1.1000000000000001</v>
      </c>
      <c r="BG302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H302" s="3">
        <f>IF(CropNorms_Sesame[[#This Row],[Max_LAI]]&gt;=1.2, 0.85*CropNorms_Sesame[[#This Row],[Max_LAI]], 1)</f>
        <v>1</v>
      </c>
      <c r="BI302" s="41">
        <f>_xlfn.XLOOKUP(CropNorms_Sesame[[#This Row],[LAI_End_BBCH]], CropPhenology_Sesame[Sub_Stage], CropPhenology_Sesame[End_GDD], "Not Found")</f>
        <v>1900</v>
      </c>
      <c r="BJ302" s="3" cm="1">
        <f t="array" ref="BJ302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K302" s="3" cm="1">
        <f t="array" ref="BK302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L302" s="3" cm="1">
        <f t="array" ref="BL302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302" s="3" cm="1">
        <f t="array" ref="BM302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2" s="42">
        <v>0.35</v>
      </c>
      <c r="BO302" s="43">
        <v>0</v>
      </c>
      <c r="BP302" s="42">
        <v>0.5</v>
      </c>
      <c r="BQ302" s="43" t="s">
        <v>1745</v>
      </c>
      <c r="BR302" s="3" t="str" cm="1">
        <f t="array" ref="BR302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02" s="3" t="str" cm="1">
        <f t="array" ref="BS302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302" s="3" t="str" cm="1">
        <f t="array" ref="BT302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302" s="3" t="str" cm="1">
        <f t="array" ref="BU302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302" s="48">
        <v>75</v>
      </c>
      <c r="BW302" s="1">
        <v>45</v>
      </c>
      <c r="BX302" s="44">
        <v>22.5</v>
      </c>
      <c r="BY302" s="51">
        <v>45853</v>
      </c>
      <c r="BZ302" s="5">
        <v>45884</v>
      </c>
      <c r="CA302" s="85">
        <v>0</v>
      </c>
      <c r="CB302" s="2">
        <v>0</v>
      </c>
      <c r="CC302" s="2">
        <v>1</v>
      </c>
      <c r="CD302" s="2">
        <v>1</v>
      </c>
      <c r="CE302" s="2">
        <v>1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P302" s="9"/>
      <c r="CQ302" s="10"/>
    </row>
    <row r="303" spans="2:95" ht="11.25" thickBot="1" x14ac:dyDescent="0.2">
      <c r="B303" s="36" t="s">
        <v>257</v>
      </c>
      <c r="C303" s="1" t="s">
        <v>262</v>
      </c>
      <c r="K303" s="1" t="s">
        <v>1769</v>
      </c>
      <c r="L303" s="1" t="s">
        <v>1750</v>
      </c>
      <c r="M303" s="1" t="s">
        <v>360</v>
      </c>
      <c r="N303" s="6">
        <v>21</v>
      </c>
      <c r="O303" s="1" t="s">
        <v>4</v>
      </c>
      <c r="P303" s="1">
        <v>2</v>
      </c>
      <c r="Q303" s="1">
        <v>15</v>
      </c>
      <c r="R303" s="1">
        <v>10</v>
      </c>
      <c r="S303" s="1">
        <v>32</v>
      </c>
      <c r="T303" s="1">
        <v>40</v>
      </c>
      <c r="U303" s="254">
        <v>4</v>
      </c>
      <c r="V303" s="1">
        <v>90</v>
      </c>
      <c r="W303" s="44">
        <v>120</v>
      </c>
      <c r="X303" s="40">
        <f>_xlfn.XLOOKUP("Ripening", CropPhenology_Sesame[Main_Stage], CropPhenology_Sesame[Start_GDD], "Not Found")</f>
        <v>1901</v>
      </c>
      <c r="Y303" s="4" cm="1">
        <f t="array" ref="Y303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Z303" s="3">
        <f>MIN(Y303/V303,MAX(X303/W303,R303,(X303/W303+Y303/V303)/2))</f>
        <v>20.809722222222224</v>
      </c>
      <c r="AA303" s="41">
        <f t="shared" si="168"/>
        <v>111.48635119802442</v>
      </c>
      <c r="AB303" s="1">
        <v>8</v>
      </c>
      <c r="AC303" s="1">
        <v>18</v>
      </c>
      <c r="AD303" s="1">
        <v>4</v>
      </c>
      <c r="AE303" s="1">
        <v>85</v>
      </c>
      <c r="AF303" s="1">
        <v>12</v>
      </c>
      <c r="AG303" s="1">
        <v>5</v>
      </c>
      <c r="AH303" s="3">
        <f t="shared" si="171"/>
        <v>3.7583075909961687</v>
      </c>
      <c r="AI303" s="1">
        <v>6</v>
      </c>
      <c r="AJ303" s="1">
        <v>7.5</v>
      </c>
      <c r="AK303" s="160">
        <v>5</v>
      </c>
      <c r="AL303" s="161">
        <v>0.06</v>
      </c>
      <c r="AM303" s="1">
        <v>400</v>
      </c>
      <c r="AN303" s="1">
        <v>550</v>
      </c>
      <c r="AO303" s="48">
        <v>2</v>
      </c>
      <c r="AP303" s="44">
        <v>60</v>
      </c>
      <c r="AQ303" s="42">
        <v>0.79</v>
      </c>
      <c r="AR303" s="1">
        <v>45</v>
      </c>
      <c r="AS303" s="1">
        <v>10</v>
      </c>
      <c r="AT303" s="1">
        <v>1</v>
      </c>
      <c r="AU303" s="4">
        <f t="shared" si="166"/>
        <v>22.222222222222221</v>
      </c>
      <c r="AV303" s="3">
        <f>ROUND((P303/1000000)*AU303*10000,2)</f>
        <v>0.44</v>
      </c>
      <c r="AW303" s="1">
        <v>85</v>
      </c>
      <c r="AX303" s="3">
        <f t="shared" si="170"/>
        <v>18.888888888888889</v>
      </c>
      <c r="AY303" s="1">
        <v>1</v>
      </c>
      <c r="AZ303" s="4">
        <f t="shared" si="169"/>
        <v>18.888888888888889</v>
      </c>
      <c r="BA303" s="49">
        <v>0.89</v>
      </c>
      <c r="BB303" s="4">
        <f t="shared" si="167"/>
        <v>16.81111111111111</v>
      </c>
      <c r="BC303" s="50">
        <v>6.5500000000000003E-2</v>
      </c>
      <c r="BD303" s="69">
        <f>IFERROR(
  MAX(0.05, MIN(0.5, CropNorms_Sesame[[#This Row],[Leaf_Area_Per_Shoot_m2]] * CropNorms_Sesame[[#This Row],[Shoot_Bearing_m2]] )),
  0.2
)</f>
        <v>0.5</v>
      </c>
      <c r="BE303" s="4">
        <f>_xlfn.XLOOKUP(CropNorms_Sesame[[#This Row],[LAI_Start_BBCH]], CropPhenology_Sesame[Sub_Stage], CropPhenology_Sesame[Start_GDD], "Not Found")</f>
        <v>131</v>
      </c>
      <c r="BF303" s="3">
        <f>ROUND(CropNorms_Sesame[[#This Row],[Shoot_Bearing_m2]]*CropNorms_Sesame[[#This Row],[Leaf_Area_Per_Shoot_m2]],2)</f>
        <v>1.1000000000000001</v>
      </c>
      <c r="BG303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H303" s="3">
        <f>IF(CropNorms_Sesame[[#This Row],[Max_LAI]]&gt;=1.2, 0.85*CropNorms_Sesame[[#This Row],[Max_LAI]], 1)</f>
        <v>1</v>
      </c>
      <c r="BI303" s="41">
        <f>_xlfn.XLOOKUP(CropNorms_Sesame[[#This Row],[LAI_End_BBCH]], CropPhenology_Sesame[Sub_Stage], CropPhenology_Sesame[End_GDD], "Not Found")</f>
        <v>1900</v>
      </c>
      <c r="BJ303" s="3" cm="1">
        <f t="array" ref="BJ303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K303" s="3" cm="1">
        <f t="array" ref="BK303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L303" s="3" cm="1">
        <f t="array" ref="BL303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303" s="3" cm="1">
        <f t="array" ref="BM303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3" s="42">
        <v>0.35</v>
      </c>
      <c r="BO303" s="43">
        <v>0</v>
      </c>
      <c r="BP303" s="42">
        <v>0.5</v>
      </c>
      <c r="BQ303" s="43" t="s">
        <v>1745</v>
      </c>
      <c r="BR303" s="3" t="str" cm="1">
        <f t="array" ref="BR303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03" s="3" t="str" cm="1">
        <f t="array" ref="BS303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T303" s="3" t="str" cm="1">
        <f t="array" ref="BT303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U303" s="3" t="str" cm="1">
        <f t="array" ref="BU303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V303" s="48">
        <v>75</v>
      </c>
      <c r="BW303" s="1">
        <v>45</v>
      </c>
      <c r="BX303" s="44">
        <v>22.5</v>
      </c>
      <c r="BY303" s="51">
        <v>45853</v>
      </c>
      <c r="BZ303" s="5">
        <v>45884</v>
      </c>
      <c r="CA303" s="85">
        <v>0</v>
      </c>
      <c r="CB303" s="2">
        <v>0</v>
      </c>
      <c r="CC303" s="2">
        <v>1</v>
      </c>
      <c r="CD303" s="2">
        <v>1</v>
      </c>
      <c r="CE303" s="2">
        <v>1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P303" s="9"/>
      <c r="CQ303" s="10"/>
    </row>
    <row r="304" spans="2:95" ht="11.25" thickBot="1" x14ac:dyDescent="0.2">
      <c r="Y304" s="3"/>
      <c r="Z304" s="4"/>
      <c r="AG304" s="3"/>
      <c r="AR304" s="4"/>
      <c r="AS304" s="3"/>
      <c r="AU304" s="3"/>
      <c r="AW304" s="4"/>
      <c r="AX304" s="49"/>
      <c r="AY304" s="4"/>
      <c r="BV304" s="51"/>
      <c r="BW304" s="51"/>
      <c r="CP304" s="9"/>
      <c r="CQ304" s="10"/>
    </row>
    <row r="305" spans="2:95" ht="11.25" thickBot="1" x14ac:dyDescent="0.2">
      <c r="B305" s="54" t="s">
        <v>1753</v>
      </c>
      <c r="C305" s="53" t="s">
        <v>1754</v>
      </c>
      <c r="D305" s="53" t="s">
        <v>1804</v>
      </c>
      <c r="E305" s="53" t="s">
        <v>1805</v>
      </c>
      <c r="F305" s="53" t="s">
        <v>1806</v>
      </c>
      <c r="G305" s="53" t="s">
        <v>1807</v>
      </c>
      <c r="H305" s="53" t="s">
        <v>1808</v>
      </c>
      <c r="I305" s="53" t="s">
        <v>1809</v>
      </c>
      <c r="J305" s="53" t="s">
        <v>1810</v>
      </c>
      <c r="K305" s="53" t="s">
        <v>1747</v>
      </c>
      <c r="L305" s="54" t="s">
        <v>1749</v>
      </c>
      <c r="M305" s="53" t="s">
        <v>357</v>
      </c>
      <c r="N305" s="55" t="s">
        <v>692</v>
      </c>
      <c r="O305" s="53" t="s">
        <v>325</v>
      </c>
      <c r="P305" s="53" t="s">
        <v>356</v>
      </c>
      <c r="Q305" s="53" t="s">
        <v>326</v>
      </c>
      <c r="R305" s="53" t="s">
        <v>327</v>
      </c>
      <c r="S305" s="53" t="s">
        <v>328</v>
      </c>
      <c r="T305" s="53" t="s">
        <v>329</v>
      </c>
      <c r="U305" s="250" t="s">
        <v>2349</v>
      </c>
      <c r="V305" s="53" t="s">
        <v>330</v>
      </c>
      <c r="W305" s="53" t="s">
        <v>331</v>
      </c>
      <c r="X305" s="56" t="s">
        <v>354</v>
      </c>
      <c r="Y305" s="57" t="s">
        <v>355</v>
      </c>
      <c r="Z305" s="58" t="s">
        <v>413</v>
      </c>
      <c r="AA305" s="59" t="s">
        <v>583</v>
      </c>
      <c r="AB305" s="53" t="s">
        <v>324</v>
      </c>
      <c r="AC305" s="53" t="s">
        <v>332</v>
      </c>
      <c r="AD305" s="53" t="s">
        <v>333</v>
      </c>
      <c r="AE305" s="53" t="s">
        <v>334</v>
      </c>
      <c r="AF305" s="53" t="s">
        <v>335</v>
      </c>
      <c r="AG305" s="53" t="s">
        <v>336</v>
      </c>
      <c r="AH305" s="60" t="s">
        <v>337</v>
      </c>
      <c r="AI305" s="53" t="s">
        <v>338</v>
      </c>
      <c r="AJ305" s="53" t="s">
        <v>339</v>
      </c>
      <c r="AK305" s="157" t="s">
        <v>2346</v>
      </c>
      <c r="AL305" s="158" t="s">
        <v>2347</v>
      </c>
      <c r="AM305" s="53" t="s">
        <v>340</v>
      </c>
      <c r="AN305" s="53" t="s">
        <v>341</v>
      </c>
      <c r="AO305" s="61" t="s">
        <v>342</v>
      </c>
      <c r="AP305" s="62" t="s">
        <v>343</v>
      </c>
      <c r="AQ305" s="55" t="s">
        <v>344</v>
      </c>
      <c r="AR305" s="53" t="s">
        <v>345</v>
      </c>
      <c r="AS305" s="53" t="s">
        <v>346</v>
      </c>
      <c r="AT305" s="53" t="s">
        <v>364</v>
      </c>
      <c r="AU305" s="60" t="s">
        <v>347</v>
      </c>
      <c r="AV305" s="58" t="s">
        <v>363</v>
      </c>
      <c r="AW305" s="53" t="s">
        <v>348</v>
      </c>
      <c r="AX305" s="58" t="s">
        <v>349</v>
      </c>
      <c r="AY305" s="53" t="s">
        <v>366</v>
      </c>
      <c r="AZ305" s="60" t="s">
        <v>350</v>
      </c>
      <c r="BA305" s="53" t="s">
        <v>365</v>
      </c>
      <c r="BB305" s="60" t="s">
        <v>1827</v>
      </c>
      <c r="BC305" s="63" t="s">
        <v>351</v>
      </c>
      <c r="BD305" s="71" t="s">
        <v>1811</v>
      </c>
      <c r="BE305" s="57" t="s">
        <v>352</v>
      </c>
      <c r="BF305" s="58" t="s">
        <v>1812</v>
      </c>
      <c r="BG305" s="57" t="s">
        <v>1752</v>
      </c>
      <c r="BH305" s="60" t="s">
        <v>1813</v>
      </c>
      <c r="BI305" s="59" t="s">
        <v>353</v>
      </c>
      <c r="BJ305" s="71" t="s">
        <v>1828</v>
      </c>
      <c r="BK305" s="58" t="s">
        <v>1829</v>
      </c>
      <c r="BL305" s="58" t="s">
        <v>1830</v>
      </c>
      <c r="BM305" s="72" t="s">
        <v>1831</v>
      </c>
      <c r="BN305" s="64" t="s">
        <v>1154</v>
      </c>
      <c r="BO305" s="65" t="s">
        <v>1742</v>
      </c>
      <c r="BP305" s="64" t="s">
        <v>1155</v>
      </c>
      <c r="BQ305" s="65" t="s">
        <v>1755</v>
      </c>
      <c r="BR305" s="58" t="s">
        <v>367</v>
      </c>
      <c r="BS305" s="58" t="s">
        <v>1751</v>
      </c>
      <c r="BT305" s="58" t="s">
        <v>368</v>
      </c>
      <c r="BU305" s="60" t="s">
        <v>1814</v>
      </c>
      <c r="BV305" s="61" t="s">
        <v>369</v>
      </c>
      <c r="BW305" s="53" t="s">
        <v>370</v>
      </c>
      <c r="BX305" s="62" t="s">
        <v>371</v>
      </c>
      <c r="BY305" s="53" t="s">
        <v>359</v>
      </c>
      <c r="BZ305" s="53" t="s">
        <v>361</v>
      </c>
      <c r="CA305" s="61" t="s">
        <v>1815</v>
      </c>
      <c r="CB305" s="53" t="s">
        <v>1816</v>
      </c>
      <c r="CC305" s="53" t="s">
        <v>1817</v>
      </c>
      <c r="CD305" s="53" t="s">
        <v>1818</v>
      </c>
      <c r="CE305" s="53" t="s">
        <v>1819</v>
      </c>
      <c r="CF305" s="53" t="s">
        <v>1820</v>
      </c>
      <c r="CG305" s="53" t="s">
        <v>1821</v>
      </c>
      <c r="CH305" s="53" t="s">
        <v>1822</v>
      </c>
      <c r="CI305" s="53" t="s">
        <v>1823</v>
      </c>
      <c r="CJ305" s="53" t="s">
        <v>1824</v>
      </c>
      <c r="CK305" s="53" t="s">
        <v>1825</v>
      </c>
      <c r="CL305" s="53" t="s">
        <v>1826</v>
      </c>
      <c r="CP305" s="9"/>
      <c r="CQ305" s="10"/>
    </row>
    <row r="306" spans="2:95" x14ac:dyDescent="0.15">
      <c r="B306" s="36" t="s">
        <v>263</v>
      </c>
      <c r="C306" s="1" t="s">
        <v>264</v>
      </c>
      <c r="K306" s="1" t="s">
        <v>1748</v>
      </c>
      <c r="L306" s="1" t="s">
        <v>1750</v>
      </c>
      <c r="M306" s="1" t="s">
        <v>360</v>
      </c>
      <c r="N306" s="6">
        <v>18</v>
      </c>
      <c r="O306" s="1" t="s">
        <v>4</v>
      </c>
      <c r="P306" s="1">
        <v>30</v>
      </c>
      <c r="Q306" s="1">
        <v>10</v>
      </c>
      <c r="R306" s="1">
        <v>8</v>
      </c>
      <c r="S306" s="1">
        <v>32</v>
      </c>
      <c r="T306" s="1">
        <v>40</v>
      </c>
      <c r="U306" s="253">
        <v>6</v>
      </c>
      <c r="V306" s="1">
        <v>80</v>
      </c>
      <c r="W306" s="44">
        <v>140</v>
      </c>
      <c r="X306" s="40">
        <f>_xlfn.XLOOKUP("Ripening", CropPhenology_Sorghum[Main_Stage], CropPhenology_Sorghum[Start_GDD], "Not Found")</f>
        <v>1251</v>
      </c>
      <c r="Y306" s="4" cm="1">
        <f t="array" ref="Y306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06" s="3">
        <f t="shared" ref="Z306:Z313" si="172">MIN(Y306/V306,MAX(X306/W306,R306,(X306/W306+Y306/V306)/2))</f>
        <v>13.092857142857142</v>
      </c>
      <c r="AA306" s="41">
        <f t="shared" ref="AA306:AA313" si="173">Y306/Z306</f>
        <v>105.40098199672668</v>
      </c>
      <c r="AB306" s="1">
        <v>8</v>
      </c>
      <c r="AC306" s="1">
        <v>15</v>
      </c>
      <c r="AD306" s="1">
        <v>4</v>
      </c>
      <c r="AE306" s="1">
        <v>85</v>
      </c>
      <c r="AF306" s="1">
        <v>10</v>
      </c>
      <c r="AG306" s="1">
        <v>5</v>
      </c>
      <c r="AH306" s="3">
        <f t="shared" ref="AH306:AH403" si="174">IFERROR((Y306-X306)/AA306,0)</f>
        <v>1.2238975155279501</v>
      </c>
      <c r="AI306" s="1">
        <v>6</v>
      </c>
      <c r="AJ306" s="1">
        <v>7.5</v>
      </c>
      <c r="AK306" s="159">
        <v>6.8</v>
      </c>
      <c r="AL306" s="150">
        <v>0.05</v>
      </c>
      <c r="AM306" s="1">
        <v>450</v>
      </c>
      <c r="AN306" s="1">
        <v>600</v>
      </c>
      <c r="AO306" s="48">
        <v>3</v>
      </c>
      <c r="AP306" s="44">
        <v>100</v>
      </c>
      <c r="AQ306" s="42">
        <v>0.8</v>
      </c>
      <c r="AR306" s="1">
        <v>45</v>
      </c>
      <c r="AS306" s="1">
        <v>15</v>
      </c>
      <c r="AT306" s="1">
        <v>2</v>
      </c>
      <c r="AU306" s="4">
        <f t="shared" si="166"/>
        <v>29.62962962962963</v>
      </c>
      <c r="AV306" s="3">
        <f t="shared" ref="AV306:AV313" si="175">ROUND((P306/1000000)*AU306*10000,2)</f>
        <v>8.89</v>
      </c>
      <c r="AW306" s="1">
        <v>90</v>
      </c>
      <c r="AX306" s="3">
        <f t="shared" si="170"/>
        <v>26.666666666666664</v>
      </c>
      <c r="AY306" s="1">
        <v>2</v>
      </c>
      <c r="AZ306" s="4">
        <f t="shared" ref="AZ306" si="176">IFERROR(AX306*AY306,0)</f>
        <v>53.333333333333329</v>
      </c>
      <c r="BA306" s="49">
        <v>0.9</v>
      </c>
      <c r="BB306" s="4">
        <f t="shared" si="167"/>
        <v>48</v>
      </c>
      <c r="BC306" s="50">
        <v>0.13755584415584418</v>
      </c>
      <c r="BD306" s="69">
        <f>IFERROR(
  MAX(0.05, MIN(0.5, CropNorms_Sorghum[[#This Row],[Leaf_Area_Per_Shoot_m2]] * CropNorms_Sorghum[[#This Row],[Shoot_Bearing_m2]] )),
  0.2
)</f>
        <v>0.5</v>
      </c>
      <c r="BE306" s="4">
        <f>_xlfn.XLOOKUP(CropNorms_Sorghum[[#This Row],[LAI_Start_BBCH]], CropPhenology_Sorghum[Sub_Stage], CropPhenology_Sorghum[Start_GDD], "Not Found")</f>
        <v>121</v>
      </c>
      <c r="BF306" s="3">
        <f>ROUND(CropNorms_Sorghum[[#This Row],[Shoot_Bearing_m2]]*CropNorms_Sorghum[[#This Row],[Leaf_Area_Per_Shoot_m2]],2)</f>
        <v>6.6</v>
      </c>
      <c r="BG306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06" s="3">
        <f>IF(CropNorms_Sorghum[[#This Row],[Max_LAI]]&gt;=1.2, 0.85*CropNorms_Sorghum[[#This Row],[Max_LAI]], 1)</f>
        <v>5.6099999999999994</v>
      </c>
      <c r="BI306" s="41">
        <f>_xlfn.XLOOKUP(CropNorms_Sorghum[[#This Row],[LAI_End_BBCH]], CropPhenology_Sorghum[Sub_Stage], CropPhenology_Sorghum[End_GDD], "Not Found")</f>
        <v>1250</v>
      </c>
      <c r="BJ306" s="3" cm="1">
        <f t="array" ref="BJ306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06" s="3" cm="1">
        <f t="array" ref="BK306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06" s="3" cm="1">
        <f t="array" ref="BL306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06" s="3" cm="1">
        <f t="array" ref="BM306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6" s="42">
        <v>0.4</v>
      </c>
      <c r="BO306" s="43">
        <v>0</v>
      </c>
      <c r="BP306" s="42">
        <v>2.41</v>
      </c>
      <c r="BQ306" s="43" t="s">
        <v>1795</v>
      </c>
      <c r="BR306" s="3" t="str" cm="1">
        <f t="array" ref="BR306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06" s="3" t="str" cm="1">
        <f t="array" ref="BS306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06" s="3" t="str" cm="1">
        <f t="array" ref="BT306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06" s="3" t="str" cm="1">
        <f t="array" ref="BU306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06" s="48">
        <v>90</v>
      </c>
      <c r="BW306" s="1">
        <v>20</v>
      </c>
      <c r="BX306" s="44">
        <v>37</v>
      </c>
      <c r="BY306" s="51">
        <v>45823</v>
      </c>
      <c r="BZ306" s="5">
        <v>45853</v>
      </c>
      <c r="CA306" s="85">
        <v>0</v>
      </c>
      <c r="CB306" s="2">
        <v>0</v>
      </c>
      <c r="CC306" s="2">
        <v>1</v>
      </c>
      <c r="CD306" s="2">
        <v>1</v>
      </c>
      <c r="CE306" s="2">
        <v>1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P306" s="9"/>
      <c r="CQ306" s="10"/>
    </row>
    <row r="307" spans="2:95" x14ac:dyDescent="0.15">
      <c r="B307" s="36" t="s">
        <v>263</v>
      </c>
      <c r="C307" s="1" t="s">
        <v>265</v>
      </c>
      <c r="K307" s="1" t="s">
        <v>1748</v>
      </c>
      <c r="L307" s="1" t="s">
        <v>1750</v>
      </c>
      <c r="M307" s="1" t="s">
        <v>360</v>
      </c>
      <c r="N307" s="6">
        <v>18</v>
      </c>
      <c r="O307" s="1" t="s">
        <v>4</v>
      </c>
      <c r="P307" s="1">
        <v>30</v>
      </c>
      <c r="Q307" s="1">
        <v>10</v>
      </c>
      <c r="R307" s="1">
        <v>8</v>
      </c>
      <c r="S307" s="1">
        <v>32</v>
      </c>
      <c r="T307" s="1">
        <v>40</v>
      </c>
      <c r="U307" s="253">
        <v>6</v>
      </c>
      <c r="V307" s="1">
        <v>80</v>
      </c>
      <c r="W307" s="44">
        <v>140</v>
      </c>
      <c r="X307" s="40">
        <f>_xlfn.XLOOKUP("Ripening", CropPhenology_Sorghum[Main_Stage], CropPhenology_Sorghum[Start_GDD], "Not Found")</f>
        <v>1251</v>
      </c>
      <c r="Y307" s="4" cm="1">
        <f t="array" ref="Y307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07" s="3">
        <f t="shared" si="172"/>
        <v>13.092857142857142</v>
      </c>
      <c r="AA307" s="41">
        <f t="shared" si="173"/>
        <v>105.40098199672668</v>
      </c>
      <c r="AB307" s="1">
        <v>8</v>
      </c>
      <c r="AC307" s="1">
        <v>15</v>
      </c>
      <c r="AD307" s="1">
        <v>4</v>
      </c>
      <c r="AE307" s="1">
        <v>85</v>
      </c>
      <c r="AF307" s="1">
        <v>10</v>
      </c>
      <c r="AG307" s="1">
        <v>5</v>
      </c>
      <c r="AH307" s="3">
        <f t="shared" si="174"/>
        <v>1.2238975155279501</v>
      </c>
      <c r="AI307" s="1">
        <v>6</v>
      </c>
      <c r="AJ307" s="1">
        <v>7.5</v>
      </c>
      <c r="AK307" s="159">
        <v>6.8</v>
      </c>
      <c r="AL307" s="150">
        <v>0.05</v>
      </c>
      <c r="AM307" s="1">
        <v>450</v>
      </c>
      <c r="AN307" s="1">
        <v>600</v>
      </c>
      <c r="AO307" s="48">
        <v>3</v>
      </c>
      <c r="AP307" s="44">
        <v>100</v>
      </c>
      <c r="AQ307" s="42">
        <v>0.82</v>
      </c>
      <c r="AR307" s="1">
        <v>45</v>
      </c>
      <c r="AS307" s="1">
        <v>15</v>
      </c>
      <c r="AT307" s="1">
        <v>2</v>
      </c>
      <c r="AU307" s="4">
        <f t="shared" si="166"/>
        <v>29.62962962962963</v>
      </c>
      <c r="AV307" s="3">
        <f t="shared" si="175"/>
        <v>8.89</v>
      </c>
      <c r="AW307" s="1">
        <v>90</v>
      </c>
      <c r="AX307" s="3">
        <f t="shared" ref="AX307:AX316" si="177">IFERROR((AU307*AW307/100),0)</f>
        <v>26.666666666666664</v>
      </c>
      <c r="AY307" s="1">
        <v>2</v>
      </c>
      <c r="AZ307" s="4">
        <f t="shared" ref="AZ307:AZ313" si="178">IFERROR(AX307*AY307,0)</f>
        <v>53.333333333333329</v>
      </c>
      <c r="BA307" s="49">
        <v>0.9</v>
      </c>
      <c r="BB307" s="4">
        <f t="shared" si="167"/>
        <v>48</v>
      </c>
      <c r="BC307" s="50">
        <v>0.13755584415584418</v>
      </c>
      <c r="BD307" s="69">
        <f>IFERROR(
  MAX(0.05, MIN(0.5, CropNorms_Sorghum[[#This Row],[Leaf_Area_Per_Shoot_m2]] * CropNorms_Sorghum[[#This Row],[Shoot_Bearing_m2]] )),
  0.2
)</f>
        <v>0.5</v>
      </c>
      <c r="BE307" s="4">
        <f>_xlfn.XLOOKUP(CropNorms_Sorghum[[#This Row],[LAI_Start_BBCH]], CropPhenology_Sorghum[Sub_Stage], CropPhenology_Sorghum[Start_GDD], "Not Found")</f>
        <v>121</v>
      </c>
      <c r="BF307" s="3">
        <f>ROUND(CropNorms_Sorghum[[#This Row],[Shoot_Bearing_m2]]*CropNorms_Sorghum[[#This Row],[Leaf_Area_Per_Shoot_m2]],2)</f>
        <v>6.6</v>
      </c>
      <c r="BG307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07" s="3">
        <f>IF(CropNorms_Sorghum[[#This Row],[Max_LAI]]&gt;=1.2, 0.85*CropNorms_Sorghum[[#This Row],[Max_LAI]], 1)</f>
        <v>5.6099999999999994</v>
      </c>
      <c r="BI307" s="41">
        <f>_xlfn.XLOOKUP(CropNorms_Sorghum[[#This Row],[LAI_End_BBCH]], CropPhenology_Sorghum[Sub_Stage], CropPhenology_Sorghum[End_GDD], "Not Found")</f>
        <v>1250</v>
      </c>
      <c r="BJ307" s="3" cm="1">
        <f t="array" ref="BJ307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07" s="3" cm="1">
        <f t="array" ref="BK307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07" s="3" cm="1">
        <f t="array" ref="BL307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07" s="3" cm="1">
        <f t="array" ref="BM307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7" s="42">
        <v>0.4</v>
      </c>
      <c r="BO307" s="43">
        <v>0</v>
      </c>
      <c r="BP307" s="42">
        <v>2.41</v>
      </c>
      <c r="BQ307" s="43" t="s">
        <v>1795</v>
      </c>
      <c r="BR307" s="3" t="str" cm="1">
        <f t="array" ref="BR307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07" s="3" t="str" cm="1">
        <f t="array" ref="BS307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07" s="3" t="str" cm="1">
        <f t="array" ref="BT307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07" s="3" t="str" cm="1">
        <f t="array" ref="BU307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07" s="48">
        <v>90</v>
      </c>
      <c r="BW307" s="1">
        <v>20</v>
      </c>
      <c r="BX307" s="44">
        <v>37</v>
      </c>
      <c r="BY307" s="51">
        <v>45823</v>
      </c>
      <c r="BZ307" s="5">
        <v>45853</v>
      </c>
      <c r="CA307" s="85">
        <v>0</v>
      </c>
      <c r="CB307" s="2">
        <v>0</v>
      </c>
      <c r="CC307" s="2">
        <v>1</v>
      </c>
      <c r="CD307" s="2">
        <v>1</v>
      </c>
      <c r="CE307" s="2">
        <v>1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P307" s="9"/>
      <c r="CQ307" s="10"/>
    </row>
    <row r="308" spans="2:95" x14ac:dyDescent="0.15">
      <c r="B308" s="36" t="s">
        <v>263</v>
      </c>
      <c r="C308" s="1" t="s">
        <v>266</v>
      </c>
      <c r="K308" s="1" t="s">
        <v>1748</v>
      </c>
      <c r="L308" s="1" t="s">
        <v>1750</v>
      </c>
      <c r="M308" s="1" t="s">
        <v>360</v>
      </c>
      <c r="N308" s="6">
        <v>18</v>
      </c>
      <c r="O308" s="1" t="s">
        <v>4</v>
      </c>
      <c r="P308" s="1">
        <v>30</v>
      </c>
      <c r="Q308" s="1">
        <v>10</v>
      </c>
      <c r="R308" s="1">
        <v>8</v>
      </c>
      <c r="S308" s="1">
        <v>32</v>
      </c>
      <c r="T308" s="1">
        <v>40</v>
      </c>
      <c r="U308" s="253">
        <v>6</v>
      </c>
      <c r="V308" s="1">
        <v>80</v>
      </c>
      <c r="W308" s="44">
        <v>140</v>
      </c>
      <c r="X308" s="40">
        <f>_xlfn.XLOOKUP("Ripening", CropPhenology_Sorghum[Main_Stage], CropPhenology_Sorghum[Start_GDD], "Not Found")</f>
        <v>1251</v>
      </c>
      <c r="Y308" s="4" cm="1">
        <f t="array" ref="Y308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08" s="3">
        <f t="shared" si="172"/>
        <v>13.092857142857142</v>
      </c>
      <c r="AA308" s="41">
        <f t="shared" si="173"/>
        <v>105.40098199672668</v>
      </c>
      <c r="AB308" s="1">
        <v>8</v>
      </c>
      <c r="AC308" s="1">
        <v>15</v>
      </c>
      <c r="AD308" s="1">
        <v>4</v>
      </c>
      <c r="AE308" s="1">
        <v>85</v>
      </c>
      <c r="AF308" s="1">
        <v>10</v>
      </c>
      <c r="AG308" s="1">
        <v>5</v>
      </c>
      <c r="AH308" s="3">
        <f t="shared" si="174"/>
        <v>1.2238975155279501</v>
      </c>
      <c r="AI308" s="1">
        <v>6</v>
      </c>
      <c r="AJ308" s="1">
        <v>7.5</v>
      </c>
      <c r="AK308" s="159">
        <v>6.8</v>
      </c>
      <c r="AL308" s="150">
        <v>0.05</v>
      </c>
      <c r="AM308" s="1">
        <v>450</v>
      </c>
      <c r="AN308" s="1">
        <v>600</v>
      </c>
      <c r="AO308" s="48">
        <v>3</v>
      </c>
      <c r="AP308" s="44">
        <v>100</v>
      </c>
      <c r="AQ308" s="42">
        <v>0.78</v>
      </c>
      <c r="AR308" s="1">
        <v>45</v>
      </c>
      <c r="AS308" s="1">
        <v>15</v>
      </c>
      <c r="AT308" s="1">
        <v>2</v>
      </c>
      <c r="AU308" s="4">
        <f t="shared" si="166"/>
        <v>29.62962962962963</v>
      </c>
      <c r="AV308" s="3">
        <f t="shared" si="175"/>
        <v>8.89</v>
      </c>
      <c r="AW308" s="1">
        <v>90</v>
      </c>
      <c r="AX308" s="3">
        <f t="shared" si="177"/>
        <v>26.666666666666664</v>
      </c>
      <c r="AY308" s="1">
        <v>2</v>
      </c>
      <c r="AZ308" s="4">
        <f t="shared" si="178"/>
        <v>53.333333333333329</v>
      </c>
      <c r="BA308" s="49">
        <v>0.9</v>
      </c>
      <c r="BB308" s="4">
        <f t="shared" si="167"/>
        <v>48</v>
      </c>
      <c r="BC308" s="50">
        <v>0.13755584415584418</v>
      </c>
      <c r="BD308" s="69">
        <f>IFERROR(
  MAX(0.05, MIN(0.5, CropNorms_Sorghum[[#This Row],[Leaf_Area_Per_Shoot_m2]] * CropNorms_Sorghum[[#This Row],[Shoot_Bearing_m2]] )),
  0.2
)</f>
        <v>0.5</v>
      </c>
      <c r="BE308" s="4">
        <f>_xlfn.XLOOKUP(CropNorms_Sorghum[[#This Row],[LAI_Start_BBCH]], CropPhenology_Sorghum[Sub_Stage], CropPhenology_Sorghum[Start_GDD], "Not Found")</f>
        <v>121</v>
      </c>
      <c r="BF308" s="3">
        <f>ROUND(CropNorms_Sorghum[[#This Row],[Shoot_Bearing_m2]]*CropNorms_Sorghum[[#This Row],[Leaf_Area_Per_Shoot_m2]],2)</f>
        <v>6.6</v>
      </c>
      <c r="BG308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08" s="3">
        <f>IF(CropNorms_Sorghum[[#This Row],[Max_LAI]]&gt;=1.2, 0.85*CropNorms_Sorghum[[#This Row],[Max_LAI]], 1)</f>
        <v>5.6099999999999994</v>
      </c>
      <c r="BI308" s="41">
        <f>_xlfn.XLOOKUP(CropNorms_Sorghum[[#This Row],[LAI_End_BBCH]], CropPhenology_Sorghum[Sub_Stage], CropPhenology_Sorghum[End_GDD], "Not Found")</f>
        <v>1250</v>
      </c>
      <c r="BJ308" s="3" cm="1">
        <f t="array" ref="BJ308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08" s="3" cm="1">
        <f t="array" ref="BK308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08" s="3" cm="1">
        <f t="array" ref="BL308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08" s="3" cm="1">
        <f t="array" ref="BM308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8" s="42">
        <v>0.4</v>
      </c>
      <c r="BO308" s="43">
        <v>0</v>
      </c>
      <c r="BP308" s="42">
        <v>2.41</v>
      </c>
      <c r="BQ308" s="43" t="s">
        <v>1795</v>
      </c>
      <c r="BR308" s="3" t="str" cm="1">
        <f t="array" ref="BR308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08" s="3" t="str" cm="1">
        <f t="array" ref="BS308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08" s="3" t="str" cm="1">
        <f t="array" ref="BT308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08" s="3" t="str" cm="1">
        <f t="array" ref="BU308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08" s="48">
        <v>90</v>
      </c>
      <c r="BW308" s="1">
        <v>20</v>
      </c>
      <c r="BX308" s="44">
        <v>37</v>
      </c>
      <c r="BY308" s="51">
        <v>45823</v>
      </c>
      <c r="BZ308" s="5">
        <v>45853</v>
      </c>
      <c r="CA308" s="85">
        <v>0</v>
      </c>
      <c r="CB308" s="2">
        <v>0</v>
      </c>
      <c r="CC308" s="2">
        <v>1</v>
      </c>
      <c r="CD308" s="2">
        <v>1</v>
      </c>
      <c r="CE308" s="2">
        <v>1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P308" s="9"/>
      <c r="CQ308" s="10"/>
    </row>
    <row r="309" spans="2:95" x14ac:dyDescent="0.15">
      <c r="B309" s="36" t="s">
        <v>263</v>
      </c>
      <c r="C309" s="1" t="s">
        <v>267</v>
      </c>
      <c r="K309" s="1" t="s">
        <v>1748</v>
      </c>
      <c r="L309" s="1" t="s">
        <v>1750</v>
      </c>
      <c r="M309" s="1" t="s">
        <v>360</v>
      </c>
      <c r="N309" s="6">
        <v>18</v>
      </c>
      <c r="O309" s="1" t="s">
        <v>4</v>
      </c>
      <c r="P309" s="1">
        <v>30</v>
      </c>
      <c r="Q309" s="1">
        <v>10</v>
      </c>
      <c r="R309" s="1">
        <v>8</v>
      </c>
      <c r="S309" s="1">
        <v>32</v>
      </c>
      <c r="T309" s="1">
        <v>40</v>
      </c>
      <c r="U309" s="253">
        <v>6</v>
      </c>
      <c r="V309" s="1">
        <v>80</v>
      </c>
      <c r="W309" s="44">
        <v>140</v>
      </c>
      <c r="X309" s="40">
        <f>_xlfn.XLOOKUP("Ripening", CropPhenology_Sorghum[Main_Stage], CropPhenology_Sorghum[Start_GDD], "Not Found")</f>
        <v>1251</v>
      </c>
      <c r="Y309" s="4" cm="1">
        <f t="array" ref="Y309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09" s="3">
        <f t="shared" si="172"/>
        <v>13.092857142857142</v>
      </c>
      <c r="AA309" s="41">
        <f t="shared" si="173"/>
        <v>105.40098199672668</v>
      </c>
      <c r="AB309" s="1">
        <v>8</v>
      </c>
      <c r="AC309" s="1">
        <v>15</v>
      </c>
      <c r="AD309" s="1">
        <v>4</v>
      </c>
      <c r="AE309" s="1">
        <v>85</v>
      </c>
      <c r="AF309" s="1">
        <v>10</v>
      </c>
      <c r="AG309" s="1">
        <v>5</v>
      </c>
      <c r="AH309" s="3">
        <f t="shared" si="174"/>
        <v>1.2238975155279501</v>
      </c>
      <c r="AI309" s="1">
        <v>6</v>
      </c>
      <c r="AJ309" s="1">
        <v>7.5</v>
      </c>
      <c r="AK309" s="159">
        <v>6.8</v>
      </c>
      <c r="AL309" s="150">
        <v>0.05</v>
      </c>
      <c r="AM309" s="1">
        <v>450</v>
      </c>
      <c r="AN309" s="1">
        <v>600</v>
      </c>
      <c r="AO309" s="48">
        <v>3</v>
      </c>
      <c r="AP309" s="44">
        <v>100</v>
      </c>
      <c r="AQ309" s="42">
        <v>0.76</v>
      </c>
      <c r="AR309" s="1">
        <v>45</v>
      </c>
      <c r="AS309" s="1">
        <v>15</v>
      </c>
      <c r="AT309" s="1">
        <v>2</v>
      </c>
      <c r="AU309" s="4">
        <f t="shared" si="166"/>
        <v>29.62962962962963</v>
      </c>
      <c r="AV309" s="3">
        <f t="shared" si="175"/>
        <v>8.89</v>
      </c>
      <c r="AW309" s="1">
        <v>90</v>
      </c>
      <c r="AX309" s="3">
        <f t="shared" si="177"/>
        <v>26.666666666666664</v>
      </c>
      <c r="AY309" s="1">
        <v>2</v>
      </c>
      <c r="AZ309" s="4">
        <f t="shared" si="178"/>
        <v>53.333333333333329</v>
      </c>
      <c r="BA309" s="49">
        <v>0.9</v>
      </c>
      <c r="BB309" s="4">
        <f t="shared" si="167"/>
        <v>48</v>
      </c>
      <c r="BC309" s="50">
        <v>0.13755584415584418</v>
      </c>
      <c r="BD309" s="69">
        <f>IFERROR(
  MAX(0.05, MIN(0.5, CropNorms_Sorghum[[#This Row],[Leaf_Area_Per_Shoot_m2]] * CropNorms_Sorghum[[#This Row],[Shoot_Bearing_m2]] )),
  0.2
)</f>
        <v>0.5</v>
      </c>
      <c r="BE309" s="4">
        <f>_xlfn.XLOOKUP(CropNorms_Sorghum[[#This Row],[LAI_Start_BBCH]], CropPhenology_Sorghum[Sub_Stage], CropPhenology_Sorghum[Start_GDD], "Not Found")</f>
        <v>121</v>
      </c>
      <c r="BF309" s="3">
        <f>ROUND(CropNorms_Sorghum[[#This Row],[Shoot_Bearing_m2]]*CropNorms_Sorghum[[#This Row],[Leaf_Area_Per_Shoot_m2]],2)</f>
        <v>6.6</v>
      </c>
      <c r="BG309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09" s="3">
        <f>IF(CropNorms_Sorghum[[#This Row],[Max_LAI]]&gt;=1.2, 0.85*CropNorms_Sorghum[[#This Row],[Max_LAI]], 1)</f>
        <v>5.6099999999999994</v>
      </c>
      <c r="BI309" s="41">
        <f>_xlfn.XLOOKUP(CropNorms_Sorghum[[#This Row],[LAI_End_BBCH]], CropPhenology_Sorghum[Sub_Stage], CropPhenology_Sorghum[End_GDD], "Not Found")</f>
        <v>1250</v>
      </c>
      <c r="BJ309" s="3" cm="1">
        <f t="array" ref="BJ309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09" s="3" cm="1">
        <f t="array" ref="BK309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09" s="3" cm="1">
        <f t="array" ref="BL309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09" s="3" cm="1">
        <f t="array" ref="BM309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09" s="42">
        <v>0.4</v>
      </c>
      <c r="BO309" s="43">
        <v>0</v>
      </c>
      <c r="BP309" s="42">
        <v>2.41</v>
      </c>
      <c r="BQ309" s="43" t="s">
        <v>1795</v>
      </c>
      <c r="BR309" s="3" t="str" cm="1">
        <f t="array" ref="BR309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09" s="3" t="str" cm="1">
        <f t="array" ref="BS309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09" s="3" t="str" cm="1">
        <f t="array" ref="BT309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09" s="3" t="str" cm="1">
        <f t="array" ref="BU309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09" s="48">
        <v>90</v>
      </c>
      <c r="BW309" s="1">
        <v>20</v>
      </c>
      <c r="BX309" s="44">
        <v>37</v>
      </c>
      <c r="BY309" s="51">
        <v>45823</v>
      </c>
      <c r="BZ309" s="5">
        <v>45853</v>
      </c>
      <c r="CA309" s="85">
        <v>0</v>
      </c>
      <c r="CB309" s="2">
        <v>0</v>
      </c>
      <c r="CC309" s="2">
        <v>1</v>
      </c>
      <c r="CD309" s="2">
        <v>1</v>
      </c>
      <c r="CE309" s="2">
        <v>1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P309" s="9"/>
      <c r="CQ309" s="10"/>
    </row>
    <row r="310" spans="2:95" x14ac:dyDescent="0.15">
      <c r="B310" s="36" t="s">
        <v>263</v>
      </c>
      <c r="C310" s="1" t="s">
        <v>268</v>
      </c>
      <c r="K310" s="1" t="s">
        <v>1748</v>
      </c>
      <c r="L310" s="1" t="s">
        <v>1750</v>
      </c>
      <c r="M310" s="1" t="s">
        <v>360</v>
      </c>
      <c r="N310" s="6">
        <v>18</v>
      </c>
      <c r="O310" s="1" t="s">
        <v>4</v>
      </c>
      <c r="P310" s="1">
        <v>30</v>
      </c>
      <c r="Q310" s="1">
        <v>10</v>
      </c>
      <c r="R310" s="1">
        <v>8</v>
      </c>
      <c r="S310" s="1">
        <v>32</v>
      </c>
      <c r="T310" s="1">
        <v>40</v>
      </c>
      <c r="U310" s="253">
        <v>6</v>
      </c>
      <c r="V310" s="1">
        <v>80</v>
      </c>
      <c r="W310" s="44">
        <v>140</v>
      </c>
      <c r="X310" s="40">
        <f>_xlfn.XLOOKUP("Ripening", CropPhenology_Sorghum[Main_Stage], CropPhenology_Sorghum[Start_GDD], "Not Found")</f>
        <v>1251</v>
      </c>
      <c r="Y310" s="4" cm="1">
        <f t="array" ref="Y310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10" s="3">
        <f t="shared" si="172"/>
        <v>13.092857142857142</v>
      </c>
      <c r="AA310" s="41">
        <f t="shared" si="173"/>
        <v>105.40098199672668</v>
      </c>
      <c r="AB310" s="1">
        <v>8</v>
      </c>
      <c r="AC310" s="1">
        <v>15</v>
      </c>
      <c r="AD310" s="1">
        <v>4</v>
      </c>
      <c r="AE310" s="1">
        <v>85</v>
      </c>
      <c r="AF310" s="1">
        <v>10</v>
      </c>
      <c r="AG310" s="1">
        <v>5</v>
      </c>
      <c r="AH310" s="3">
        <f t="shared" si="174"/>
        <v>1.2238975155279501</v>
      </c>
      <c r="AI310" s="1">
        <v>6</v>
      </c>
      <c r="AJ310" s="1">
        <v>7.5</v>
      </c>
      <c r="AK310" s="159">
        <v>6.8</v>
      </c>
      <c r="AL310" s="150">
        <v>0.05</v>
      </c>
      <c r="AM310" s="1">
        <v>450</v>
      </c>
      <c r="AN310" s="1">
        <v>600</v>
      </c>
      <c r="AO310" s="48">
        <v>3</v>
      </c>
      <c r="AP310" s="44">
        <v>100</v>
      </c>
      <c r="AQ310" s="42">
        <v>0.75</v>
      </c>
      <c r="AR310" s="1">
        <v>45</v>
      </c>
      <c r="AS310" s="1">
        <v>15</v>
      </c>
      <c r="AT310" s="1">
        <v>2</v>
      </c>
      <c r="AU310" s="4">
        <f t="shared" si="166"/>
        <v>29.62962962962963</v>
      </c>
      <c r="AV310" s="3">
        <f t="shared" si="175"/>
        <v>8.89</v>
      </c>
      <c r="AW310" s="1">
        <v>90</v>
      </c>
      <c r="AX310" s="3">
        <f t="shared" si="177"/>
        <v>26.666666666666664</v>
      </c>
      <c r="AY310" s="1">
        <v>2</v>
      </c>
      <c r="AZ310" s="4">
        <f t="shared" si="178"/>
        <v>53.333333333333329</v>
      </c>
      <c r="BA310" s="49">
        <v>0.9</v>
      </c>
      <c r="BB310" s="4">
        <f t="shared" si="167"/>
        <v>48</v>
      </c>
      <c r="BC310" s="50">
        <v>0.13755584415584418</v>
      </c>
      <c r="BD310" s="69">
        <f>IFERROR(
  MAX(0.05, MIN(0.5, CropNorms_Sorghum[[#This Row],[Leaf_Area_Per_Shoot_m2]] * CropNorms_Sorghum[[#This Row],[Shoot_Bearing_m2]] )),
  0.2
)</f>
        <v>0.5</v>
      </c>
      <c r="BE310" s="4">
        <f>_xlfn.XLOOKUP(CropNorms_Sorghum[[#This Row],[LAI_Start_BBCH]], CropPhenology_Sorghum[Sub_Stage], CropPhenology_Sorghum[Start_GDD], "Not Found")</f>
        <v>121</v>
      </c>
      <c r="BF310" s="3">
        <f>ROUND(CropNorms_Sorghum[[#This Row],[Shoot_Bearing_m2]]*CropNorms_Sorghum[[#This Row],[Leaf_Area_Per_Shoot_m2]],2)</f>
        <v>6.6</v>
      </c>
      <c r="BG310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10" s="3">
        <f>IF(CropNorms_Sorghum[[#This Row],[Max_LAI]]&gt;=1.2, 0.85*CropNorms_Sorghum[[#This Row],[Max_LAI]], 1)</f>
        <v>5.6099999999999994</v>
      </c>
      <c r="BI310" s="41">
        <f>_xlfn.XLOOKUP(CropNorms_Sorghum[[#This Row],[LAI_End_BBCH]], CropPhenology_Sorghum[Sub_Stage], CropPhenology_Sorghum[End_GDD], "Not Found")</f>
        <v>1250</v>
      </c>
      <c r="BJ310" s="3" cm="1">
        <f t="array" ref="BJ310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10" s="3" cm="1">
        <f t="array" ref="BK310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10" s="3" cm="1">
        <f t="array" ref="BL310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10" s="3" cm="1">
        <f t="array" ref="BM310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0" s="42">
        <v>0.4</v>
      </c>
      <c r="BO310" s="43">
        <v>0</v>
      </c>
      <c r="BP310" s="42">
        <v>2.41</v>
      </c>
      <c r="BQ310" s="43" t="s">
        <v>1795</v>
      </c>
      <c r="BR310" s="3" t="str" cm="1">
        <f t="array" ref="BR310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10" s="3" t="str" cm="1">
        <f t="array" ref="BS310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10" s="3" t="str" cm="1">
        <f t="array" ref="BT310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10" s="3" t="str" cm="1">
        <f t="array" ref="BU310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10" s="48">
        <v>90</v>
      </c>
      <c r="BW310" s="1">
        <v>20</v>
      </c>
      <c r="BX310" s="44">
        <v>37</v>
      </c>
      <c r="BY310" s="51">
        <v>45823</v>
      </c>
      <c r="BZ310" s="5">
        <v>45853</v>
      </c>
      <c r="CA310" s="85">
        <v>0</v>
      </c>
      <c r="CB310" s="2">
        <v>0</v>
      </c>
      <c r="CC310" s="2">
        <v>1</v>
      </c>
      <c r="CD310" s="2">
        <v>1</v>
      </c>
      <c r="CE310" s="2">
        <v>1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P310" s="9"/>
      <c r="CQ310" s="10"/>
    </row>
    <row r="311" spans="2:95" x14ac:dyDescent="0.15">
      <c r="B311" s="36" t="s">
        <v>263</v>
      </c>
      <c r="C311" s="1" t="s">
        <v>269</v>
      </c>
      <c r="K311" s="1" t="s">
        <v>1748</v>
      </c>
      <c r="L311" s="1" t="s">
        <v>1750</v>
      </c>
      <c r="M311" s="1" t="s">
        <v>360</v>
      </c>
      <c r="N311" s="6">
        <v>18</v>
      </c>
      <c r="O311" s="1" t="s">
        <v>4</v>
      </c>
      <c r="P311" s="1">
        <v>30</v>
      </c>
      <c r="Q311" s="1">
        <v>10</v>
      </c>
      <c r="R311" s="1">
        <v>8</v>
      </c>
      <c r="S311" s="1">
        <v>32</v>
      </c>
      <c r="T311" s="1">
        <v>40</v>
      </c>
      <c r="U311" s="253">
        <v>6</v>
      </c>
      <c r="V311" s="1">
        <v>80</v>
      </c>
      <c r="W311" s="44">
        <v>140</v>
      </c>
      <c r="X311" s="40">
        <f>_xlfn.XLOOKUP("Ripening", CropPhenology_Sorghum[Main_Stage], CropPhenology_Sorghum[Start_GDD], "Not Found")</f>
        <v>1251</v>
      </c>
      <c r="Y311" s="4" cm="1">
        <f t="array" ref="Y311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11" s="3">
        <f t="shared" si="172"/>
        <v>13.092857142857142</v>
      </c>
      <c r="AA311" s="41">
        <f t="shared" si="173"/>
        <v>105.40098199672668</v>
      </c>
      <c r="AB311" s="1">
        <v>8</v>
      </c>
      <c r="AC311" s="1">
        <v>15</v>
      </c>
      <c r="AD311" s="1">
        <v>4</v>
      </c>
      <c r="AE311" s="1">
        <v>85</v>
      </c>
      <c r="AF311" s="1">
        <v>10</v>
      </c>
      <c r="AG311" s="1">
        <v>5</v>
      </c>
      <c r="AH311" s="3">
        <f t="shared" si="174"/>
        <v>1.2238975155279501</v>
      </c>
      <c r="AI311" s="1">
        <v>6</v>
      </c>
      <c r="AJ311" s="1">
        <v>7.5</v>
      </c>
      <c r="AK311" s="159">
        <v>6.8</v>
      </c>
      <c r="AL311" s="150">
        <v>0.05</v>
      </c>
      <c r="AM311" s="1">
        <v>450</v>
      </c>
      <c r="AN311" s="1">
        <v>600</v>
      </c>
      <c r="AO311" s="48">
        <v>3</v>
      </c>
      <c r="AP311" s="44">
        <v>100</v>
      </c>
      <c r="AQ311" s="42">
        <v>0.8</v>
      </c>
      <c r="AR311" s="1">
        <v>45</v>
      </c>
      <c r="AS311" s="1">
        <v>15</v>
      </c>
      <c r="AT311" s="1">
        <v>2</v>
      </c>
      <c r="AU311" s="4">
        <f t="shared" si="166"/>
        <v>29.62962962962963</v>
      </c>
      <c r="AV311" s="3">
        <f t="shared" si="175"/>
        <v>8.89</v>
      </c>
      <c r="AW311" s="1">
        <v>90</v>
      </c>
      <c r="AX311" s="3">
        <f t="shared" si="177"/>
        <v>26.666666666666664</v>
      </c>
      <c r="AY311" s="1">
        <v>2</v>
      </c>
      <c r="AZ311" s="4">
        <f t="shared" si="178"/>
        <v>53.333333333333329</v>
      </c>
      <c r="BA311" s="49">
        <v>0.9</v>
      </c>
      <c r="BB311" s="4">
        <f t="shared" si="167"/>
        <v>48</v>
      </c>
      <c r="BC311" s="50">
        <v>0.13755584415584418</v>
      </c>
      <c r="BD311" s="69">
        <f>IFERROR(
  MAX(0.05, MIN(0.5, CropNorms_Sorghum[[#This Row],[Leaf_Area_Per_Shoot_m2]] * CropNorms_Sorghum[[#This Row],[Shoot_Bearing_m2]] )),
  0.2
)</f>
        <v>0.5</v>
      </c>
      <c r="BE311" s="4">
        <f>_xlfn.XLOOKUP(CropNorms_Sorghum[[#This Row],[LAI_Start_BBCH]], CropPhenology_Sorghum[Sub_Stage], CropPhenology_Sorghum[Start_GDD], "Not Found")</f>
        <v>121</v>
      </c>
      <c r="BF311" s="3">
        <f>ROUND(CropNorms_Sorghum[[#This Row],[Shoot_Bearing_m2]]*CropNorms_Sorghum[[#This Row],[Leaf_Area_Per_Shoot_m2]],2)</f>
        <v>6.6</v>
      </c>
      <c r="BG311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11" s="3">
        <f>IF(CropNorms_Sorghum[[#This Row],[Max_LAI]]&gt;=1.2, 0.85*CropNorms_Sorghum[[#This Row],[Max_LAI]], 1)</f>
        <v>5.6099999999999994</v>
      </c>
      <c r="BI311" s="41">
        <f>_xlfn.XLOOKUP(CropNorms_Sorghum[[#This Row],[LAI_End_BBCH]], CropPhenology_Sorghum[Sub_Stage], CropPhenology_Sorghum[End_GDD], "Not Found")</f>
        <v>1250</v>
      </c>
      <c r="BJ311" s="3" cm="1">
        <f t="array" ref="BJ311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11" s="3" cm="1">
        <f t="array" ref="BK31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11" s="3" cm="1">
        <f t="array" ref="BL311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11" s="3" cm="1">
        <f t="array" ref="BM31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1" s="42">
        <v>0.4</v>
      </c>
      <c r="BO311" s="43">
        <v>0</v>
      </c>
      <c r="BP311" s="42">
        <v>2.41</v>
      </c>
      <c r="BQ311" s="43" t="s">
        <v>1795</v>
      </c>
      <c r="BR311" s="3" t="str" cm="1">
        <f t="array" ref="BR31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11" s="3" t="str" cm="1">
        <f t="array" ref="BS31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11" s="3" t="str" cm="1">
        <f t="array" ref="BT311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11" s="3" t="str" cm="1">
        <f t="array" ref="BU311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11" s="48">
        <v>90</v>
      </c>
      <c r="BW311" s="1">
        <v>20</v>
      </c>
      <c r="BX311" s="44">
        <v>37</v>
      </c>
      <c r="BY311" s="51">
        <v>45823</v>
      </c>
      <c r="BZ311" s="5">
        <v>45853</v>
      </c>
      <c r="CA311" s="85">
        <v>0</v>
      </c>
      <c r="CB311" s="2">
        <v>0</v>
      </c>
      <c r="CC311" s="2">
        <v>1</v>
      </c>
      <c r="CD311" s="2">
        <v>1</v>
      </c>
      <c r="CE311" s="2">
        <v>1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P311" s="9"/>
      <c r="CQ311" s="10"/>
    </row>
    <row r="312" spans="2:95" x14ac:dyDescent="0.15">
      <c r="B312" s="36" t="s">
        <v>263</v>
      </c>
      <c r="C312" s="1" t="s">
        <v>270</v>
      </c>
      <c r="K312" s="1" t="s">
        <v>1748</v>
      </c>
      <c r="L312" s="1" t="s">
        <v>1750</v>
      </c>
      <c r="M312" s="1" t="s">
        <v>360</v>
      </c>
      <c r="N312" s="6">
        <v>18</v>
      </c>
      <c r="O312" s="1" t="s">
        <v>4</v>
      </c>
      <c r="P312" s="1">
        <v>30</v>
      </c>
      <c r="Q312" s="1">
        <v>10</v>
      </c>
      <c r="R312" s="1">
        <v>8</v>
      </c>
      <c r="S312" s="1">
        <v>32</v>
      </c>
      <c r="T312" s="1">
        <v>40</v>
      </c>
      <c r="U312" s="253">
        <v>6</v>
      </c>
      <c r="V312" s="1">
        <v>80</v>
      </c>
      <c r="W312" s="44">
        <v>140</v>
      </c>
      <c r="X312" s="40">
        <f>_xlfn.XLOOKUP("Ripening", CropPhenology_Sorghum[Main_Stage], CropPhenology_Sorghum[Start_GDD], "Not Found")</f>
        <v>1251</v>
      </c>
      <c r="Y312" s="4" cm="1">
        <f t="array" ref="Y312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12" s="3">
        <f t="shared" si="172"/>
        <v>13.092857142857142</v>
      </c>
      <c r="AA312" s="41">
        <f t="shared" si="173"/>
        <v>105.40098199672668</v>
      </c>
      <c r="AB312" s="1">
        <v>8</v>
      </c>
      <c r="AC312" s="1">
        <v>15</v>
      </c>
      <c r="AD312" s="1">
        <v>4</v>
      </c>
      <c r="AE312" s="1">
        <v>85</v>
      </c>
      <c r="AF312" s="1">
        <v>10</v>
      </c>
      <c r="AG312" s="1">
        <v>5</v>
      </c>
      <c r="AH312" s="3">
        <f t="shared" si="174"/>
        <v>1.2238975155279501</v>
      </c>
      <c r="AI312" s="1">
        <v>6</v>
      </c>
      <c r="AJ312" s="1">
        <v>7.5</v>
      </c>
      <c r="AK312" s="159">
        <v>6.8</v>
      </c>
      <c r="AL312" s="150">
        <v>0.05</v>
      </c>
      <c r="AM312" s="1">
        <v>450</v>
      </c>
      <c r="AN312" s="1">
        <v>600</v>
      </c>
      <c r="AO312" s="48">
        <v>3</v>
      </c>
      <c r="AP312" s="44">
        <v>100</v>
      </c>
      <c r="AQ312" s="42">
        <v>0.82</v>
      </c>
      <c r="AR312" s="1">
        <v>45</v>
      </c>
      <c r="AS312" s="1">
        <v>15</v>
      </c>
      <c r="AT312" s="1">
        <v>2</v>
      </c>
      <c r="AU312" s="4">
        <f t="shared" si="166"/>
        <v>29.62962962962963</v>
      </c>
      <c r="AV312" s="3">
        <f t="shared" si="175"/>
        <v>8.89</v>
      </c>
      <c r="AW312" s="1">
        <v>90</v>
      </c>
      <c r="AX312" s="3">
        <f t="shared" si="177"/>
        <v>26.666666666666664</v>
      </c>
      <c r="AY312" s="1">
        <v>2</v>
      </c>
      <c r="AZ312" s="4">
        <f t="shared" si="178"/>
        <v>53.333333333333329</v>
      </c>
      <c r="BA312" s="49">
        <v>0.9</v>
      </c>
      <c r="BB312" s="4">
        <f t="shared" si="167"/>
        <v>48</v>
      </c>
      <c r="BC312" s="50">
        <v>0.13755584415584418</v>
      </c>
      <c r="BD312" s="69">
        <f>IFERROR(
  MAX(0.05, MIN(0.5, CropNorms_Sorghum[[#This Row],[Leaf_Area_Per_Shoot_m2]] * CropNorms_Sorghum[[#This Row],[Shoot_Bearing_m2]] )),
  0.2
)</f>
        <v>0.5</v>
      </c>
      <c r="BE312" s="4">
        <f>_xlfn.XLOOKUP(CropNorms_Sorghum[[#This Row],[LAI_Start_BBCH]], CropPhenology_Sorghum[Sub_Stage], CropPhenology_Sorghum[Start_GDD], "Not Found")</f>
        <v>121</v>
      </c>
      <c r="BF312" s="3">
        <f>ROUND(CropNorms_Sorghum[[#This Row],[Shoot_Bearing_m2]]*CropNorms_Sorghum[[#This Row],[Leaf_Area_Per_Shoot_m2]],2)</f>
        <v>6.6</v>
      </c>
      <c r="BG312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12" s="3">
        <f>IF(CropNorms_Sorghum[[#This Row],[Max_LAI]]&gt;=1.2, 0.85*CropNorms_Sorghum[[#This Row],[Max_LAI]], 1)</f>
        <v>5.6099999999999994</v>
      </c>
      <c r="BI312" s="41">
        <f>_xlfn.XLOOKUP(CropNorms_Sorghum[[#This Row],[LAI_End_BBCH]], CropPhenology_Sorghum[Sub_Stage], CropPhenology_Sorghum[End_GDD], "Not Found")</f>
        <v>1250</v>
      </c>
      <c r="BJ312" s="3" cm="1">
        <f t="array" ref="BJ312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12" s="3" cm="1">
        <f t="array" ref="BK312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12" s="3" cm="1">
        <f t="array" ref="BL312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12" s="3" cm="1">
        <f t="array" ref="BM312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2" s="42">
        <v>0.4</v>
      </c>
      <c r="BO312" s="43">
        <v>0</v>
      </c>
      <c r="BP312" s="42">
        <v>2.41</v>
      </c>
      <c r="BQ312" s="43" t="s">
        <v>1795</v>
      </c>
      <c r="BR312" s="3" t="str" cm="1">
        <f t="array" ref="BR312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12" s="3" t="str" cm="1">
        <f t="array" ref="BS312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12" s="3" t="str" cm="1">
        <f t="array" ref="BT312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12" s="3" t="str" cm="1">
        <f t="array" ref="BU312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12" s="48">
        <v>90</v>
      </c>
      <c r="BW312" s="1">
        <v>20</v>
      </c>
      <c r="BX312" s="44">
        <v>37</v>
      </c>
      <c r="BY312" s="51">
        <v>45823</v>
      </c>
      <c r="BZ312" s="5">
        <v>45853</v>
      </c>
      <c r="CA312" s="85">
        <v>0</v>
      </c>
      <c r="CB312" s="2">
        <v>0</v>
      </c>
      <c r="CC312" s="2">
        <v>1</v>
      </c>
      <c r="CD312" s="2">
        <v>1</v>
      </c>
      <c r="CE312" s="2">
        <v>1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P312" s="9"/>
      <c r="CQ312" s="10"/>
    </row>
    <row r="313" spans="2:95" ht="11.25" thickBot="1" x14ac:dyDescent="0.2">
      <c r="B313" s="36" t="s">
        <v>263</v>
      </c>
      <c r="C313" s="1" t="s">
        <v>271</v>
      </c>
      <c r="K313" s="1" t="s">
        <v>1748</v>
      </c>
      <c r="L313" s="1" t="s">
        <v>1750</v>
      </c>
      <c r="M313" s="1" t="s">
        <v>360</v>
      </c>
      <c r="N313" s="6">
        <v>18</v>
      </c>
      <c r="O313" s="1" t="s">
        <v>4</v>
      </c>
      <c r="P313" s="1">
        <v>30</v>
      </c>
      <c r="Q313" s="1">
        <v>10</v>
      </c>
      <c r="R313" s="1">
        <v>8</v>
      </c>
      <c r="S313" s="1">
        <v>32</v>
      </c>
      <c r="T313" s="1">
        <v>40</v>
      </c>
      <c r="U313" s="254">
        <v>6</v>
      </c>
      <c r="V313" s="1">
        <v>80</v>
      </c>
      <c r="W313" s="44">
        <v>140</v>
      </c>
      <c r="X313" s="40">
        <f>_xlfn.XLOOKUP("Ripening", CropPhenology_Sorghum[Main_Stage], CropPhenology_Sorghum[Start_GDD], "Not Found")</f>
        <v>1251</v>
      </c>
      <c r="Y313" s="4" cm="1">
        <f t="array" ref="Y313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Z313" s="3">
        <f t="shared" si="172"/>
        <v>13.092857142857142</v>
      </c>
      <c r="AA313" s="41">
        <f t="shared" si="173"/>
        <v>105.40098199672668</v>
      </c>
      <c r="AB313" s="1">
        <v>8</v>
      </c>
      <c r="AC313" s="1">
        <v>15</v>
      </c>
      <c r="AD313" s="1">
        <v>4</v>
      </c>
      <c r="AE313" s="1">
        <v>85</v>
      </c>
      <c r="AF313" s="1">
        <v>10</v>
      </c>
      <c r="AG313" s="1">
        <v>5</v>
      </c>
      <c r="AH313" s="3">
        <f t="shared" si="174"/>
        <v>1.2238975155279501</v>
      </c>
      <c r="AI313" s="1">
        <v>6</v>
      </c>
      <c r="AJ313" s="1">
        <v>7.5</v>
      </c>
      <c r="AK313" s="160">
        <v>6.8</v>
      </c>
      <c r="AL313" s="161">
        <v>0.05</v>
      </c>
      <c r="AM313" s="1">
        <v>450</v>
      </c>
      <c r="AN313" s="1">
        <v>600</v>
      </c>
      <c r="AO313" s="48">
        <v>3</v>
      </c>
      <c r="AP313" s="44">
        <v>100</v>
      </c>
      <c r="AQ313" s="42">
        <v>0.78</v>
      </c>
      <c r="AR313" s="1">
        <v>45</v>
      </c>
      <c r="AS313" s="1">
        <v>15</v>
      </c>
      <c r="AT313" s="1">
        <v>2</v>
      </c>
      <c r="AU313" s="4">
        <f t="shared" si="166"/>
        <v>29.62962962962963</v>
      </c>
      <c r="AV313" s="3">
        <f t="shared" si="175"/>
        <v>8.89</v>
      </c>
      <c r="AW313" s="1">
        <v>90</v>
      </c>
      <c r="AX313" s="3">
        <f t="shared" si="177"/>
        <v>26.666666666666664</v>
      </c>
      <c r="AY313" s="1">
        <v>2</v>
      </c>
      <c r="AZ313" s="4">
        <f t="shared" si="178"/>
        <v>53.333333333333329</v>
      </c>
      <c r="BA313" s="49">
        <v>0.9</v>
      </c>
      <c r="BB313" s="4">
        <f t="shared" si="167"/>
        <v>48</v>
      </c>
      <c r="BC313" s="50">
        <v>0.13755584415584418</v>
      </c>
      <c r="BD313" s="69">
        <f>IFERROR(
  MAX(0.05, MIN(0.5, CropNorms_Sorghum[[#This Row],[Leaf_Area_Per_Shoot_m2]] * CropNorms_Sorghum[[#This Row],[Shoot_Bearing_m2]] )),
  0.2
)</f>
        <v>0.5</v>
      </c>
      <c r="BE313" s="4">
        <f>_xlfn.XLOOKUP(CropNorms_Sorghum[[#This Row],[LAI_Start_BBCH]], CropPhenology_Sorghum[Sub_Stage], CropPhenology_Sorghum[Start_GDD], "Not Found")</f>
        <v>121</v>
      </c>
      <c r="BF313" s="3">
        <f>ROUND(CropNorms_Sorghum[[#This Row],[Shoot_Bearing_m2]]*CropNorms_Sorghum[[#This Row],[Leaf_Area_Per_Shoot_m2]],2)</f>
        <v>6.6</v>
      </c>
      <c r="BG313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H313" s="3">
        <f>IF(CropNorms_Sorghum[[#This Row],[Max_LAI]]&gt;=1.2, 0.85*CropNorms_Sorghum[[#This Row],[Max_LAI]], 1)</f>
        <v>5.6099999999999994</v>
      </c>
      <c r="BI313" s="41">
        <f>_xlfn.XLOOKUP(CropNorms_Sorghum[[#This Row],[LAI_End_BBCH]], CropPhenology_Sorghum[Sub_Stage], CropPhenology_Sorghum[End_GDD], "Not Found")</f>
        <v>1250</v>
      </c>
      <c r="BJ313" s="3" cm="1">
        <f t="array" ref="BJ313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K313" s="3" cm="1">
        <f t="array" ref="BK313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L313" s="3" cm="1">
        <f t="array" ref="BL313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M313" s="3" cm="1">
        <f t="array" ref="BM313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3" s="42">
        <v>0.4</v>
      </c>
      <c r="BO313" s="43">
        <v>0</v>
      </c>
      <c r="BP313" s="42">
        <v>2.41</v>
      </c>
      <c r="BQ313" s="43" t="s">
        <v>1795</v>
      </c>
      <c r="BR313" s="3" t="str" cm="1">
        <f t="array" ref="BR313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S313" s="3" t="str" cm="1">
        <f t="array" ref="BS313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T313" s="3" t="str" cm="1">
        <f t="array" ref="BT313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U313" s="3" t="str" cm="1">
        <f t="array" ref="BU313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V313" s="48">
        <v>90</v>
      </c>
      <c r="BW313" s="1">
        <v>20</v>
      </c>
      <c r="BX313" s="44">
        <v>37</v>
      </c>
      <c r="BY313" s="51">
        <v>45823</v>
      </c>
      <c r="BZ313" s="5">
        <v>45853</v>
      </c>
      <c r="CA313" s="85">
        <v>0</v>
      </c>
      <c r="CB313" s="2">
        <v>0</v>
      </c>
      <c r="CC313" s="2">
        <v>1</v>
      </c>
      <c r="CD313" s="2">
        <v>1</v>
      </c>
      <c r="CE313" s="2">
        <v>1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P313" s="9"/>
      <c r="CQ313" s="10"/>
    </row>
    <row r="314" spans="2:95" ht="11.25" thickBot="1" x14ac:dyDescent="0.2">
      <c r="Y314" s="3"/>
      <c r="Z314" s="4"/>
      <c r="AG314" s="3"/>
      <c r="AR314" s="4"/>
      <c r="AS314" s="3"/>
      <c r="AU314" s="3"/>
      <c r="AW314" s="4"/>
      <c r="AX314" s="49"/>
      <c r="AY314" s="4"/>
      <c r="BV314" s="51"/>
      <c r="BW314" s="51"/>
      <c r="CP314" s="9"/>
      <c r="CQ314" s="10"/>
    </row>
    <row r="315" spans="2:95" ht="11.25" thickBot="1" x14ac:dyDescent="0.2">
      <c r="B315" s="54" t="s">
        <v>1753</v>
      </c>
      <c r="C315" s="53" t="s">
        <v>1754</v>
      </c>
      <c r="D315" s="53" t="s">
        <v>1804</v>
      </c>
      <c r="E315" s="53" t="s">
        <v>1805</v>
      </c>
      <c r="F315" s="53" t="s">
        <v>1806</v>
      </c>
      <c r="G315" s="53" t="s">
        <v>1807</v>
      </c>
      <c r="H315" s="53" t="s">
        <v>1808</v>
      </c>
      <c r="I315" s="53" t="s">
        <v>1809</v>
      </c>
      <c r="J315" s="53" t="s">
        <v>1810</v>
      </c>
      <c r="K315" s="53" t="s">
        <v>1747</v>
      </c>
      <c r="L315" s="54" t="s">
        <v>1749</v>
      </c>
      <c r="M315" s="53" t="s">
        <v>357</v>
      </c>
      <c r="N315" s="55" t="s">
        <v>692</v>
      </c>
      <c r="O315" s="53" t="s">
        <v>325</v>
      </c>
      <c r="P315" s="53" t="s">
        <v>356</v>
      </c>
      <c r="Q315" s="53" t="s">
        <v>326</v>
      </c>
      <c r="R315" s="53" t="s">
        <v>327</v>
      </c>
      <c r="S315" s="53" t="s">
        <v>328</v>
      </c>
      <c r="T315" s="53" t="s">
        <v>329</v>
      </c>
      <c r="U315" s="250" t="s">
        <v>2349</v>
      </c>
      <c r="V315" s="53" t="s">
        <v>330</v>
      </c>
      <c r="W315" s="53" t="s">
        <v>331</v>
      </c>
      <c r="X315" s="56" t="s">
        <v>354</v>
      </c>
      <c r="Y315" s="57" t="s">
        <v>355</v>
      </c>
      <c r="Z315" s="58" t="s">
        <v>413</v>
      </c>
      <c r="AA315" s="59" t="s">
        <v>583</v>
      </c>
      <c r="AB315" s="53" t="s">
        <v>324</v>
      </c>
      <c r="AC315" s="53" t="s">
        <v>332</v>
      </c>
      <c r="AD315" s="53" t="s">
        <v>333</v>
      </c>
      <c r="AE315" s="53" t="s">
        <v>334</v>
      </c>
      <c r="AF315" s="53" t="s">
        <v>335</v>
      </c>
      <c r="AG315" s="53" t="s">
        <v>336</v>
      </c>
      <c r="AH315" s="60" t="s">
        <v>337</v>
      </c>
      <c r="AI315" s="53" t="s">
        <v>338</v>
      </c>
      <c r="AJ315" s="53" t="s">
        <v>339</v>
      </c>
      <c r="AK315" s="157" t="s">
        <v>2346</v>
      </c>
      <c r="AL315" s="158" t="s">
        <v>2347</v>
      </c>
      <c r="AM315" s="53" t="s">
        <v>340</v>
      </c>
      <c r="AN315" s="53" t="s">
        <v>341</v>
      </c>
      <c r="AO315" s="61" t="s">
        <v>342</v>
      </c>
      <c r="AP315" s="62" t="s">
        <v>343</v>
      </c>
      <c r="AQ315" s="55" t="s">
        <v>344</v>
      </c>
      <c r="AR315" s="53" t="s">
        <v>345</v>
      </c>
      <c r="AS315" s="53" t="s">
        <v>346</v>
      </c>
      <c r="AT315" s="53" t="s">
        <v>364</v>
      </c>
      <c r="AU315" s="60" t="s">
        <v>347</v>
      </c>
      <c r="AV315" s="58" t="s">
        <v>363</v>
      </c>
      <c r="AW315" s="53" t="s">
        <v>348</v>
      </c>
      <c r="AX315" s="58" t="s">
        <v>349</v>
      </c>
      <c r="AY315" s="53" t="s">
        <v>366</v>
      </c>
      <c r="AZ315" s="60" t="s">
        <v>350</v>
      </c>
      <c r="BA315" s="53" t="s">
        <v>365</v>
      </c>
      <c r="BB315" s="60" t="s">
        <v>1827</v>
      </c>
      <c r="BC315" s="63" t="s">
        <v>351</v>
      </c>
      <c r="BD315" s="71" t="s">
        <v>1811</v>
      </c>
      <c r="BE315" s="57" t="s">
        <v>352</v>
      </c>
      <c r="BF315" s="58" t="s">
        <v>1812</v>
      </c>
      <c r="BG315" s="57" t="s">
        <v>1752</v>
      </c>
      <c r="BH315" s="60" t="s">
        <v>1813</v>
      </c>
      <c r="BI315" s="59" t="s">
        <v>353</v>
      </c>
      <c r="BJ315" s="71" t="s">
        <v>1828</v>
      </c>
      <c r="BK315" s="58" t="s">
        <v>1829</v>
      </c>
      <c r="BL315" s="58" t="s">
        <v>1830</v>
      </c>
      <c r="BM315" s="72" t="s">
        <v>1831</v>
      </c>
      <c r="BN315" s="64" t="s">
        <v>1154</v>
      </c>
      <c r="BO315" s="65" t="s">
        <v>1742</v>
      </c>
      <c r="BP315" s="64" t="s">
        <v>1155</v>
      </c>
      <c r="BQ315" s="65" t="s">
        <v>1755</v>
      </c>
      <c r="BR315" s="58" t="s">
        <v>367</v>
      </c>
      <c r="BS315" s="58" t="s">
        <v>1751</v>
      </c>
      <c r="BT315" s="58" t="s">
        <v>368</v>
      </c>
      <c r="BU315" s="60" t="s">
        <v>1814</v>
      </c>
      <c r="BV315" s="61" t="s">
        <v>369</v>
      </c>
      <c r="BW315" s="53" t="s">
        <v>370</v>
      </c>
      <c r="BX315" s="62" t="s">
        <v>371</v>
      </c>
      <c r="BY315" s="53" t="s">
        <v>359</v>
      </c>
      <c r="BZ315" s="53" t="s">
        <v>361</v>
      </c>
      <c r="CA315" s="61" t="s">
        <v>1815</v>
      </c>
      <c r="CB315" s="53" t="s">
        <v>1816</v>
      </c>
      <c r="CC315" s="53" t="s">
        <v>1817</v>
      </c>
      <c r="CD315" s="53" t="s">
        <v>1818</v>
      </c>
      <c r="CE315" s="53" t="s">
        <v>1819</v>
      </c>
      <c r="CF315" s="53" t="s">
        <v>1820</v>
      </c>
      <c r="CG315" s="53" t="s">
        <v>1821</v>
      </c>
      <c r="CH315" s="53" t="s">
        <v>1822</v>
      </c>
      <c r="CI315" s="53" t="s">
        <v>1823</v>
      </c>
      <c r="CJ315" s="53" t="s">
        <v>1824</v>
      </c>
      <c r="CK315" s="53" t="s">
        <v>1825</v>
      </c>
      <c r="CL315" s="53" t="s">
        <v>1826</v>
      </c>
      <c r="CP315" s="9"/>
      <c r="CQ315" s="10"/>
    </row>
    <row r="316" spans="2:95" x14ac:dyDescent="0.15">
      <c r="B316" s="36" t="s">
        <v>272</v>
      </c>
      <c r="C316" s="1" t="s">
        <v>273</v>
      </c>
      <c r="K316" s="1" t="s">
        <v>1763</v>
      </c>
      <c r="L316" s="1" t="s">
        <v>1750</v>
      </c>
      <c r="M316" s="1" t="s">
        <v>362</v>
      </c>
      <c r="N316" s="6">
        <v>14</v>
      </c>
      <c r="O316" s="1" t="s">
        <v>4</v>
      </c>
      <c r="P316" s="1">
        <v>20</v>
      </c>
      <c r="Q316" s="1">
        <v>15</v>
      </c>
      <c r="R316" s="1">
        <v>10</v>
      </c>
      <c r="S316" s="1">
        <v>30</v>
      </c>
      <c r="T316" s="1">
        <v>38</v>
      </c>
      <c r="U316" s="253">
        <v>4</v>
      </c>
      <c r="V316" s="1">
        <v>55</v>
      </c>
      <c r="W316" s="44">
        <v>100</v>
      </c>
      <c r="X316" s="40">
        <f>_xlfn.XLOOKUP("Ripening", CropPhenology_SpongeGourd[Main_Stage], CropPhenology_SpongeGourd[Start_GDD], "Not Found")</f>
        <v>881</v>
      </c>
      <c r="Y316" s="4" cm="1">
        <f t="array" ref="Y316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16" s="3">
        <f t="shared" ref="Z316:Z327" si="179">MIN(Y316/V316,MAX(X316/W316,R316,(X316/W316+Y316/V316)/2))</f>
        <v>14.586818181818181</v>
      </c>
      <c r="AA316" s="41">
        <f t="shared" ref="AA316:AA327" si="180">Y316/Z316</f>
        <v>76.781652176622728</v>
      </c>
      <c r="AB316" s="1">
        <v>8</v>
      </c>
      <c r="AC316" s="1">
        <v>18</v>
      </c>
      <c r="AD316" s="1">
        <v>4</v>
      </c>
      <c r="AE316" s="1">
        <v>85</v>
      </c>
      <c r="AF316" s="1">
        <v>12</v>
      </c>
      <c r="AG316" s="1">
        <v>5</v>
      </c>
      <c r="AH316" s="3">
        <f t="shared" si="174"/>
        <v>3.1127228084415584</v>
      </c>
      <c r="AI316" s="1">
        <v>6</v>
      </c>
      <c r="AJ316" s="1">
        <v>7</v>
      </c>
      <c r="AK316" s="159">
        <v>2.5</v>
      </c>
      <c r="AL316" s="150">
        <v>0.09</v>
      </c>
      <c r="AM316" s="1">
        <v>350</v>
      </c>
      <c r="AN316" s="1">
        <v>500</v>
      </c>
      <c r="AO316" s="48">
        <v>2</v>
      </c>
      <c r="AP316" s="44">
        <v>60</v>
      </c>
      <c r="AQ316" s="42">
        <v>0.78</v>
      </c>
      <c r="AR316" s="1">
        <v>40</v>
      </c>
      <c r="AS316" s="1">
        <v>30</v>
      </c>
      <c r="AT316" s="1">
        <v>1</v>
      </c>
      <c r="AU316" s="4">
        <f t="shared" si="166"/>
        <v>8.3333333333333339</v>
      </c>
      <c r="AV316" s="3">
        <f t="shared" ref="AV316:AV327" si="181">ROUND((P316/1000000)*AU316*10000,2)</f>
        <v>1.67</v>
      </c>
      <c r="AW316" s="1">
        <v>85</v>
      </c>
      <c r="AX316" s="3">
        <f t="shared" si="177"/>
        <v>7.0833333333333339</v>
      </c>
      <c r="AY316" s="1">
        <v>1</v>
      </c>
      <c r="AZ316" s="4">
        <f t="shared" ref="AZ316" si="182">IFERROR(AX316*AY316,0)</f>
        <v>7.0833333333333339</v>
      </c>
      <c r="BA316" s="49">
        <v>0.8</v>
      </c>
      <c r="BB316" s="4">
        <f t="shared" si="167"/>
        <v>5.6666666666666679</v>
      </c>
      <c r="BC316" s="50">
        <v>1.587</v>
      </c>
      <c r="BD316" s="69">
        <f>IFERROR(
  MAX(0.05, MIN(0.5, CropNorms_SpongeGourd[[#This Row],[Leaf_Area_Per_Shoot_m2]] * CropNorms_SpongeGourd[[#This Row],[Shoot_Bearing_m2]] )),
  0.2
)</f>
        <v>0.5</v>
      </c>
      <c r="BE316" s="4">
        <f>_xlfn.XLOOKUP(CropNorms_SpongeGourd[[#This Row],[LAI_Start_BBCH]], CropPhenology_SpongeGourd[Sub_Stage], CropPhenology_SpongeGourd[Start_GDD], "Not Found")</f>
        <v>126</v>
      </c>
      <c r="BF316" s="3">
        <f>ROUND(CropNorms_SpongeGourd[[#This Row],[Shoot_Bearing_m2]]*CropNorms_SpongeGourd[[#This Row],[Leaf_Area_Per_Shoot_m2]],2)</f>
        <v>8.99</v>
      </c>
      <c r="BG316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16" s="3">
        <f>IF(CropNorms_SpongeGourd[[#This Row],[Max_LAI]]&gt;=1.2, 0.85*CropNorms_SpongeGourd[[#This Row],[Max_LAI]], 1)</f>
        <v>7.6414999999999997</v>
      </c>
      <c r="BI316" s="41">
        <f>_xlfn.XLOOKUP(CropNorms_SpongeGourd[[#This Row],[LAI_End_BBCH]], CropPhenology_SpongeGourd[Sub_Stage], CropPhenology_SpongeGourd[End_GDD], "Not Found")</f>
        <v>880</v>
      </c>
      <c r="BJ316" s="3" cm="1">
        <f t="array" ref="BJ316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16" s="3" cm="1">
        <f t="array" ref="BK31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16" s="3" cm="1">
        <f t="array" ref="BL316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16" s="3" cm="1">
        <f t="array" ref="BM31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6" s="42">
        <v>0.55000000000000004</v>
      </c>
      <c r="BO316" s="43">
        <v>0.75</v>
      </c>
      <c r="BP316" s="42">
        <v>18.93</v>
      </c>
      <c r="BQ316" s="43" t="s">
        <v>1741</v>
      </c>
      <c r="BR316" s="3" t="str" cm="1">
        <f t="array" ref="BR31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16" s="3" t="str" cm="1">
        <f t="array" ref="BS31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16" s="3" t="str" cm="1">
        <f t="array" ref="BT316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16" s="3" t="str" cm="1">
        <f t="array" ref="BU316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16" s="48">
        <v>100</v>
      </c>
      <c r="BW316" s="1">
        <v>50</v>
      </c>
      <c r="BX316" s="44">
        <v>70</v>
      </c>
      <c r="BY316" s="51">
        <v>45731</v>
      </c>
      <c r="BZ316" s="5">
        <v>45762</v>
      </c>
      <c r="CA316" s="85">
        <v>0</v>
      </c>
      <c r="CB316" s="2">
        <v>0</v>
      </c>
      <c r="CC316" s="2">
        <v>1</v>
      </c>
      <c r="CD316" s="2">
        <v>1</v>
      </c>
      <c r="CE316" s="2">
        <v>1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P316" s="9"/>
      <c r="CQ316" s="10"/>
    </row>
    <row r="317" spans="2:95" x14ac:dyDescent="0.15">
      <c r="B317" s="36" t="s">
        <v>272</v>
      </c>
      <c r="C317" s="1" t="s">
        <v>274</v>
      </c>
      <c r="K317" s="1" t="s">
        <v>1763</v>
      </c>
      <c r="L317" s="1" t="s">
        <v>1750</v>
      </c>
      <c r="M317" s="1" t="s">
        <v>362</v>
      </c>
      <c r="N317" s="6">
        <v>14</v>
      </c>
      <c r="O317" s="1" t="s">
        <v>4</v>
      </c>
      <c r="P317" s="1">
        <v>20</v>
      </c>
      <c r="Q317" s="1">
        <v>15</v>
      </c>
      <c r="R317" s="1">
        <v>10</v>
      </c>
      <c r="S317" s="1">
        <v>30</v>
      </c>
      <c r="T317" s="1">
        <v>38</v>
      </c>
      <c r="U317" s="253">
        <v>4</v>
      </c>
      <c r="V317" s="1">
        <v>55</v>
      </c>
      <c r="W317" s="44">
        <v>100</v>
      </c>
      <c r="X317" s="40">
        <f>_xlfn.XLOOKUP("Ripening", CropPhenology_SpongeGourd[Main_Stage], CropPhenology_SpongeGourd[Start_GDD], "Not Found")</f>
        <v>881</v>
      </c>
      <c r="Y317" s="4" cm="1">
        <f t="array" ref="Y317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17" s="3">
        <f t="shared" si="179"/>
        <v>14.586818181818181</v>
      </c>
      <c r="AA317" s="41">
        <f t="shared" si="180"/>
        <v>76.781652176622728</v>
      </c>
      <c r="AB317" s="1">
        <v>8</v>
      </c>
      <c r="AC317" s="1">
        <v>18</v>
      </c>
      <c r="AD317" s="1">
        <v>4</v>
      </c>
      <c r="AE317" s="1">
        <v>85</v>
      </c>
      <c r="AF317" s="1">
        <v>12</v>
      </c>
      <c r="AG317" s="1">
        <v>5</v>
      </c>
      <c r="AH317" s="3">
        <f t="shared" si="174"/>
        <v>3.1127228084415584</v>
      </c>
      <c r="AI317" s="1">
        <v>6</v>
      </c>
      <c r="AJ317" s="1">
        <v>7</v>
      </c>
      <c r="AK317" s="159">
        <v>2.5</v>
      </c>
      <c r="AL317" s="150">
        <v>0.09</v>
      </c>
      <c r="AM317" s="1">
        <v>350</v>
      </c>
      <c r="AN317" s="1">
        <v>500</v>
      </c>
      <c r="AO317" s="48">
        <v>2</v>
      </c>
      <c r="AP317" s="44">
        <v>60</v>
      </c>
      <c r="AQ317" s="42">
        <v>0.8</v>
      </c>
      <c r="AR317" s="1">
        <v>40</v>
      </c>
      <c r="AS317" s="1">
        <v>30</v>
      </c>
      <c r="AT317" s="1">
        <v>1</v>
      </c>
      <c r="AU317" s="4">
        <f t="shared" si="166"/>
        <v>8.3333333333333339</v>
      </c>
      <c r="AV317" s="3">
        <f t="shared" si="181"/>
        <v>1.67</v>
      </c>
      <c r="AW317" s="1">
        <v>85</v>
      </c>
      <c r="AX317" s="3">
        <f t="shared" ref="AX317:AX330" si="183">IFERROR((AU317*AW317/100),0)</f>
        <v>7.0833333333333339</v>
      </c>
      <c r="AY317" s="1">
        <v>1</v>
      </c>
      <c r="AZ317" s="4">
        <f t="shared" ref="AZ317:AZ327" si="184">IFERROR(AX317*AY317,0)</f>
        <v>7.0833333333333339</v>
      </c>
      <c r="BA317" s="49">
        <v>0.8</v>
      </c>
      <c r="BB317" s="4">
        <f t="shared" si="167"/>
        <v>5.6666666666666679</v>
      </c>
      <c r="BC317" s="50">
        <v>1.587</v>
      </c>
      <c r="BD317" s="69">
        <f>IFERROR(
  MAX(0.05, MIN(0.5, CropNorms_SpongeGourd[[#This Row],[Leaf_Area_Per_Shoot_m2]] * CropNorms_SpongeGourd[[#This Row],[Shoot_Bearing_m2]] )),
  0.2
)</f>
        <v>0.5</v>
      </c>
      <c r="BE317" s="4">
        <f>_xlfn.XLOOKUP(CropNorms_SpongeGourd[[#This Row],[LAI_Start_BBCH]], CropPhenology_SpongeGourd[Sub_Stage], CropPhenology_SpongeGourd[Start_GDD], "Not Found")</f>
        <v>126</v>
      </c>
      <c r="BF317" s="3">
        <f>ROUND(CropNorms_SpongeGourd[[#This Row],[Shoot_Bearing_m2]]*CropNorms_SpongeGourd[[#This Row],[Leaf_Area_Per_Shoot_m2]],2)</f>
        <v>8.99</v>
      </c>
      <c r="BG317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17" s="3">
        <f>IF(CropNorms_SpongeGourd[[#This Row],[Max_LAI]]&gt;=1.2, 0.85*CropNorms_SpongeGourd[[#This Row],[Max_LAI]], 1)</f>
        <v>7.6414999999999997</v>
      </c>
      <c r="BI317" s="41">
        <f>_xlfn.XLOOKUP(CropNorms_SpongeGourd[[#This Row],[LAI_End_BBCH]], CropPhenology_SpongeGourd[Sub_Stage], CropPhenology_SpongeGourd[End_GDD], "Not Found")</f>
        <v>880</v>
      </c>
      <c r="BJ317" s="3" cm="1">
        <f t="array" ref="BJ317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17" s="3" cm="1">
        <f t="array" ref="BK31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17" s="3" cm="1">
        <f t="array" ref="BL317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17" s="3" cm="1">
        <f t="array" ref="BM31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7" s="42">
        <v>0.55000000000000004</v>
      </c>
      <c r="BO317" s="43">
        <v>0.75</v>
      </c>
      <c r="BP317" s="42">
        <v>18.93</v>
      </c>
      <c r="BQ317" s="43" t="s">
        <v>1741</v>
      </c>
      <c r="BR317" s="3" t="str" cm="1">
        <f t="array" ref="BR31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17" s="3" t="str" cm="1">
        <f t="array" ref="BS31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17" s="3" t="str" cm="1">
        <f t="array" ref="BT317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17" s="3" t="str" cm="1">
        <f t="array" ref="BU317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17" s="48">
        <v>100</v>
      </c>
      <c r="BW317" s="1">
        <v>50</v>
      </c>
      <c r="BX317" s="44">
        <v>70</v>
      </c>
      <c r="BY317" s="51">
        <v>45731</v>
      </c>
      <c r="BZ317" s="5">
        <v>45762</v>
      </c>
      <c r="CA317" s="85">
        <v>0</v>
      </c>
      <c r="CB317" s="2">
        <v>0</v>
      </c>
      <c r="CC317" s="2">
        <v>1</v>
      </c>
      <c r="CD317" s="2">
        <v>1</v>
      </c>
      <c r="CE317" s="2">
        <v>1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P317" s="9"/>
      <c r="CQ317" s="10"/>
    </row>
    <row r="318" spans="2:95" x14ac:dyDescent="0.15">
      <c r="B318" s="36" t="s">
        <v>272</v>
      </c>
      <c r="C318" s="1" t="s">
        <v>275</v>
      </c>
      <c r="K318" s="1" t="s">
        <v>1763</v>
      </c>
      <c r="L318" s="1" t="s">
        <v>1750</v>
      </c>
      <c r="M318" s="1" t="s">
        <v>362</v>
      </c>
      <c r="N318" s="6">
        <v>14</v>
      </c>
      <c r="O318" s="1" t="s">
        <v>4</v>
      </c>
      <c r="P318" s="1">
        <v>20</v>
      </c>
      <c r="Q318" s="1">
        <v>15</v>
      </c>
      <c r="R318" s="1">
        <v>10</v>
      </c>
      <c r="S318" s="1">
        <v>30</v>
      </c>
      <c r="T318" s="1">
        <v>38</v>
      </c>
      <c r="U318" s="253">
        <v>4</v>
      </c>
      <c r="V318" s="1">
        <v>55</v>
      </c>
      <c r="W318" s="44">
        <v>100</v>
      </c>
      <c r="X318" s="40">
        <f>_xlfn.XLOOKUP("Ripening", CropPhenology_SpongeGourd[Main_Stage], CropPhenology_SpongeGourd[Start_GDD], "Not Found")</f>
        <v>881</v>
      </c>
      <c r="Y318" s="4" cm="1">
        <f t="array" ref="Y318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18" s="3">
        <f t="shared" si="179"/>
        <v>14.586818181818181</v>
      </c>
      <c r="AA318" s="41">
        <f t="shared" si="180"/>
        <v>76.781652176622728</v>
      </c>
      <c r="AB318" s="1">
        <v>8</v>
      </c>
      <c r="AC318" s="1">
        <v>18</v>
      </c>
      <c r="AD318" s="1">
        <v>4</v>
      </c>
      <c r="AE318" s="1">
        <v>85</v>
      </c>
      <c r="AF318" s="1">
        <v>12</v>
      </c>
      <c r="AG318" s="1">
        <v>5</v>
      </c>
      <c r="AH318" s="3">
        <f t="shared" si="174"/>
        <v>3.1127228084415584</v>
      </c>
      <c r="AI318" s="1">
        <v>6</v>
      </c>
      <c r="AJ318" s="1">
        <v>7</v>
      </c>
      <c r="AK318" s="159">
        <v>2.5</v>
      </c>
      <c r="AL318" s="150">
        <v>0.09</v>
      </c>
      <c r="AM318" s="1">
        <v>350</v>
      </c>
      <c r="AN318" s="1">
        <v>500</v>
      </c>
      <c r="AO318" s="48">
        <v>2</v>
      </c>
      <c r="AP318" s="44">
        <v>60</v>
      </c>
      <c r="AQ318" s="42">
        <v>0.76</v>
      </c>
      <c r="AR318" s="1">
        <v>40</v>
      </c>
      <c r="AS318" s="1">
        <v>30</v>
      </c>
      <c r="AT318" s="1">
        <v>1</v>
      </c>
      <c r="AU318" s="4">
        <f t="shared" si="166"/>
        <v>8.3333333333333339</v>
      </c>
      <c r="AV318" s="3">
        <f t="shared" si="181"/>
        <v>1.67</v>
      </c>
      <c r="AW318" s="1">
        <v>85</v>
      </c>
      <c r="AX318" s="3">
        <f t="shared" si="183"/>
        <v>7.0833333333333339</v>
      </c>
      <c r="AY318" s="1">
        <v>1</v>
      </c>
      <c r="AZ318" s="4">
        <f t="shared" si="184"/>
        <v>7.0833333333333339</v>
      </c>
      <c r="BA318" s="49">
        <v>0.8</v>
      </c>
      <c r="BB318" s="4">
        <f t="shared" si="167"/>
        <v>5.6666666666666679</v>
      </c>
      <c r="BC318" s="50">
        <v>1.587</v>
      </c>
      <c r="BD318" s="69">
        <f>IFERROR(
  MAX(0.05, MIN(0.5, CropNorms_SpongeGourd[[#This Row],[Leaf_Area_Per_Shoot_m2]] * CropNorms_SpongeGourd[[#This Row],[Shoot_Bearing_m2]] )),
  0.2
)</f>
        <v>0.5</v>
      </c>
      <c r="BE318" s="4">
        <f>_xlfn.XLOOKUP(CropNorms_SpongeGourd[[#This Row],[LAI_Start_BBCH]], CropPhenology_SpongeGourd[Sub_Stage], CropPhenology_SpongeGourd[Start_GDD], "Not Found")</f>
        <v>126</v>
      </c>
      <c r="BF318" s="3">
        <f>ROUND(CropNorms_SpongeGourd[[#This Row],[Shoot_Bearing_m2]]*CropNorms_SpongeGourd[[#This Row],[Leaf_Area_Per_Shoot_m2]],2)</f>
        <v>8.99</v>
      </c>
      <c r="BG318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18" s="3">
        <f>IF(CropNorms_SpongeGourd[[#This Row],[Max_LAI]]&gt;=1.2, 0.85*CropNorms_SpongeGourd[[#This Row],[Max_LAI]], 1)</f>
        <v>7.6414999999999997</v>
      </c>
      <c r="BI318" s="41">
        <f>_xlfn.XLOOKUP(CropNorms_SpongeGourd[[#This Row],[LAI_End_BBCH]], CropPhenology_SpongeGourd[Sub_Stage], CropPhenology_SpongeGourd[End_GDD], "Not Found")</f>
        <v>880</v>
      </c>
      <c r="BJ318" s="3" cm="1">
        <f t="array" ref="BJ318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18" s="3" cm="1">
        <f t="array" ref="BK318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18" s="3" cm="1">
        <f t="array" ref="BL318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18" s="3" cm="1">
        <f t="array" ref="BM318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8" s="42">
        <v>0.55000000000000004</v>
      </c>
      <c r="BO318" s="43">
        <v>0.75</v>
      </c>
      <c r="BP318" s="42">
        <v>18.93</v>
      </c>
      <c r="BQ318" s="43" t="s">
        <v>1741</v>
      </c>
      <c r="BR318" s="3" t="str" cm="1">
        <f t="array" ref="BR318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18" s="3" t="str" cm="1">
        <f t="array" ref="BS318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18" s="3" t="str" cm="1">
        <f t="array" ref="BT318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18" s="3" t="str" cm="1">
        <f t="array" ref="BU318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18" s="48">
        <v>100</v>
      </c>
      <c r="BW318" s="1">
        <v>50</v>
      </c>
      <c r="BX318" s="44">
        <v>70</v>
      </c>
      <c r="BY318" s="51">
        <v>45731</v>
      </c>
      <c r="BZ318" s="5">
        <v>45762</v>
      </c>
      <c r="CA318" s="85">
        <v>0</v>
      </c>
      <c r="CB318" s="2">
        <v>0</v>
      </c>
      <c r="CC318" s="2">
        <v>1</v>
      </c>
      <c r="CD318" s="2">
        <v>1</v>
      </c>
      <c r="CE318" s="2">
        <v>1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P318" s="9"/>
      <c r="CQ318" s="10"/>
    </row>
    <row r="319" spans="2:95" x14ac:dyDescent="0.15">
      <c r="B319" s="36" t="s">
        <v>272</v>
      </c>
      <c r="C319" s="1" t="s">
        <v>276</v>
      </c>
      <c r="K319" s="1" t="s">
        <v>1763</v>
      </c>
      <c r="L319" s="1" t="s">
        <v>1750</v>
      </c>
      <c r="M319" s="1" t="s">
        <v>362</v>
      </c>
      <c r="N319" s="6">
        <v>14</v>
      </c>
      <c r="O319" s="1" t="s">
        <v>4</v>
      </c>
      <c r="P319" s="1">
        <v>20</v>
      </c>
      <c r="Q319" s="1">
        <v>15</v>
      </c>
      <c r="R319" s="1">
        <v>10</v>
      </c>
      <c r="S319" s="1">
        <v>30</v>
      </c>
      <c r="T319" s="1">
        <v>38</v>
      </c>
      <c r="U319" s="253">
        <v>4</v>
      </c>
      <c r="V319" s="1">
        <v>55</v>
      </c>
      <c r="W319" s="44">
        <v>100</v>
      </c>
      <c r="X319" s="40">
        <f>_xlfn.XLOOKUP("Ripening", CropPhenology_SpongeGourd[Main_Stage], CropPhenology_SpongeGourd[Start_GDD], "Not Found")</f>
        <v>881</v>
      </c>
      <c r="Y319" s="4" cm="1">
        <f t="array" ref="Y319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19" s="3">
        <f t="shared" si="179"/>
        <v>14.586818181818181</v>
      </c>
      <c r="AA319" s="41">
        <f t="shared" si="180"/>
        <v>76.781652176622728</v>
      </c>
      <c r="AB319" s="1">
        <v>8</v>
      </c>
      <c r="AC319" s="1">
        <v>18</v>
      </c>
      <c r="AD319" s="1">
        <v>4</v>
      </c>
      <c r="AE319" s="1">
        <v>85</v>
      </c>
      <c r="AF319" s="1">
        <v>12</v>
      </c>
      <c r="AG319" s="1">
        <v>5</v>
      </c>
      <c r="AH319" s="3">
        <f t="shared" si="174"/>
        <v>3.1127228084415584</v>
      </c>
      <c r="AI319" s="1">
        <v>6</v>
      </c>
      <c r="AJ319" s="1">
        <v>7</v>
      </c>
      <c r="AK319" s="159">
        <v>2.5</v>
      </c>
      <c r="AL319" s="150">
        <v>0.09</v>
      </c>
      <c r="AM319" s="1">
        <v>350</v>
      </c>
      <c r="AN319" s="1">
        <v>500</v>
      </c>
      <c r="AO319" s="48">
        <v>2</v>
      </c>
      <c r="AP319" s="44">
        <v>60</v>
      </c>
      <c r="AQ319" s="42">
        <v>0.75</v>
      </c>
      <c r="AR319" s="1">
        <v>40</v>
      </c>
      <c r="AS319" s="1">
        <v>30</v>
      </c>
      <c r="AT319" s="1">
        <v>1</v>
      </c>
      <c r="AU319" s="4">
        <f t="shared" si="166"/>
        <v>8.3333333333333339</v>
      </c>
      <c r="AV319" s="3">
        <f t="shared" si="181"/>
        <v>1.67</v>
      </c>
      <c r="AW319" s="1">
        <v>85</v>
      </c>
      <c r="AX319" s="3">
        <f t="shared" si="183"/>
        <v>7.0833333333333339</v>
      </c>
      <c r="AY319" s="1">
        <v>1</v>
      </c>
      <c r="AZ319" s="4">
        <f t="shared" si="184"/>
        <v>7.0833333333333339</v>
      </c>
      <c r="BA319" s="49">
        <v>0.8</v>
      </c>
      <c r="BB319" s="4">
        <f t="shared" si="167"/>
        <v>5.6666666666666679</v>
      </c>
      <c r="BC319" s="50">
        <v>1.587</v>
      </c>
      <c r="BD319" s="69">
        <f>IFERROR(
  MAX(0.05, MIN(0.5, CropNorms_SpongeGourd[[#This Row],[Leaf_Area_Per_Shoot_m2]] * CropNorms_SpongeGourd[[#This Row],[Shoot_Bearing_m2]] )),
  0.2
)</f>
        <v>0.5</v>
      </c>
      <c r="BE319" s="4">
        <f>_xlfn.XLOOKUP(CropNorms_SpongeGourd[[#This Row],[LAI_Start_BBCH]], CropPhenology_SpongeGourd[Sub_Stage], CropPhenology_SpongeGourd[Start_GDD], "Not Found")</f>
        <v>126</v>
      </c>
      <c r="BF319" s="3">
        <f>ROUND(CropNorms_SpongeGourd[[#This Row],[Shoot_Bearing_m2]]*CropNorms_SpongeGourd[[#This Row],[Leaf_Area_Per_Shoot_m2]],2)</f>
        <v>8.99</v>
      </c>
      <c r="BG319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19" s="3">
        <f>IF(CropNorms_SpongeGourd[[#This Row],[Max_LAI]]&gt;=1.2, 0.85*CropNorms_SpongeGourd[[#This Row],[Max_LAI]], 1)</f>
        <v>7.6414999999999997</v>
      </c>
      <c r="BI319" s="41">
        <f>_xlfn.XLOOKUP(CropNorms_SpongeGourd[[#This Row],[LAI_End_BBCH]], CropPhenology_SpongeGourd[Sub_Stage], CropPhenology_SpongeGourd[End_GDD], "Not Found")</f>
        <v>880</v>
      </c>
      <c r="BJ319" s="3" cm="1">
        <f t="array" ref="BJ319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19" s="3" cm="1">
        <f t="array" ref="BK319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19" s="3" cm="1">
        <f t="array" ref="BL319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19" s="3" cm="1">
        <f t="array" ref="BM319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19" s="42">
        <v>0.55000000000000004</v>
      </c>
      <c r="BO319" s="43">
        <v>0.75</v>
      </c>
      <c r="BP319" s="42">
        <v>18.93</v>
      </c>
      <c r="BQ319" s="43" t="s">
        <v>1741</v>
      </c>
      <c r="BR319" s="3" t="str" cm="1">
        <f t="array" ref="BR319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19" s="3" t="str" cm="1">
        <f t="array" ref="BS319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19" s="3" t="str" cm="1">
        <f t="array" ref="BT319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19" s="3" t="str" cm="1">
        <f t="array" ref="BU319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19" s="48">
        <v>100</v>
      </c>
      <c r="BW319" s="1">
        <v>50</v>
      </c>
      <c r="BX319" s="44">
        <v>70</v>
      </c>
      <c r="BY319" s="51">
        <v>45731</v>
      </c>
      <c r="BZ319" s="5">
        <v>45762</v>
      </c>
      <c r="CA319" s="85">
        <v>0</v>
      </c>
      <c r="CB319" s="2">
        <v>0</v>
      </c>
      <c r="CC319" s="2">
        <v>1</v>
      </c>
      <c r="CD319" s="2">
        <v>1</v>
      </c>
      <c r="CE319" s="2">
        <v>1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P319" s="9"/>
      <c r="CQ319" s="10"/>
    </row>
    <row r="320" spans="2:95" x14ac:dyDescent="0.15">
      <c r="B320" s="36" t="s">
        <v>272</v>
      </c>
      <c r="C320" s="1" t="s">
        <v>277</v>
      </c>
      <c r="K320" s="1" t="s">
        <v>1763</v>
      </c>
      <c r="L320" s="1" t="s">
        <v>1750</v>
      </c>
      <c r="M320" s="1" t="s">
        <v>362</v>
      </c>
      <c r="N320" s="6">
        <v>14</v>
      </c>
      <c r="O320" s="1" t="s">
        <v>4</v>
      </c>
      <c r="P320" s="1">
        <v>20</v>
      </c>
      <c r="Q320" s="1">
        <v>15</v>
      </c>
      <c r="R320" s="1">
        <v>10</v>
      </c>
      <c r="S320" s="1">
        <v>30</v>
      </c>
      <c r="T320" s="1">
        <v>38</v>
      </c>
      <c r="U320" s="253">
        <v>4</v>
      </c>
      <c r="V320" s="1">
        <v>55</v>
      </c>
      <c r="W320" s="44">
        <v>100</v>
      </c>
      <c r="X320" s="40">
        <f>_xlfn.XLOOKUP("Ripening", CropPhenology_SpongeGourd[Main_Stage], CropPhenology_SpongeGourd[Start_GDD], "Not Found")</f>
        <v>881</v>
      </c>
      <c r="Y320" s="4" cm="1">
        <f t="array" ref="Y320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0" s="3">
        <f t="shared" si="179"/>
        <v>14.586818181818181</v>
      </c>
      <c r="AA320" s="41">
        <f t="shared" si="180"/>
        <v>76.781652176622728</v>
      </c>
      <c r="AB320" s="1">
        <v>8</v>
      </c>
      <c r="AC320" s="1">
        <v>18</v>
      </c>
      <c r="AD320" s="1">
        <v>4</v>
      </c>
      <c r="AE320" s="1">
        <v>85</v>
      </c>
      <c r="AF320" s="1">
        <v>12</v>
      </c>
      <c r="AG320" s="1">
        <v>5</v>
      </c>
      <c r="AH320" s="3">
        <f t="shared" si="174"/>
        <v>3.1127228084415584</v>
      </c>
      <c r="AI320" s="1">
        <v>6</v>
      </c>
      <c r="AJ320" s="1">
        <v>7</v>
      </c>
      <c r="AK320" s="159">
        <v>2.5</v>
      </c>
      <c r="AL320" s="150">
        <v>0.09</v>
      </c>
      <c r="AM320" s="1">
        <v>350</v>
      </c>
      <c r="AN320" s="1">
        <v>500</v>
      </c>
      <c r="AO320" s="48">
        <v>2</v>
      </c>
      <c r="AP320" s="44">
        <v>60</v>
      </c>
      <c r="AQ320" s="42">
        <v>0.82</v>
      </c>
      <c r="AR320" s="1">
        <v>40</v>
      </c>
      <c r="AS320" s="1">
        <v>30</v>
      </c>
      <c r="AT320" s="1">
        <v>1</v>
      </c>
      <c r="AU320" s="4">
        <f t="shared" si="166"/>
        <v>8.3333333333333339</v>
      </c>
      <c r="AV320" s="3">
        <f t="shared" si="181"/>
        <v>1.67</v>
      </c>
      <c r="AW320" s="1">
        <v>85</v>
      </c>
      <c r="AX320" s="3">
        <f t="shared" si="183"/>
        <v>7.0833333333333339</v>
      </c>
      <c r="AY320" s="1">
        <v>1</v>
      </c>
      <c r="AZ320" s="4">
        <f t="shared" si="184"/>
        <v>7.0833333333333339</v>
      </c>
      <c r="BA320" s="49">
        <v>0.8</v>
      </c>
      <c r="BB320" s="4">
        <f t="shared" si="167"/>
        <v>5.6666666666666679</v>
      </c>
      <c r="BC320" s="50">
        <v>1.587</v>
      </c>
      <c r="BD320" s="69">
        <f>IFERROR(
  MAX(0.05, MIN(0.5, CropNorms_SpongeGourd[[#This Row],[Leaf_Area_Per_Shoot_m2]] * CropNorms_SpongeGourd[[#This Row],[Shoot_Bearing_m2]] )),
  0.2
)</f>
        <v>0.5</v>
      </c>
      <c r="BE320" s="4">
        <f>_xlfn.XLOOKUP(CropNorms_SpongeGourd[[#This Row],[LAI_Start_BBCH]], CropPhenology_SpongeGourd[Sub_Stage], CropPhenology_SpongeGourd[Start_GDD], "Not Found")</f>
        <v>126</v>
      </c>
      <c r="BF320" s="3">
        <f>ROUND(CropNorms_SpongeGourd[[#This Row],[Shoot_Bearing_m2]]*CropNorms_SpongeGourd[[#This Row],[Leaf_Area_Per_Shoot_m2]],2)</f>
        <v>8.99</v>
      </c>
      <c r="BG320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0" s="3">
        <f>IF(CropNorms_SpongeGourd[[#This Row],[Max_LAI]]&gt;=1.2, 0.85*CropNorms_SpongeGourd[[#This Row],[Max_LAI]], 1)</f>
        <v>7.6414999999999997</v>
      </c>
      <c r="BI320" s="41">
        <f>_xlfn.XLOOKUP(CropNorms_SpongeGourd[[#This Row],[LAI_End_BBCH]], CropPhenology_SpongeGourd[Sub_Stage], CropPhenology_SpongeGourd[End_GDD], "Not Found")</f>
        <v>880</v>
      </c>
      <c r="BJ320" s="3" cm="1">
        <f t="array" ref="BJ320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0" s="3" cm="1">
        <f t="array" ref="BK320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0" s="3" cm="1">
        <f t="array" ref="BL320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0" s="3" cm="1">
        <f t="array" ref="BM320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0" s="42">
        <v>0.55000000000000004</v>
      </c>
      <c r="BO320" s="43">
        <v>0.75</v>
      </c>
      <c r="BP320" s="42">
        <v>18.93</v>
      </c>
      <c r="BQ320" s="43" t="s">
        <v>1741</v>
      </c>
      <c r="BR320" s="3" t="str" cm="1">
        <f t="array" ref="BR320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0" s="3" t="str" cm="1">
        <f t="array" ref="BS320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0" s="3" t="str" cm="1">
        <f t="array" ref="BT320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0" s="3" t="str" cm="1">
        <f t="array" ref="BU320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0" s="48">
        <v>100</v>
      </c>
      <c r="BW320" s="1">
        <v>50</v>
      </c>
      <c r="BX320" s="44">
        <v>70</v>
      </c>
      <c r="BY320" s="51">
        <v>45731</v>
      </c>
      <c r="BZ320" s="5">
        <v>45762</v>
      </c>
      <c r="CA320" s="85">
        <v>0</v>
      </c>
      <c r="CB320" s="2">
        <v>0</v>
      </c>
      <c r="CC320" s="2">
        <v>1</v>
      </c>
      <c r="CD320" s="2">
        <v>1</v>
      </c>
      <c r="CE320" s="2">
        <v>1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P320" s="9"/>
      <c r="CQ320" s="10"/>
    </row>
    <row r="321" spans="2:95" x14ac:dyDescent="0.15">
      <c r="B321" s="36" t="s">
        <v>272</v>
      </c>
      <c r="C321" s="1" t="s">
        <v>278</v>
      </c>
      <c r="K321" s="1" t="s">
        <v>1763</v>
      </c>
      <c r="L321" s="1" t="s">
        <v>1750</v>
      </c>
      <c r="M321" s="1" t="s">
        <v>362</v>
      </c>
      <c r="N321" s="6">
        <v>14</v>
      </c>
      <c r="O321" s="1" t="s">
        <v>4</v>
      </c>
      <c r="P321" s="1">
        <v>20</v>
      </c>
      <c r="Q321" s="1">
        <v>15</v>
      </c>
      <c r="R321" s="1">
        <v>10</v>
      </c>
      <c r="S321" s="1">
        <v>30</v>
      </c>
      <c r="T321" s="1">
        <v>38</v>
      </c>
      <c r="U321" s="253">
        <v>4</v>
      </c>
      <c r="V321" s="1">
        <v>55</v>
      </c>
      <c r="W321" s="44">
        <v>100</v>
      </c>
      <c r="X321" s="40">
        <f>_xlfn.XLOOKUP("Ripening", CropPhenology_SpongeGourd[Main_Stage], CropPhenology_SpongeGourd[Start_GDD], "Not Found")</f>
        <v>881</v>
      </c>
      <c r="Y321" s="4" cm="1">
        <f t="array" ref="Y321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1" s="3">
        <f t="shared" si="179"/>
        <v>14.586818181818181</v>
      </c>
      <c r="AA321" s="41">
        <f t="shared" si="180"/>
        <v>76.781652176622728</v>
      </c>
      <c r="AB321" s="1">
        <v>8</v>
      </c>
      <c r="AC321" s="1">
        <v>18</v>
      </c>
      <c r="AD321" s="1">
        <v>4</v>
      </c>
      <c r="AE321" s="1">
        <v>85</v>
      </c>
      <c r="AF321" s="1">
        <v>12</v>
      </c>
      <c r="AG321" s="1">
        <v>5</v>
      </c>
      <c r="AH321" s="3">
        <f t="shared" si="174"/>
        <v>3.1127228084415584</v>
      </c>
      <c r="AI321" s="1">
        <v>6</v>
      </c>
      <c r="AJ321" s="1">
        <v>7</v>
      </c>
      <c r="AK321" s="159">
        <v>2.5</v>
      </c>
      <c r="AL321" s="150">
        <v>0.09</v>
      </c>
      <c r="AM321" s="1">
        <v>350</v>
      </c>
      <c r="AN321" s="1">
        <v>500</v>
      </c>
      <c r="AO321" s="48">
        <v>2</v>
      </c>
      <c r="AP321" s="44">
        <v>60</v>
      </c>
      <c r="AQ321" s="42">
        <v>0.75</v>
      </c>
      <c r="AR321" s="1">
        <v>40</v>
      </c>
      <c r="AS321" s="1">
        <v>30</v>
      </c>
      <c r="AT321" s="1">
        <v>1</v>
      </c>
      <c r="AU321" s="4">
        <f t="shared" si="166"/>
        <v>8.3333333333333339</v>
      </c>
      <c r="AV321" s="3">
        <f t="shared" si="181"/>
        <v>1.67</v>
      </c>
      <c r="AW321" s="1">
        <v>85</v>
      </c>
      <c r="AX321" s="3">
        <f t="shared" si="183"/>
        <v>7.0833333333333339</v>
      </c>
      <c r="AY321" s="1">
        <v>1</v>
      </c>
      <c r="AZ321" s="4">
        <f t="shared" si="184"/>
        <v>7.0833333333333339</v>
      </c>
      <c r="BA321" s="49">
        <v>0.8</v>
      </c>
      <c r="BB321" s="4">
        <f t="shared" si="167"/>
        <v>5.6666666666666679</v>
      </c>
      <c r="BC321" s="50">
        <v>1.587</v>
      </c>
      <c r="BD321" s="69">
        <f>IFERROR(
  MAX(0.05, MIN(0.5, CropNorms_SpongeGourd[[#This Row],[Leaf_Area_Per_Shoot_m2]] * CropNorms_SpongeGourd[[#This Row],[Shoot_Bearing_m2]] )),
  0.2
)</f>
        <v>0.5</v>
      </c>
      <c r="BE321" s="4">
        <f>_xlfn.XLOOKUP(CropNorms_SpongeGourd[[#This Row],[LAI_Start_BBCH]], CropPhenology_SpongeGourd[Sub_Stage], CropPhenology_SpongeGourd[Start_GDD], "Not Found")</f>
        <v>126</v>
      </c>
      <c r="BF321" s="3">
        <f>ROUND(CropNorms_SpongeGourd[[#This Row],[Shoot_Bearing_m2]]*CropNorms_SpongeGourd[[#This Row],[Leaf_Area_Per_Shoot_m2]],2)</f>
        <v>8.99</v>
      </c>
      <c r="BG321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1" s="3">
        <f>IF(CropNorms_SpongeGourd[[#This Row],[Max_LAI]]&gt;=1.2, 0.85*CropNorms_SpongeGourd[[#This Row],[Max_LAI]], 1)</f>
        <v>7.6414999999999997</v>
      </c>
      <c r="BI321" s="41">
        <f>_xlfn.XLOOKUP(CropNorms_SpongeGourd[[#This Row],[LAI_End_BBCH]], CropPhenology_SpongeGourd[Sub_Stage], CropPhenology_SpongeGourd[End_GDD], "Not Found")</f>
        <v>880</v>
      </c>
      <c r="BJ321" s="3" cm="1">
        <f t="array" ref="BJ321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1" s="3" cm="1">
        <f t="array" ref="BK32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1" s="3" cm="1">
        <f t="array" ref="BL321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1" s="3" cm="1">
        <f t="array" ref="BM32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1" s="42">
        <v>0.55000000000000004</v>
      </c>
      <c r="BO321" s="43">
        <v>0.75</v>
      </c>
      <c r="BP321" s="42">
        <v>18.93</v>
      </c>
      <c r="BQ321" s="43" t="s">
        <v>1741</v>
      </c>
      <c r="BR321" s="3" t="str" cm="1">
        <f t="array" ref="BR32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1" s="3" t="str" cm="1">
        <f t="array" ref="BS32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1" s="3" t="str" cm="1">
        <f t="array" ref="BT321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1" s="3" t="str" cm="1">
        <f t="array" ref="BU321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1" s="48">
        <v>100</v>
      </c>
      <c r="BW321" s="1">
        <v>50</v>
      </c>
      <c r="BX321" s="44">
        <v>70</v>
      </c>
      <c r="BY321" s="51">
        <v>45731</v>
      </c>
      <c r="BZ321" s="5">
        <v>45762</v>
      </c>
      <c r="CA321" s="85">
        <v>0</v>
      </c>
      <c r="CB321" s="2">
        <v>0</v>
      </c>
      <c r="CC321" s="2">
        <v>1</v>
      </c>
      <c r="CD321" s="2">
        <v>1</v>
      </c>
      <c r="CE321" s="2">
        <v>1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P321" s="9"/>
      <c r="CQ321" s="10"/>
    </row>
    <row r="322" spans="2:95" x14ac:dyDescent="0.15">
      <c r="B322" s="36" t="s">
        <v>272</v>
      </c>
      <c r="C322" s="1" t="s">
        <v>279</v>
      </c>
      <c r="K322" s="1" t="s">
        <v>1763</v>
      </c>
      <c r="L322" s="1" t="s">
        <v>1750</v>
      </c>
      <c r="M322" s="1" t="s">
        <v>362</v>
      </c>
      <c r="N322" s="6">
        <v>14</v>
      </c>
      <c r="O322" s="1" t="s">
        <v>4</v>
      </c>
      <c r="P322" s="1">
        <v>20</v>
      </c>
      <c r="Q322" s="1">
        <v>15</v>
      </c>
      <c r="R322" s="1">
        <v>10</v>
      </c>
      <c r="S322" s="1">
        <v>30</v>
      </c>
      <c r="T322" s="1">
        <v>38</v>
      </c>
      <c r="U322" s="253">
        <v>4</v>
      </c>
      <c r="V322" s="1">
        <v>55</v>
      </c>
      <c r="W322" s="44">
        <v>100</v>
      </c>
      <c r="X322" s="40">
        <f>_xlfn.XLOOKUP("Ripening", CropPhenology_SpongeGourd[Main_Stage], CropPhenology_SpongeGourd[Start_GDD], "Not Found")</f>
        <v>881</v>
      </c>
      <c r="Y322" s="4" cm="1">
        <f t="array" ref="Y322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2" s="3">
        <f t="shared" si="179"/>
        <v>14.586818181818181</v>
      </c>
      <c r="AA322" s="41">
        <f t="shared" si="180"/>
        <v>76.781652176622728</v>
      </c>
      <c r="AB322" s="1">
        <v>8</v>
      </c>
      <c r="AC322" s="1">
        <v>18</v>
      </c>
      <c r="AD322" s="1">
        <v>4</v>
      </c>
      <c r="AE322" s="1">
        <v>85</v>
      </c>
      <c r="AF322" s="1">
        <v>12</v>
      </c>
      <c r="AG322" s="1">
        <v>5</v>
      </c>
      <c r="AH322" s="3">
        <f t="shared" si="174"/>
        <v>3.1127228084415584</v>
      </c>
      <c r="AI322" s="1">
        <v>6</v>
      </c>
      <c r="AJ322" s="1">
        <v>7</v>
      </c>
      <c r="AK322" s="159">
        <v>2.5</v>
      </c>
      <c r="AL322" s="150">
        <v>0.09</v>
      </c>
      <c r="AM322" s="1">
        <v>350</v>
      </c>
      <c r="AN322" s="1">
        <v>500</v>
      </c>
      <c r="AO322" s="48">
        <v>2</v>
      </c>
      <c r="AP322" s="44">
        <v>60</v>
      </c>
      <c r="AQ322" s="42">
        <v>0.75</v>
      </c>
      <c r="AR322" s="1">
        <v>40</v>
      </c>
      <c r="AS322" s="1">
        <v>30</v>
      </c>
      <c r="AT322" s="1">
        <v>1</v>
      </c>
      <c r="AU322" s="4">
        <f t="shared" si="166"/>
        <v>8.3333333333333339</v>
      </c>
      <c r="AV322" s="3">
        <f t="shared" si="181"/>
        <v>1.67</v>
      </c>
      <c r="AW322" s="1">
        <v>85</v>
      </c>
      <c r="AX322" s="3">
        <f t="shared" si="183"/>
        <v>7.0833333333333339</v>
      </c>
      <c r="AY322" s="1">
        <v>1</v>
      </c>
      <c r="AZ322" s="4">
        <f t="shared" si="184"/>
        <v>7.0833333333333339</v>
      </c>
      <c r="BA322" s="49">
        <v>0.8</v>
      </c>
      <c r="BB322" s="4">
        <f t="shared" si="167"/>
        <v>5.6666666666666679</v>
      </c>
      <c r="BC322" s="50">
        <v>1.587</v>
      </c>
      <c r="BD322" s="69">
        <f>IFERROR(
  MAX(0.05, MIN(0.5, CropNorms_SpongeGourd[[#This Row],[Leaf_Area_Per_Shoot_m2]] * CropNorms_SpongeGourd[[#This Row],[Shoot_Bearing_m2]] )),
  0.2
)</f>
        <v>0.5</v>
      </c>
      <c r="BE322" s="4">
        <f>_xlfn.XLOOKUP(CropNorms_SpongeGourd[[#This Row],[LAI_Start_BBCH]], CropPhenology_SpongeGourd[Sub_Stage], CropPhenology_SpongeGourd[Start_GDD], "Not Found")</f>
        <v>126</v>
      </c>
      <c r="BF322" s="3">
        <f>ROUND(CropNorms_SpongeGourd[[#This Row],[Shoot_Bearing_m2]]*CropNorms_SpongeGourd[[#This Row],[Leaf_Area_Per_Shoot_m2]],2)</f>
        <v>8.99</v>
      </c>
      <c r="BG322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2" s="3">
        <f>IF(CropNorms_SpongeGourd[[#This Row],[Max_LAI]]&gt;=1.2, 0.85*CropNorms_SpongeGourd[[#This Row],[Max_LAI]], 1)</f>
        <v>7.6414999999999997</v>
      </c>
      <c r="BI322" s="41">
        <f>_xlfn.XLOOKUP(CropNorms_SpongeGourd[[#This Row],[LAI_End_BBCH]], CropPhenology_SpongeGourd[Sub_Stage], CropPhenology_SpongeGourd[End_GDD], "Not Found")</f>
        <v>880</v>
      </c>
      <c r="BJ322" s="3" cm="1">
        <f t="array" ref="BJ322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2" s="3" cm="1">
        <f t="array" ref="BK32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2" s="3" cm="1">
        <f t="array" ref="BL322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2" s="3" cm="1">
        <f t="array" ref="BM32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2" s="42">
        <v>0.55000000000000004</v>
      </c>
      <c r="BO322" s="43">
        <v>0.75</v>
      </c>
      <c r="BP322" s="42">
        <v>18.93</v>
      </c>
      <c r="BQ322" s="43" t="s">
        <v>1741</v>
      </c>
      <c r="BR322" s="3" t="str" cm="1">
        <f t="array" ref="BR32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2" s="3" t="str" cm="1">
        <f t="array" ref="BS32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2" s="3" t="str" cm="1">
        <f t="array" ref="BT322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2" s="3" t="str" cm="1">
        <f t="array" ref="BU322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2" s="48">
        <v>100</v>
      </c>
      <c r="BW322" s="1">
        <v>50</v>
      </c>
      <c r="BX322" s="44">
        <v>70</v>
      </c>
      <c r="BY322" s="51">
        <v>45731</v>
      </c>
      <c r="BZ322" s="5">
        <v>45762</v>
      </c>
      <c r="CA322" s="85">
        <v>0</v>
      </c>
      <c r="CB322" s="2">
        <v>0</v>
      </c>
      <c r="CC322" s="2">
        <v>1</v>
      </c>
      <c r="CD322" s="2">
        <v>1</v>
      </c>
      <c r="CE322" s="2">
        <v>1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P322" s="9"/>
      <c r="CQ322" s="10"/>
    </row>
    <row r="323" spans="2:95" x14ac:dyDescent="0.15">
      <c r="B323" s="36" t="s">
        <v>272</v>
      </c>
      <c r="C323" s="1" t="s">
        <v>280</v>
      </c>
      <c r="K323" s="1" t="s">
        <v>1763</v>
      </c>
      <c r="L323" s="1" t="s">
        <v>1750</v>
      </c>
      <c r="M323" s="1" t="s">
        <v>362</v>
      </c>
      <c r="N323" s="6">
        <v>14</v>
      </c>
      <c r="O323" s="1" t="s">
        <v>4</v>
      </c>
      <c r="P323" s="1">
        <v>20</v>
      </c>
      <c r="Q323" s="1">
        <v>15</v>
      </c>
      <c r="R323" s="1">
        <v>10</v>
      </c>
      <c r="S323" s="1">
        <v>30</v>
      </c>
      <c r="T323" s="1">
        <v>38</v>
      </c>
      <c r="U323" s="253">
        <v>4</v>
      </c>
      <c r="V323" s="1">
        <v>55</v>
      </c>
      <c r="W323" s="44">
        <v>100</v>
      </c>
      <c r="X323" s="40">
        <f>_xlfn.XLOOKUP("Ripening", CropPhenology_SpongeGourd[Main_Stage], CropPhenology_SpongeGourd[Start_GDD], "Not Found")</f>
        <v>881</v>
      </c>
      <c r="Y323" s="4" cm="1">
        <f t="array" ref="Y323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3" s="3">
        <f t="shared" si="179"/>
        <v>14.586818181818181</v>
      </c>
      <c r="AA323" s="41">
        <f t="shared" si="180"/>
        <v>76.781652176622728</v>
      </c>
      <c r="AB323" s="1">
        <v>8</v>
      </c>
      <c r="AC323" s="1">
        <v>18</v>
      </c>
      <c r="AD323" s="1">
        <v>4</v>
      </c>
      <c r="AE323" s="1">
        <v>85</v>
      </c>
      <c r="AF323" s="1">
        <v>12</v>
      </c>
      <c r="AG323" s="1">
        <v>5</v>
      </c>
      <c r="AH323" s="3">
        <f t="shared" si="174"/>
        <v>3.1127228084415584</v>
      </c>
      <c r="AI323" s="1">
        <v>6</v>
      </c>
      <c r="AJ323" s="1">
        <v>7</v>
      </c>
      <c r="AK323" s="159">
        <v>2.5</v>
      </c>
      <c r="AL323" s="150">
        <v>0.09</v>
      </c>
      <c r="AM323" s="1">
        <v>350</v>
      </c>
      <c r="AN323" s="1">
        <v>500</v>
      </c>
      <c r="AO323" s="48">
        <v>2</v>
      </c>
      <c r="AP323" s="44">
        <v>60</v>
      </c>
      <c r="AQ323" s="42">
        <v>0.76</v>
      </c>
      <c r="AR323" s="1">
        <v>40</v>
      </c>
      <c r="AS323" s="1">
        <v>30</v>
      </c>
      <c r="AT323" s="1">
        <v>1</v>
      </c>
      <c r="AU323" s="4">
        <f t="shared" si="166"/>
        <v>8.3333333333333339</v>
      </c>
      <c r="AV323" s="3">
        <f t="shared" si="181"/>
        <v>1.67</v>
      </c>
      <c r="AW323" s="1">
        <v>85</v>
      </c>
      <c r="AX323" s="3">
        <f t="shared" si="183"/>
        <v>7.0833333333333339</v>
      </c>
      <c r="AY323" s="1">
        <v>1</v>
      </c>
      <c r="AZ323" s="4">
        <f t="shared" si="184"/>
        <v>7.0833333333333339</v>
      </c>
      <c r="BA323" s="49">
        <v>0.8</v>
      </c>
      <c r="BB323" s="4">
        <f t="shared" si="167"/>
        <v>5.6666666666666679</v>
      </c>
      <c r="BC323" s="50">
        <v>1.587</v>
      </c>
      <c r="BD323" s="69">
        <f>IFERROR(
  MAX(0.05, MIN(0.5, CropNorms_SpongeGourd[[#This Row],[Leaf_Area_Per_Shoot_m2]] * CropNorms_SpongeGourd[[#This Row],[Shoot_Bearing_m2]] )),
  0.2
)</f>
        <v>0.5</v>
      </c>
      <c r="BE323" s="4">
        <f>_xlfn.XLOOKUP(CropNorms_SpongeGourd[[#This Row],[LAI_Start_BBCH]], CropPhenology_SpongeGourd[Sub_Stage], CropPhenology_SpongeGourd[Start_GDD], "Not Found")</f>
        <v>126</v>
      </c>
      <c r="BF323" s="3">
        <f>ROUND(CropNorms_SpongeGourd[[#This Row],[Shoot_Bearing_m2]]*CropNorms_SpongeGourd[[#This Row],[Leaf_Area_Per_Shoot_m2]],2)</f>
        <v>8.99</v>
      </c>
      <c r="BG323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3" s="3">
        <f>IF(CropNorms_SpongeGourd[[#This Row],[Max_LAI]]&gt;=1.2, 0.85*CropNorms_SpongeGourd[[#This Row],[Max_LAI]], 1)</f>
        <v>7.6414999999999997</v>
      </c>
      <c r="BI323" s="41">
        <f>_xlfn.XLOOKUP(CropNorms_SpongeGourd[[#This Row],[LAI_End_BBCH]], CropPhenology_SpongeGourd[Sub_Stage], CropPhenology_SpongeGourd[End_GDD], "Not Found")</f>
        <v>880</v>
      </c>
      <c r="BJ323" s="3" cm="1">
        <f t="array" ref="BJ323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3" s="3" cm="1">
        <f t="array" ref="BK32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3" s="3" cm="1">
        <f t="array" ref="BL323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3" s="3" cm="1">
        <f t="array" ref="BM32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3" s="42">
        <v>0.55000000000000004</v>
      </c>
      <c r="BO323" s="43">
        <v>0.75</v>
      </c>
      <c r="BP323" s="42">
        <v>18.93</v>
      </c>
      <c r="BQ323" s="43" t="s">
        <v>1741</v>
      </c>
      <c r="BR323" s="3" t="str" cm="1">
        <f t="array" ref="BR32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3" s="3" t="str" cm="1">
        <f t="array" ref="BS32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3" s="3" t="str" cm="1">
        <f t="array" ref="BT323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3" s="3" t="str" cm="1">
        <f t="array" ref="BU323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3" s="48">
        <v>100</v>
      </c>
      <c r="BW323" s="1">
        <v>50</v>
      </c>
      <c r="BX323" s="44">
        <v>70</v>
      </c>
      <c r="BY323" s="51">
        <v>45731</v>
      </c>
      <c r="BZ323" s="5">
        <v>45762</v>
      </c>
      <c r="CA323" s="85">
        <v>0</v>
      </c>
      <c r="CB323" s="2">
        <v>0</v>
      </c>
      <c r="CC323" s="2">
        <v>1</v>
      </c>
      <c r="CD323" s="2">
        <v>1</v>
      </c>
      <c r="CE323" s="2">
        <v>1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P323" s="9"/>
      <c r="CQ323" s="10"/>
    </row>
    <row r="324" spans="2:95" x14ac:dyDescent="0.15">
      <c r="B324" s="36" t="s">
        <v>272</v>
      </c>
      <c r="C324" s="1" t="s">
        <v>281</v>
      </c>
      <c r="K324" s="1" t="s">
        <v>1763</v>
      </c>
      <c r="L324" s="1" t="s">
        <v>1750</v>
      </c>
      <c r="M324" s="1" t="s">
        <v>362</v>
      </c>
      <c r="N324" s="6">
        <v>14</v>
      </c>
      <c r="O324" s="1" t="s">
        <v>4</v>
      </c>
      <c r="P324" s="1">
        <v>20</v>
      </c>
      <c r="Q324" s="1">
        <v>15</v>
      </c>
      <c r="R324" s="1">
        <v>10</v>
      </c>
      <c r="S324" s="1">
        <v>30</v>
      </c>
      <c r="T324" s="1">
        <v>38</v>
      </c>
      <c r="U324" s="253">
        <v>4</v>
      </c>
      <c r="V324" s="1">
        <v>55</v>
      </c>
      <c r="W324" s="44">
        <v>100</v>
      </c>
      <c r="X324" s="40">
        <f>_xlfn.XLOOKUP("Ripening", CropPhenology_SpongeGourd[Main_Stage], CropPhenology_SpongeGourd[Start_GDD], "Not Found")</f>
        <v>881</v>
      </c>
      <c r="Y324" s="4" cm="1">
        <f t="array" ref="Y324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4" s="3">
        <f t="shared" si="179"/>
        <v>14.586818181818181</v>
      </c>
      <c r="AA324" s="41">
        <f t="shared" si="180"/>
        <v>76.781652176622728</v>
      </c>
      <c r="AB324" s="1">
        <v>8</v>
      </c>
      <c r="AC324" s="1">
        <v>18</v>
      </c>
      <c r="AD324" s="1">
        <v>4</v>
      </c>
      <c r="AE324" s="1">
        <v>85</v>
      </c>
      <c r="AF324" s="1">
        <v>12</v>
      </c>
      <c r="AG324" s="1">
        <v>5</v>
      </c>
      <c r="AH324" s="3">
        <f t="shared" si="174"/>
        <v>3.1127228084415584</v>
      </c>
      <c r="AI324" s="1">
        <v>6</v>
      </c>
      <c r="AJ324" s="1">
        <v>7</v>
      </c>
      <c r="AK324" s="159">
        <v>2.5</v>
      </c>
      <c r="AL324" s="150">
        <v>0.09</v>
      </c>
      <c r="AM324" s="1">
        <v>350</v>
      </c>
      <c r="AN324" s="1">
        <v>500</v>
      </c>
      <c r="AO324" s="48">
        <v>2</v>
      </c>
      <c r="AP324" s="44">
        <v>60</v>
      </c>
      <c r="AQ324" s="42">
        <v>0.8</v>
      </c>
      <c r="AR324" s="1">
        <v>40</v>
      </c>
      <c r="AS324" s="1">
        <v>30</v>
      </c>
      <c r="AT324" s="1">
        <v>1</v>
      </c>
      <c r="AU324" s="4">
        <f t="shared" si="166"/>
        <v>8.3333333333333339</v>
      </c>
      <c r="AV324" s="3">
        <f t="shared" si="181"/>
        <v>1.67</v>
      </c>
      <c r="AW324" s="1">
        <v>85</v>
      </c>
      <c r="AX324" s="3">
        <f t="shared" si="183"/>
        <v>7.0833333333333339</v>
      </c>
      <c r="AY324" s="1">
        <v>1</v>
      </c>
      <c r="AZ324" s="4">
        <f t="shared" si="184"/>
        <v>7.0833333333333339</v>
      </c>
      <c r="BA324" s="49">
        <v>0.8</v>
      </c>
      <c r="BB324" s="4">
        <f t="shared" si="167"/>
        <v>5.6666666666666679</v>
      </c>
      <c r="BC324" s="50">
        <v>1.587</v>
      </c>
      <c r="BD324" s="69">
        <f>IFERROR(
  MAX(0.05, MIN(0.5, CropNorms_SpongeGourd[[#This Row],[Leaf_Area_Per_Shoot_m2]] * CropNorms_SpongeGourd[[#This Row],[Shoot_Bearing_m2]] )),
  0.2
)</f>
        <v>0.5</v>
      </c>
      <c r="BE324" s="4">
        <f>_xlfn.XLOOKUP(CropNorms_SpongeGourd[[#This Row],[LAI_Start_BBCH]], CropPhenology_SpongeGourd[Sub_Stage], CropPhenology_SpongeGourd[Start_GDD], "Not Found")</f>
        <v>126</v>
      </c>
      <c r="BF324" s="3">
        <f>ROUND(CropNorms_SpongeGourd[[#This Row],[Shoot_Bearing_m2]]*CropNorms_SpongeGourd[[#This Row],[Leaf_Area_Per_Shoot_m2]],2)</f>
        <v>8.99</v>
      </c>
      <c r="BG324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4" s="3">
        <f>IF(CropNorms_SpongeGourd[[#This Row],[Max_LAI]]&gt;=1.2, 0.85*CropNorms_SpongeGourd[[#This Row],[Max_LAI]], 1)</f>
        <v>7.6414999999999997</v>
      </c>
      <c r="BI324" s="41">
        <f>_xlfn.XLOOKUP(CropNorms_SpongeGourd[[#This Row],[LAI_End_BBCH]], CropPhenology_SpongeGourd[Sub_Stage], CropPhenology_SpongeGourd[End_GDD], "Not Found")</f>
        <v>880</v>
      </c>
      <c r="BJ324" s="3" cm="1">
        <f t="array" ref="BJ324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4" s="3" cm="1">
        <f t="array" ref="BK324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4" s="3" cm="1">
        <f t="array" ref="BL324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4" s="3" cm="1">
        <f t="array" ref="BM324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4" s="42">
        <v>0.55000000000000004</v>
      </c>
      <c r="BO324" s="43">
        <v>0.75</v>
      </c>
      <c r="BP324" s="42">
        <v>18.93</v>
      </c>
      <c r="BQ324" s="43" t="s">
        <v>1741</v>
      </c>
      <c r="BR324" s="3" t="str" cm="1">
        <f t="array" ref="BR324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4" s="3" t="str" cm="1">
        <f t="array" ref="BS324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4" s="3" t="str" cm="1">
        <f t="array" ref="BT324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4" s="3" t="str" cm="1">
        <f t="array" ref="BU324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4" s="48">
        <v>100</v>
      </c>
      <c r="BW324" s="1">
        <v>50</v>
      </c>
      <c r="BX324" s="44">
        <v>70</v>
      </c>
      <c r="BY324" s="51">
        <v>45731</v>
      </c>
      <c r="BZ324" s="5">
        <v>45762</v>
      </c>
      <c r="CA324" s="85">
        <v>0</v>
      </c>
      <c r="CB324" s="2">
        <v>0</v>
      </c>
      <c r="CC324" s="2">
        <v>1</v>
      </c>
      <c r="CD324" s="2">
        <v>1</v>
      </c>
      <c r="CE324" s="2">
        <v>1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P324" s="9"/>
      <c r="CQ324" s="10"/>
    </row>
    <row r="325" spans="2:95" x14ac:dyDescent="0.15">
      <c r="B325" s="36" t="s">
        <v>272</v>
      </c>
      <c r="C325" s="1" t="s">
        <v>282</v>
      </c>
      <c r="K325" s="1" t="s">
        <v>1763</v>
      </c>
      <c r="L325" s="1" t="s">
        <v>1750</v>
      </c>
      <c r="M325" s="1" t="s">
        <v>362</v>
      </c>
      <c r="N325" s="6">
        <v>14</v>
      </c>
      <c r="O325" s="1" t="s">
        <v>4</v>
      </c>
      <c r="P325" s="1">
        <v>20</v>
      </c>
      <c r="Q325" s="1">
        <v>15</v>
      </c>
      <c r="R325" s="1">
        <v>10</v>
      </c>
      <c r="S325" s="1">
        <v>30</v>
      </c>
      <c r="T325" s="1">
        <v>38</v>
      </c>
      <c r="U325" s="253">
        <v>4</v>
      </c>
      <c r="V325" s="1">
        <v>55</v>
      </c>
      <c r="W325" s="44">
        <v>100</v>
      </c>
      <c r="X325" s="40">
        <f>_xlfn.XLOOKUP("Ripening", CropPhenology_SpongeGourd[Main_Stage], CropPhenology_SpongeGourd[Start_GDD], "Not Found")</f>
        <v>881</v>
      </c>
      <c r="Y325" s="4" cm="1">
        <f t="array" ref="Y325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5" s="3">
        <f t="shared" si="179"/>
        <v>14.586818181818181</v>
      </c>
      <c r="AA325" s="41">
        <f t="shared" si="180"/>
        <v>76.781652176622728</v>
      </c>
      <c r="AB325" s="1">
        <v>8</v>
      </c>
      <c r="AC325" s="1">
        <v>18</v>
      </c>
      <c r="AD325" s="1">
        <v>4</v>
      </c>
      <c r="AE325" s="1">
        <v>85</v>
      </c>
      <c r="AF325" s="1">
        <v>12</v>
      </c>
      <c r="AG325" s="1">
        <v>5</v>
      </c>
      <c r="AH325" s="3">
        <f t="shared" si="174"/>
        <v>3.1127228084415584</v>
      </c>
      <c r="AI325" s="1">
        <v>6</v>
      </c>
      <c r="AJ325" s="1">
        <v>7</v>
      </c>
      <c r="AK325" s="159">
        <v>2.5</v>
      </c>
      <c r="AL325" s="150">
        <v>0.09</v>
      </c>
      <c r="AM325" s="1">
        <v>350</v>
      </c>
      <c r="AN325" s="1">
        <v>500</v>
      </c>
      <c r="AO325" s="48">
        <v>2</v>
      </c>
      <c r="AP325" s="44">
        <v>60</v>
      </c>
      <c r="AQ325" s="42">
        <v>0.82</v>
      </c>
      <c r="AR325" s="1">
        <v>40</v>
      </c>
      <c r="AS325" s="1">
        <v>30</v>
      </c>
      <c r="AT325" s="1">
        <v>1</v>
      </c>
      <c r="AU325" s="4">
        <f t="shared" si="166"/>
        <v>8.3333333333333339</v>
      </c>
      <c r="AV325" s="3">
        <f t="shared" si="181"/>
        <v>1.67</v>
      </c>
      <c r="AW325" s="1">
        <v>85</v>
      </c>
      <c r="AX325" s="3">
        <f t="shared" si="183"/>
        <v>7.0833333333333339</v>
      </c>
      <c r="AY325" s="1">
        <v>1</v>
      </c>
      <c r="AZ325" s="4">
        <f t="shared" si="184"/>
        <v>7.0833333333333339</v>
      </c>
      <c r="BA325" s="49">
        <v>0.8</v>
      </c>
      <c r="BB325" s="4">
        <f t="shared" si="167"/>
        <v>5.6666666666666679</v>
      </c>
      <c r="BC325" s="50">
        <v>1.587</v>
      </c>
      <c r="BD325" s="69">
        <f>IFERROR(
  MAX(0.05, MIN(0.5, CropNorms_SpongeGourd[[#This Row],[Leaf_Area_Per_Shoot_m2]] * CropNorms_SpongeGourd[[#This Row],[Shoot_Bearing_m2]] )),
  0.2
)</f>
        <v>0.5</v>
      </c>
      <c r="BE325" s="4">
        <f>_xlfn.XLOOKUP(CropNorms_SpongeGourd[[#This Row],[LAI_Start_BBCH]], CropPhenology_SpongeGourd[Sub_Stage], CropPhenology_SpongeGourd[Start_GDD], "Not Found")</f>
        <v>126</v>
      </c>
      <c r="BF325" s="3">
        <f>ROUND(CropNorms_SpongeGourd[[#This Row],[Shoot_Bearing_m2]]*CropNorms_SpongeGourd[[#This Row],[Leaf_Area_Per_Shoot_m2]],2)</f>
        <v>8.99</v>
      </c>
      <c r="BG325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5" s="3">
        <f>IF(CropNorms_SpongeGourd[[#This Row],[Max_LAI]]&gt;=1.2, 0.85*CropNorms_SpongeGourd[[#This Row],[Max_LAI]], 1)</f>
        <v>7.6414999999999997</v>
      </c>
      <c r="BI325" s="41">
        <f>_xlfn.XLOOKUP(CropNorms_SpongeGourd[[#This Row],[LAI_End_BBCH]], CropPhenology_SpongeGourd[Sub_Stage], CropPhenology_SpongeGourd[End_GDD], "Not Found")</f>
        <v>880</v>
      </c>
      <c r="BJ325" s="3" cm="1">
        <f t="array" ref="BJ325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5" s="3" cm="1">
        <f t="array" ref="BK325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5" s="3" cm="1">
        <f t="array" ref="BL325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5" s="3" cm="1">
        <f t="array" ref="BM325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5" s="42">
        <v>0.55000000000000004</v>
      </c>
      <c r="BO325" s="43">
        <v>0.75</v>
      </c>
      <c r="BP325" s="42">
        <v>18.93</v>
      </c>
      <c r="BQ325" s="43" t="s">
        <v>1741</v>
      </c>
      <c r="BR325" s="3" t="str" cm="1">
        <f t="array" ref="BR325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5" s="3" t="str" cm="1">
        <f t="array" ref="BS325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5" s="3" t="str" cm="1">
        <f t="array" ref="BT325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5" s="3" t="str" cm="1">
        <f t="array" ref="BU325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5" s="48">
        <v>100</v>
      </c>
      <c r="BW325" s="1">
        <v>50</v>
      </c>
      <c r="BX325" s="44">
        <v>70</v>
      </c>
      <c r="BY325" s="51">
        <v>45731</v>
      </c>
      <c r="BZ325" s="5">
        <v>45762</v>
      </c>
      <c r="CA325" s="85">
        <v>0</v>
      </c>
      <c r="CB325" s="2">
        <v>0</v>
      </c>
      <c r="CC325" s="2">
        <v>1</v>
      </c>
      <c r="CD325" s="2">
        <v>1</v>
      </c>
      <c r="CE325" s="2">
        <v>1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P325" s="9"/>
      <c r="CQ325" s="10"/>
    </row>
    <row r="326" spans="2:95" x14ac:dyDescent="0.15">
      <c r="B326" s="36" t="s">
        <v>272</v>
      </c>
      <c r="C326" s="1" t="s">
        <v>283</v>
      </c>
      <c r="K326" s="1" t="s">
        <v>1763</v>
      </c>
      <c r="L326" s="1" t="s">
        <v>1750</v>
      </c>
      <c r="M326" s="1" t="s">
        <v>362</v>
      </c>
      <c r="N326" s="6">
        <v>14</v>
      </c>
      <c r="O326" s="1" t="s">
        <v>4</v>
      </c>
      <c r="P326" s="1">
        <v>20</v>
      </c>
      <c r="Q326" s="1">
        <v>15</v>
      </c>
      <c r="R326" s="1">
        <v>10</v>
      </c>
      <c r="S326" s="1">
        <v>30</v>
      </c>
      <c r="T326" s="1">
        <v>38</v>
      </c>
      <c r="U326" s="253">
        <v>4</v>
      </c>
      <c r="V326" s="1">
        <v>55</v>
      </c>
      <c r="W326" s="44">
        <v>100</v>
      </c>
      <c r="X326" s="40">
        <f>_xlfn.XLOOKUP("Ripening", CropPhenology_SpongeGourd[Main_Stage], CropPhenology_SpongeGourd[Start_GDD], "Not Found")</f>
        <v>881</v>
      </c>
      <c r="Y326" s="4" cm="1">
        <f t="array" ref="Y326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6" s="3">
        <f t="shared" si="179"/>
        <v>14.586818181818181</v>
      </c>
      <c r="AA326" s="41">
        <f t="shared" si="180"/>
        <v>76.781652176622728</v>
      </c>
      <c r="AB326" s="1">
        <v>8</v>
      </c>
      <c r="AC326" s="1">
        <v>18</v>
      </c>
      <c r="AD326" s="1">
        <v>4</v>
      </c>
      <c r="AE326" s="1">
        <v>85</v>
      </c>
      <c r="AF326" s="1">
        <v>12</v>
      </c>
      <c r="AG326" s="1">
        <v>5</v>
      </c>
      <c r="AH326" s="3">
        <f t="shared" si="174"/>
        <v>3.1127228084415584</v>
      </c>
      <c r="AI326" s="1">
        <v>6</v>
      </c>
      <c r="AJ326" s="1">
        <v>7</v>
      </c>
      <c r="AK326" s="159">
        <v>2.5</v>
      </c>
      <c r="AL326" s="150">
        <v>0.09</v>
      </c>
      <c r="AM326" s="1">
        <v>350</v>
      </c>
      <c r="AN326" s="1">
        <v>500</v>
      </c>
      <c r="AO326" s="48">
        <v>2</v>
      </c>
      <c r="AP326" s="44">
        <v>60</v>
      </c>
      <c r="AQ326" s="42">
        <v>0.8</v>
      </c>
      <c r="AR326" s="1">
        <v>40</v>
      </c>
      <c r="AS326" s="1">
        <v>30</v>
      </c>
      <c r="AT326" s="1">
        <v>1</v>
      </c>
      <c r="AU326" s="4">
        <f t="shared" si="166"/>
        <v>8.3333333333333339</v>
      </c>
      <c r="AV326" s="3">
        <f t="shared" si="181"/>
        <v>1.67</v>
      </c>
      <c r="AW326" s="1">
        <v>85</v>
      </c>
      <c r="AX326" s="3">
        <f t="shared" si="183"/>
        <v>7.0833333333333339</v>
      </c>
      <c r="AY326" s="1">
        <v>1</v>
      </c>
      <c r="AZ326" s="4">
        <f t="shared" si="184"/>
        <v>7.0833333333333339</v>
      </c>
      <c r="BA326" s="49">
        <v>0.8</v>
      </c>
      <c r="BB326" s="4">
        <f t="shared" si="167"/>
        <v>5.6666666666666679</v>
      </c>
      <c r="BC326" s="50">
        <v>1.587</v>
      </c>
      <c r="BD326" s="69">
        <f>IFERROR(
  MAX(0.05, MIN(0.5, CropNorms_SpongeGourd[[#This Row],[Leaf_Area_Per_Shoot_m2]] * CropNorms_SpongeGourd[[#This Row],[Shoot_Bearing_m2]] )),
  0.2
)</f>
        <v>0.5</v>
      </c>
      <c r="BE326" s="4">
        <f>_xlfn.XLOOKUP(CropNorms_SpongeGourd[[#This Row],[LAI_Start_BBCH]], CropPhenology_SpongeGourd[Sub_Stage], CropPhenology_SpongeGourd[Start_GDD], "Not Found")</f>
        <v>126</v>
      </c>
      <c r="BF326" s="3">
        <f>ROUND(CropNorms_SpongeGourd[[#This Row],[Shoot_Bearing_m2]]*CropNorms_SpongeGourd[[#This Row],[Leaf_Area_Per_Shoot_m2]],2)</f>
        <v>8.99</v>
      </c>
      <c r="BG326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6" s="3">
        <f>IF(CropNorms_SpongeGourd[[#This Row],[Max_LAI]]&gt;=1.2, 0.85*CropNorms_SpongeGourd[[#This Row],[Max_LAI]], 1)</f>
        <v>7.6414999999999997</v>
      </c>
      <c r="BI326" s="41">
        <f>_xlfn.XLOOKUP(CropNorms_SpongeGourd[[#This Row],[LAI_End_BBCH]], CropPhenology_SpongeGourd[Sub_Stage], CropPhenology_SpongeGourd[End_GDD], "Not Found")</f>
        <v>880</v>
      </c>
      <c r="BJ326" s="3" cm="1">
        <f t="array" ref="BJ326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6" s="3" cm="1">
        <f t="array" ref="BK32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6" s="3" cm="1">
        <f t="array" ref="BL326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6" s="3" cm="1">
        <f t="array" ref="BM32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6" s="42">
        <v>0.55000000000000004</v>
      </c>
      <c r="BO326" s="43">
        <v>0.75</v>
      </c>
      <c r="BP326" s="42">
        <v>18.93</v>
      </c>
      <c r="BQ326" s="43" t="s">
        <v>1741</v>
      </c>
      <c r="BR326" s="3" t="str" cm="1">
        <f t="array" ref="BR32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6" s="3" t="str" cm="1">
        <f t="array" ref="BS32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6" s="3" t="str" cm="1">
        <f t="array" ref="BT326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6" s="3" t="str" cm="1">
        <f t="array" ref="BU326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6" s="48">
        <v>100</v>
      </c>
      <c r="BW326" s="1">
        <v>50</v>
      </c>
      <c r="BX326" s="44">
        <v>70</v>
      </c>
      <c r="BY326" s="51">
        <v>45731</v>
      </c>
      <c r="BZ326" s="5">
        <v>45762</v>
      </c>
      <c r="CA326" s="85">
        <v>0</v>
      </c>
      <c r="CB326" s="2">
        <v>0</v>
      </c>
      <c r="CC326" s="2">
        <v>1</v>
      </c>
      <c r="CD326" s="2">
        <v>1</v>
      </c>
      <c r="CE326" s="2">
        <v>1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P326" s="9"/>
      <c r="CQ326" s="10"/>
    </row>
    <row r="327" spans="2:95" ht="11.25" thickBot="1" x14ac:dyDescent="0.2">
      <c r="B327" s="36" t="s">
        <v>272</v>
      </c>
      <c r="C327" s="1" t="s">
        <v>284</v>
      </c>
      <c r="K327" s="1" t="s">
        <v>1763</v>
      </c>
      <c r="L327" s="1" t="s">
        <v>1750</v>
      </c>
      <c r="M327" s="1" t="s">
        <v>362</v>
      </c>
      <c r="N327" s="6">
        <v>14</v>
      </c>
      <c r="O327" s="1" t="s">
        <v>4</v>
      </c>
      <c r="P327" s="1">
        <v>20</v>
      </c>
      <c r="Q327" s="1">
        <v>15</v>
      </c>
      <c r="R327" s="1">
        <v>10</v>
      </c>
      <c r="S327" s="1">
        <v>30</v>
      </c>
      <c r="T327" s="1">
        <v>38</v>
      </c>
      <c r="U327" s="254">
        <v>4</v>
      </c>
      <c r="V327" s="1">
        <v>55</v>
      </c>
      <c r="W327" s="44">
        <v>100</v>
      </c>
      <c r="X327" s="40">
        <f>_xlfn.XLOOKUP("Ripening", CropPhenology_SpongeGourd[Main_Stage], CropPhenology_SpongeGourd[Start_GDD], "Not Found")</f>
        <v>881</v>
      </c>
      <c r="Y327" s="4" cm="1">
        <f t="array" ref="Y327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Z327" s="3">
        <f t="shared" si="179"/>
        <v>14.586818181818181</v>
      </c>
      <c r="AA327" s="41">
        <f t="shared" si="180"/>
        <v>76.781652176622728</v>
      </c>
      <c r="AB327" s="1">
        <v>8</v>
      </c>
      <c r="AC327" s="1">
        <v>18</v>
      </c>
      <c r="AD327" s="1">
        <v>4</v>
      </c>
      <c r="AE327" s="1">
        <v>85</v>
      </c>
      <c r="AF327" s="1">
        <v>12</v>
      </c>
      <c r="AG327" s="1">
        <v>5</v>
      </c>
      <c r="AH327" s="3">
        <f t="shared" si="174"/>
        <v>3.1127228084415584</v>
      </c>
      <c r="AI327" s="1">
        <v>6</v>
      </c>
      <c r="AJ327" s="1">
        <v>7</v>
      </c>
      <c r="AK327" s="160">
        <v>2.5</v>
      </c>
      <c r="AL327" s="161">
        <v>0.09</v>
      </c>
      <c r="AM327" s="1">
        <v>350</v>
      </c>
      <c r="AN327" s="1">
        <v>500</v>
      </c>
      <c r="AO327" s="48">
        <v>2</v>
      </c>
      <c r="AP327" s="44">
        <v>60</v>
      </c>
      <c r="AQ327" s="42">
        <v>0.75</v>
      </c>
      <c r="AR327" s="1">
        <v>40</v>
      </c>
      <c r="AS327" s="1">
        <v>30</v>
      </c>
      <c r="AT327" s="1">
        <v>1</v>
      </c>
      <c r="AU327" s="4">
        <f t="shared" si="166"/>
        <v>8.3333333333333339</v>
      </c>
      <c r="AV327" s="3">
        <f t="shared" si="181"/>
        <v>1.67</v>
      </c>
      <c r="AW327" s="1">
        <v>85</v>
      </c>
      <c r="AX327" s="3">
        <f t="shared" si="183"/>
        <v>7.0833333333333339</v>
      </c>
      <c r="AY327" s="1">
        <v>1</v>
      </c>
      <c r="AZ327" s="4">
        <f t="shared" si="184"/>
        <v>7.0833333333333339</v>
      </c>
      <c r="BA327" s="49">
        <v>0.8</v>
      </c>
      <c r="BB327" s="4">
        <f t="shared" si="167"/>
        <v>5.6666666666666679</v>
      </c>
      <c r="BC327" s="50">
        <v>1.587</v>
      </c>
      <c r="BD327" s="69">
        <f>IFERROR(
  MAX(0.05, MIN(0.5, CropNorms_SpongeGourd[[#This Row],[Leaf_Area_Per_Shoot_m2]] * CropNorms_SpongeGourd[[#This Row],[Shoot_Bearing_m2]] )),
  0.2
)</f>
        <v>0.5</v>
      </c>
      <c r="BE327" s="4">
        <f>_xlfn.XLOOKUP(CropNorms_SpongeGourd[[#This Row],[LAI_Start_BBCH]], CropPhenology_SpongeGourd[Sub_Stage], CropPhenology_SpongeGourd[Start_GDD], "Not Found")</f>
        <v>126</v>
      </c>
      <c r="BF327" s="3">
        <f>ROUND(CropNorms_SpongeGourd[[#This Row],[Shoot_Bearing_m2]]*CropNorms_SpongeGourd[[#This Row],[Leaf_Area_Per_Shoot_m2]],2)</f>
        <v>8.99</v>
      </c>
      <c r="BG327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H327" s="3">
        <f>IF(CropNorms_SpongeGourd[[#This Row],[Max_LAI]]&gt;=1.2, 0.85*CropNorms_SpongeGourd[[#This Row],[Max_LAI]], 1)</f>
        <v>7.6414999999999997</v>
      </c>
      <c r="BI327" s="41">
        <f>_xlfn.XLOOKUP(CropNorms_SpongeGourd[[#This Row],[LAI_End_BBCH]], CropPhenology_SpongeGourd[Sub_Stage], CropPhenology_SpongeGourd[End_GDD], "Not Found")</f>
        <v>880</v>
      </c>
      <c r="BJ327" s="3" cm="1">
        <f t="array" ref="BJ327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K327" s="3" cm="1">
        <f t="array" ref="BK32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L327" s="3" cm="1">
        <f t="array" ref="BL327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M327" s="3" cm="1">
        <f t="array" ref="BM32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27" s="42">
        <v>0.55000000000000004</v>
      </c>
      <c r="BO327" s="43">
        <v>0.75</v>
      </c>
      <c r="BP327" s="42">
        <v>18.93</v>
      </c>
      <c r="BQ327" s="43" t="s">
        <v>1741</v>
      </c>
      <c r="BR327" s="3" t="str" cm="1">
        <f t="array" ref="BR32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27" s="3" t="str" cm="1">
        <f t="array" ref="BS32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27" s="3" t="str" cm="1">
        <f t="array" ref="BT327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27" s="3" t="str" cm="1">
        <f t="array" ref="BU327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27" s="48">
        <v>100</v>
      </c>
      <c r="BW327" s="1">
        <v>50</v>
      </c>
      <c r="BX327" s="44">
        <v>70</v>
      </c>
      <c r="BY327" s="51">
        <v>45731</v>
      </c>
      <c r="BZ327" s="5">
        <v>45762</v>
      </c>
      <c r="CA327" s="85">
        <v>0</v>
      </c>
      <c r="CB327" s="2">
        <v>0</v>
      </c>
      <c r="CC327" s="2">
        <v>1</v>
      </c>
      <c r="CD327" s="2">
        <v>1</v>
      </c>
      <c r="CE327" s="2">
        <v>1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P327" s="9"/>
      <c r="CQ327" s="10"/>
    </row>
    <row r="328" spans="2:95" ht="11.25" thickBot="1" x14ac:dyDescent="0.2">
      <c r="Y328" s="3"/>
      <c r="Z328" s="4"/>
      <c r="AG328" s="3"/>
      <c r="AR328" s="4"/>
      <c r="AS328" s="3"/>
      <c r="AU328" s="3"/>
      <c r="AW328" s="4"/>
      <c r="AX328" s="49"/>
      <c r="AY328" s="4"/>
      <c r="BV328" s="51"/>
      <c r="BW328" s="51"/>
      <c r="CP328" s="9"/>
      <c r="CQ328" s="10"/>
    </row>
    <row r="329" spans="2:95" ht="11.25" thickBot="1" x14ac:dyDescent="0.2">
      <c r="B329" s="54" t="s">
        <v>1753</v>
      </c>
      <c r="C329" s="53" t="s">
        <v>1754</v>
      </c>
      <c r="D329" s="53" t="s">
        <v>1804</v>
      </c>
      <c r="E329" s="53" t="s">
        <v>1805</v>
      </c>
      <c r="F329" s="53" t="s">
        <v>1806</v>
      </c>
      <c r="G329" s="53" t="s">
        <v>1807</v>
      </c>
      <c r="H329" s="53" t="s">
        <v>1808</v>
      </c>
      <c r="I329" s="53" t="s">
        <v>1809</v>
      </c>
      <c r="J329" s="53" t="s">
        <v>1810</v>
      </c>
      <c r="K329" s="53" t="s">
        <v>1747</v>
      </c>
      <c r="L329" s="54" t="s">
        <v>1749</v>
      </c>
      <c r="M329" s="53" t="s">
        <v>357</v>
      </c>
      <c r="N329" s="55" t="s">
        <v>692</v>
      </c>
      <c r="O329" s="53" t="s">
        <v>325</v>
      </c>
      <c r="P329" s="53" t="s">
        <v>356</v>
      </c>
      <c r="Q329" s="53" t="s">
        <v>326</v>
      </c>
      <c r="R329" s="53" t="s">
        <v>327</v>
      </c>
      <c r="S329" s="53" t="s">
        <v>328</v>
      </c>
      <c r="T329" s="53" t="s">
        <v>329</v>
      </c>
      <c r="U329" s="250" t="s">
        <v>2349</v>
      </c>
      <c r="V329" s="53" t="s">
        <v>330</v>
      </c>
      <c r="W329" s="53" t="s">
        <v>331</v>
      </c>
      <c r="X329" s="56" t="s">
        <v>354</v>
      </c>
      <c r="Y329" s="57" t="s">
        <v>355</v>
      </c>
      <c r="Z329" s="58" t="s">
        <v>413</v>
      </c>
      <c r="AA329" s="59" t="s">
        <v>583</v>
      </c>
      <c r="AB329" s="53" t="s">
        <v>324</v>
      </c>
      <c r="AC329" s="53" t="s">
        <v>332</v>
      </c>
      <c r="AD329" s="53" t="s">
        <v>333</v>
      </c>
      <c r="AE329" s="53" t="s">
        <v>334</v>
      </c>
      <c r="AF329" s="53" t="s">
        <v>335</v>
      </c>
      <c r="AG329" s="53" t="s">
        <v>336</v>
      </c>
      <c r="AH329" s="60" t="s">
        <v>337</v>
      </c>
      <c r="AI329" s="53" t="s">
        <v>338</v>
      </c>
      <c r="AJ329" s="53" t="s">
        <v>339</v>
      </c>
      <c r="AK329" s="157" t="s">
        <v>2346</v>
      </c>
      <c r="AL329" s="158" t="s">
        <v>2347</v>
      </c>
      <c r="AM329" s="53" t="s">
        <v>340</v>
      </c>
      <c r="AN329" s="53" t="s">
        <v>341</v>
      </c>
      <c r="AO329" s="61" t="s">
        <v>342</v>
      </c>
      <c r="AP329" s="62" t="s">
        <v>343</v>
      </c>
      <c r="AQ329" s="55" t="s">
        <v>344</v>
      </c>
      <c r="AR329" s="53" t="s">
        <v>345</v>
      </c>
      <c r="AS329" s="53" t="s">
        <v>346</v>
      </c>
      <c r="AT329" s="53" t="s">
        <v>364</v>
      </c>
      <c r="AU329" s="60" t="s">
        <v>347</v>
      </c>
      <c r="AV329" s="58" t="s">
        <v>363</v>
      </c>
      <c r="AW329" s="53" t="s">
        <v>348</v>
      </c>
      <c r="AX329" s="58" t="s">
        <v>349</v>
      </c>
      <c r="AY329" s="53" t="s">
        <v>366</v>
      </c>
      <c r="AZ329" s="60" t="s">
        <v>350</v>
      </c>
      <c r="BA329" s="53" t="s">
        <v>365</v>
      </c>
      <c r="BB329" s="60" t="s">
        <v>1827</v>
      </c>
      <c r="BC329" s="63" t="s">
        <v>351</v>
      </c>
      <c r="BD329" s="71" t="s">
        <v>1811</v>
      </c>
      <c r="BE329" s="57" t="s">
        <v>352</v>
      </c>
      <c r="BF329" s="58" t="s">
        <v>1812</v>
      </c>
      <c r="BG329" s="57" t="s">
        <v>1752</v>
      </c>
      <c r="BH329" s="60" t="s">
        <v>1813</v>
      </c>
      <c r="BI329" s="59" t="s">
        <v>353</v>
      </c>
      <c r="BJ329" s="71" t="s">
        <v>1828</v>
      </c>
      <c r="BK329" s="58" t="s">
        <v>1829</v>
      </c>
      <c r="BL329" s="58" t="s">
        <v>1830</v>
      </c>
      <c r="BM329" s="72" t="s">
        <v>1831</v>
      </c>
      <c r="BN329" s="64" t="s">
        <v>1154</v>
      </c>
      <c r="BO329" s="65" t="s">
        <v>1742</v>
      </c>
      <c r="BP329" s="64" t="s">
        <v>1155</v>
      </c>
      <c r="BQ329" s="65" t="s">
        <v>1755</v>
      </c>
      <c r="BR329" s="58" t="s">
        <v>367</v>
      </c>
      <c r="BS329" s="58" t="s">
        <v>1751</v>
      </c>
      <c r="BT329" s="58" t="s">
        <v>368</v>
      </c>
      <c r="BU329" s="60" t="s">
        <v>1814</v>
      </c>
      <c r="BV329" s="61" t="s">
        <v>369</v>
      </c>
      <c r="BW329" s="53" t="s">
        <v>370</v>
      </c>
      <c r="BX329" s="62" t="s">
        <v>371</v>
      </c>
      <c r="BY329" s="53" t="s">
        <v>359</v>
      </c>
      <c r="BZ329" s="53" t="s">
        <v>361</v>
      </c>
      <c r="CA329" s="61" t="s">
        <v>1815</v>
      </c>
      <c r="CB329" s="53" t="s">
        <v>1816</v>
      </c>
      <c r="CC329" s="53" t="s">
        <v>1817</v>
      </c>
      <c r="CD329" s="53" t="s">
        <v>1818</v>
      </c>
      <c r="CE329" s="53" t="s">
        <v>1819</v>
      </c>
      <c r="CF329" s="53" t="s">
        <v>1820</v>
      </c>
      <c r="CG329" s="53" t="s">
        <v>1821</v>
      </c>
      <c r="CH329" s="53" t="s">
        <v>1822</v>
      </c>
      <c r="CI329" s="53" t="s">
        <v>1823</v>
      </c>
      <c r="CJ329" s="53" t="s">
        <v>1824</v>
      </c>
      <c r="CK329" s="53" t="s">
        <v>1825</v>
      </c>
      <c r="CL329" s="53" t="s">
        <v>1826</v>
      </c>
      <c r="CP329" s="9"/>
      <c r="CQ329" s="10"/>
    </row>
    <row r="330" spans="2:95" x14ac:dyDescent="0.15">
      <c r="B330" s="36" t="s">
        <v>285</v>
      </c>
      <c r="C330" s="1" t="s">
        <v>286</v>
      </c>
      <c r="K330" s="1" t="s">
        <v>1770</v>
      </c>
      <c r="L330" s="1" t="s">
        <v>1750</v>
      </c>
      <c r="M330" s="1" t="s">
        <v>358</v>
      </c>
      <c r="N330" s="6">
        <v>10.5</v>
      </c>
      <c r="O330" s="1" t="s">
        <v>4</v>
      </c>
      <c r="P330" s="1">
        <v>3</v>
      </c>
      <c r="Q330" s="1">
        <v>4</v>
      </c>
      <c r="R330" s="1">
        <v>2</v>
      </c>
      <c r="S330" s="1">
        <v>22</v>
      </c>
      <c r="T330" s="1">
        <v>30</v>
      </c>
      <c r="U330" s="253">
        <v>8</v>
      </c>
      <c r="V330" s="1">
        <v>150</v>
      </c>
      <c r="W330" s="44">
        <v>210</v>
      </c>
      <c r="X330" s="40">
        <f>_xlfn.XLOOKUP("Ripening", CropPhenology_SugarBeet[Main_Stage], CropPhenology_SugarBeet[Start_GDD], "Not Found")</f>
        <v>2781</v>
      </c>
      <c r="Y330" s="4" cm="1">
        <f t="array" ref="Y330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0" s="3">
        <f t="shared" ref="Z330:Z341" si="185">MIN(Y330/V330,MAX(X330/W330,R330,(X330/W330+Y330/V330)/2))</f>
        <v>17.154761904761905</v>
      </c>
      <c r="AA330" s="41">
        <f t="shared" ref="AA330:AA341" si="186">Y330/Z330</f>
        <v>184.20541290770299</v>
      </c>
      <c r="AB330" s="1">
        <v>7</v>
      </c>
      <c r="AC330" s="1">
        <v>10</v>
      </c>
      <c r="AD330" s="1">
        <v>4</v>
      </c>
      <c r="AE330" s="1">
        <v>85</v>
      </c>
      <c r="AF330" s="1">
        <v>5</v>
      </c>
      <c r="AG330" s="1">
        <v>4</v>
      </c>
      <c r="AH330" s="3">
        <f t="shared" si="174"/>
        <v>2.0574856841470766</v>
      </c>
      <c r="AI330" s="1">
        <v>6.5</v>
      </c>
      <c r="AJ330" s="1">
        <v>7.5</v>
      </c>
      <c r="AK330" s="159">
        <v>7</v>
      </c>
      <c r="AL330" s="150">
        <v>5.8999999999999997E-2</v>
      </c>
      <c r="AM330" s="1">
        <v>450</v>
      </c>
      <c r="AN330" s="1">
        <v>600</v>
      </c>
      <c r="AO330" s="48">
        <v>3</v>
      </c>
      <c r="AP330" s="44">
        <v>90</v>
      </c>
      <c r="AQ330" s="42">
        <v>0.8</v>
      </c>
      <c r="AR330" s="1">
        <v>50</v>
      </c>
      <c r="AS330" s="1">
        <v>24</v>
      </c>
      <c r="AT330" s="1">
        <v>1</v>
      </c>
      <c r="AU330" s="4">
        <f t="shared" si="166"/>
        <v>8.3333333333333339</v>
      </c>
      <c r="AV330" s="3">
        <f t="shared" ref="AV330:AV341" si="187">ROUND((P330/1000000)*AU330*10000,2)</f>
        <v>0.25</v>
      </c>
      <c r="AW330" s="1">
        <v>90</v>
      </c>
      <c r="AX330" s="3">
        <f t="shared" si="183"/>
        <v>7.5</v>
      </c>
      <c r="AY330" s="1">
        <v>1</v>
      </c>
      <c r="AZ330" s="4">
        <f t="shared" ref="AZ330" si="188">IFERROR(AX330*AY330,0)</f>
        <v>7.5</v>
      </c>
      <c r="BA330" s="49">
        <v>0.89</v>
      </c>
      <c r="BB330" s="4">
        <f t="shared" si="167"/>
        <v>6.6749999999999998</v>
      </c>
      <c r="BC330" s="50">
        <v>0.89900000000000002</v>
      </c>
      <c r="BD330" s="69">
        <f>IFERROR(
  MAX(0.05, MIN(0.5, CropNorms_SugarBeet[[#This Row],[Leaf_Area_Per_Shoot_m2]] * CropNorms_SugarBeet[[#This Row],[Shoot_Bearing_m2]] )),
  0.2
)</f>
        <v>0.5</v>
      </c>
      <c r="BE330" s="4">
        <f>_xlfn.XLOOKUP(CropNorms_SugarBeet[[#This Row],[LAI_Start_BBCH]], CropPhenology_SugarBeet[Sub_Stage], CropPhenology_SugarBeet[Start_GDD], "Not Found")</f>
        <v>121</v>
      </c>
      <c r="BF330" s="3">
        <f>ROUND(CropNorms_SugarBeet[[#This Row],[Shoot_Bearing_m2]]*CropNorms_SugarBeet[[#This Row],[Leaf_Area_Per_Shoot_m2]],2)</f>
        <v>6</v>
      </c>
      <c r="BG330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0" s="3">
        <f>IF(CropNorms_SugarBeet[[#This Row],[Max_LAI]]&gt;=1.2, 0.85*CropNorms_SugarBeet[[#This Row],[Max_LAI]], 1)</f>
        <v>5.0999999999999996</v>
      </c>
      <c r="BI330" s="41">
        <f>_xlfn.XLOOKUP(CropNorms_SugarBeet[[#This Row],[LAI_End_BBCH]], CropPhenology_SugarBeet[Sub_Stage], CropPhenology_SugarBeet[End_GDD], "Not Found")</f>
        <v>2780</v>
      </c>
      <c r="BJ330" s="3" cm="1">
        <f t="array" ref="BJ330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0" s="3" cm="1">
        <f t="array" ref="BK33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0" s="3" cm="1">
        <f t="array" ref="BL330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0" s="3" cm="1">
        <f t="array" ref="BM33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0" s="42">
        <v>0.55000000000000004</v>
      </c>
      <c r="BO330" s="43">
        <v>0.85</v>
      </c>
      <c r="BP330" s="42">
        <v>50.47</v>
      </c>
      <c r="BQ330" s="43" t="s">
        <v>1792</v>
      </c>
      <c r="BR330" s="3" t="str" cm="1">
        <f t="array" ref="BR33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0" s="3" t="str" cm="1">
        <f t="array" ref="BS33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0" s="3" t="str" cm="1">
        <f t="array" ref="BT330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0" s="3" t="str" cm="1">
        <f t="array" ref="BU330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0" s="48">
        <v>90</v>
      </c>
      <c r="BW330" s="1">
        <v>45</v>
      </c>
      <c r="BX330" s="44">
        <v>75</v>
      </c>
      <c r="BY330" s="51">
        <v>45931</v>
      </c>
      <c r="BZ330" s="5">
        <v>45976</v>
      </c>
      <c r="CA330" s="85">
        <v>0</v>
      </c>
      <c r="CB330" s="2">
        <v>0</v>
      </c>
      <c r="CC330" s="2">
        <v>1</v>
      </c>
      <c r="CD330" s="2">
        <v>1</v>
      </c>
      <c r="CE330" s="2">
        <v>1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P330" s="9"/>
      <c r="CQ330" s="10"/>
    </row>
    <row r="331" spans="2:95" x14ac:dyDescent="0.15">
      <c r="B331" s="36" t="s">
        <v>285</v>
      </c>
      <c r="C331" s="1" t="s">
        <v>287</v>
      </c>
      <c r="K331" s="1" t="s">
        <v>1770</v>
      </c>
      <c r="L331" s="1" t="s">
        <v>1750</v>
      </c>
      <c r="M331" s="1" t="s">
        <v>358</v>
      </c>
      <c r="N331" s="6">
        <v>10.5</v>
      </c>
      <c r="O331" s="1" t="s">
        <v>4</v>
      </c>
      <c r="P331" s="1">
        <v>3</v>
      </c>
      <c r="Q331" s="1">
        <v>4</v>
      </c>
      <c r="R331" s="1">
        <v>2</v>
      </c>
      <c r="S331" s="1">
        <v>22</v>
      </c>
      <c r="T331" s="1">
        <v>30</v>
      </c>
      <c r="U331" s="253">
        <v>8</v>
      </c>
      <c r="V331" s="1">
        <v>150</v>
      </c>
      <c r="W331" s="44">
        <v>210</v>
      </c>
      <c r="X331" s="40">
        <f>_xlfn.XLOOKUP("Ripening", CropPhenology_SugarBeet[Main_Stage], CropPhenology_SugarBeet[Start_GDD], "Not Found")</f>
        <v>2781</v>
      </c>
      <c r="Y331" s="4" cm="1">
        <f t="array" ref="Y33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1" s="3">
        <f t="shared" si="185"/>
        <v>17.154761904761905</v>
      </c>
      <c r="AA331" s="41">
        <f t="shared" si="186"/>
        <v>184.20541290770299</v>
      </c>
      <c r="AB331" s="1">
        <v>7</v>
      </c>
      <c r="AC331" s="1">
        <v>10</v>
      </c>
      <c r="AD331" s="1">
        <v>4</v>
      </c>
      <c r="AE331" s="1">
        <v>85</v>
      </c>
      <c r="AF331" s="1">
        <v>5</v>
      </c>
      <c r="AG331" s="1">
        <v>4</v>
      </c>
      <c r="AH331" s="3">
        <f t="shared" si="174"/>
        <v>2.0574856841470766</v>
      </c>
      <c r="AI331" s="1">
        <v>6.5</v>
      </c>
      <c r="AJ331" s="1">
        <v>7.5</v>
      </c>
      <c r="AK331" s="159">
        <v>7</v>
      </c>
      <c r="AL331" s="150">
        <v>5.8999999999999997E-2</v>
      </c>
      <c r="AM331" s="1">
        <v>450</v>
      </c>
      <c r="AN331" s="1">
        <v>600</v>
      </c>
      <c r="AO331" s="48">
        <v>3</v>
      </c>
      <c r="AP331" s="44">
        <v>90</v>
      </c>
      <c r="AQ331" s="42">
        <v>0.82</v>
      </c>
      <c r="AR331" s="1">
        <v>50</v>
      </c>
      <c r="AS331" s="1">
        <v>24</v>
      </c>
      <c r="AT331" s="1">
        <v>1</v>
      </c>
      <c r="AU331" s="4">
        <f t="shared" si="166"/>
        <v>8.3333333333333339</v>
      </c>
      <c r="AV331" s="3">
        <f t="shared" si="187"/>
        <v>0.25</v>
      </c>
      <c r="AW331" s="1">
        <v>90</v>
      </c>
      <c r="AX331" s="3">
        <f t="shared" ref="AX331:AX341" si="189">IFERROR((AU331*AW331/100),0)</f>
        <v>7.5</v>
      </c>
      <c r="AY331" s="1">
        <v>1</v>
      </c>
      <c r="AZ331" s="4">
        <f t="shared" ref="AZ331:AZ341" si="190">IFERROR(AX331*AY331,0)</f>
        <v>7.5</v>
      </c>
      <c r="BA331" s="49">
        <v>0.89</v>
      </c>
      <c r="BB331" s="4">
        <f t="shared" si="167"/>
        <v>6.6749999999999998</v>
      </c>
      <c r="BC331" s="50">
        <v>0.89900000000000002</v>
      </c>
      <c r="BD331" s="69">
        <f>IFERROR(
  MAX(0.05, MIN(0.5, CropNorms_SugarBeet[[#This Row],[Leaf_Area_Per_Shoot_m2]] * CropNorms_SugarBeet[[#This Row],[Shoot_Bearing_m2]] )),
  0.2
)</f>
        <v>0.5</v>
      </c>
      <c r="BE331" s="4">
        <f>_xlfn.XLOOKUP(CropNorms_SugarBeet[[#This Row],[LAI_Start_BBCH]], CropPhenology_SugarBeet[Sub_Stage], CropPhenology_SugarBeet[Start_GDD], "Not Found")</f>
        <v>121</v>
      </c>
      <c r="BF331" s="3">
        <f>ROUND(CropNorms_SugarBeet[[#This Row],[Shoot_Bearing_m2]]*CropNorms_SugarBeet[[#This Row],[Leaf_Area_Per_Shoot_m2]],2)</f>
        <v>6</v>
      </c>
      <c r="BG331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1" s="3">
        <f>IF(CropNorms_SugarBeet[[#This Row],[Max_LAI]]&gt;=1.2, 0.85*CropNorms_SugarBeet[[#This Row],[Max_LAI]], 1)</f>
        <v>5.0999999999999996</v>
      </c>
      <c r="BI331" s="41">
        <f>_xlfn.XLOOKUP(CropNorms_SugarBeet[[#This Row],[LAI_End_BBCH]], CropPhenology_SugarBeet[Sub_Stage], CropPhenology_SugarBeet[End_GDD], "Not Found")</f>
        <v>2780</v>
      </c>
      <c r="BJ331" s="3" cm="1">
        <f t="array" ref="BJ33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1" s="3" cm="1">
        <f t="array" ref="BK33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1" s="3" cm="1">
        <f t="array" ref="BL33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1" s="3" cm="1">
        <f t="array" ref="BM33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1" s="42">
        <v>0.55000000000000004</v>
      </c>
      <c r="BO331" s="43">
        <v>0.85</v>
      </c>
      <c r="BP331" s="42">
        <v>50.47</v>
      </c>
      <c r="BQ331" s="43" t="s">
        <v>1792</v>
      </c>
      <c r="BR331" s="3" t="str" cm="1">
        <f t="array" ref="BR33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1" s="3" t="str" cm="1">
        <f t="array" ref="BS33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1" s="3" t="str" cm="1">
        <f t="array" ref="BT33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1" s="3" t="str" cm="1">
        <f t="array" ref="BU33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1" s="48">
        <v>90</v>
      </c>
      <c r="BW331" s="1">
        <v>45</v>
      </c>
      <c r="BX331" s="44">
        <v>75</v>
      </c>
      <c r="BY331" s="51">
        <v>45931</v>
      </c>
      <c r="BZ331" s="5">
        <v>45976</v>
      </c>
      <c r="CA331" s="85">
        <v>0</v>
      </c>
      <c r="CB331" s="2">
        <v>0</v>
      </c>
      <c r="CC331" s="2">
        <v>1</v>
      </c>
      <c r="CD331" s="2">
        <v>1</v>
      </c>
      <c r="CE331" s="2">
        <v>1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P331" s="9"/>
      <c r="CQ331" s="10"/>
    </row>
    <row r="332" spans="2:95" x14ac:dyDescent="0.15">
      <c r="B332" s="36" t="s">
        <v>285</v>
      </c>
      <c r="C332" s="1" t="s">
        <v>288</v>
      </c>
      <c r="K332" s="1" t="s">
        <v>1770</v>
      </c>
      <c r="L332" s="1" t="s">
        <v>1750</v>
      </c>
      <c r="M332" s="1" t="s">
        <v>358</v>
      </c>
      <c r="N332" s="6">
        <v>10.5</v>
      </c>
      <c r="O332" s="1" t="s">
        <v>4</v>
      </c>
      <c r="P332" s="1">
        <v>3</v>
      </c>
      <c r="Q332" s="1">
        <v>4</v>
      </c>
      <c r="R332" s="1">
        <v>2</v>
      </c>
      <c r="S332" s="1">
        <v>22</v>
      </c>
      <c r="T332" s="1">
        <v>30</v>
      </c>
      <c r="U332" s="253">
        <v>8</v>
      </c>
      <c r="V332" s="1">
        <v>150</v>
      </c>
      <c r="W332" s="44">
        <v>210</v>
      </c>
      <c r="X332" s="40">
        <f>_xlfn.XLOOKUP("Ripening", CropPhenology_SugarBeet[Main_Stage], CropPhenology_SugarBeet[Start_GDD], "Not Found")</f>
        <v>2781</v>
      </c>
      <c r="Y332" s="4" cm="1">
        <f t="array" ref="Y332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2" s="3">
        <f t="shared" si="185"/>
        <v>17.154761904761905</v>
      </c>
      <c r="AA332" s="41">
        <f t="shared" si="186"/>
        <v>184.20541290770299</v>
      </c>
      <c r="AB332" s="1">
        <v>7</v>
      </c>
      <c r="AC332" s="1">
        <v>10</v>
      </c>
      <c r="AD332" s="1">
        <v>4</v>
      </c>
      <c r="AE332" s="1">
        <v>85</v>
      </c>
      <c r="AF332" s="1">
        <v>5</v>
      </c>
      <c r="AG332" s="1">
        <v>4</v>
      </c>
      <c r="AH332" s="3">
        <f t="shared" si="174"/>
        <v>2.0574856841470766</v>
      </c>
      <c r="AI332" s="1">
        <v>6.5</v>
      </c>
      <c r="AJ332" s="1">
        <v>7.5</v>
      </c>
      <c r="AK332" s="159">
        <v>7</v>
      </c>
      <c r="AL332" s="150">
        <v>5.8999999999999997E-2</v>
      </c>
      <c r="AM332" s="1">
        <v>450</v>
      </c>
      <c r="AN332" s="1">
        <v>600</v>
      </c>
      <c r="AO332" s="48">
        <v>3</v>
      </c>
      <c r="AP332" s="44">
        <v>90</v>
      </c>
      <c r="AQ332" s="42">
        <v>0.78</v>
      </c>
      <c r="AR332" s="1">
        <v>50</v>
      </c>
      <c r="AS332" s="1">
        <v>24</v>
      </c>
      <c r="AT332" s="1">
        <v>1</v>
      </c>
      <c r="AU332" s="4">
        <f t="shared" si="166"/>
        <v>8.3333333333333339</v>
      </c>
      <c r="AV332" s="3">
        <f t="shared" si="187"/>
        <v>0.25</v>
      </c>
      <c r="AW332" s="1">
        <v>90</v>
      </c>
      <c r="AX332" s="3">
        <f t="shared" si="189"/>
        <v>7.5</v>
      </c>
      <c r="AY332" s="1">
        <v>1</v>
      </c>
      <c r="AZ332" s="4">
        <f t="shared" si="190"/>
        <v>7.5</v>
      </c>
      <c r="BA332" s="49">
        <v>0.89</v>
      </c>
      <c r="BB332" s="4">
        <f t="shared" si="167"/>
        <v>6.6749999999999998</v>
      </c>
      <c r="BC332" s="50">
        <v>0.89900000000000002</v>
      </c>
      <c r="BD332" s="69">
        <f>IFERROR(
  MAX(0.05, MIN(0.5, CropNorms_SugarBeet[[#This Row],[Leaf_Area_Per_Shoot_m2]] * CropNorms_SugarBeet[[#This Row],[Shoot_Bearing_m2]] )),
  0.2
)</f>
        <v>0.5</v>
      </c>
      <c r="BE332" s="4">
        <f>_xlfn.XLOOKUP(CropNorms_SugarBeet[[#This Row],[LAI_Start_BBCH]], CropPhenology_SugarBeet[Sub_Stage], CropPhenology_SugarBeet[Start_GDD], "Not Found")</f>
        <v>121</v>
      </c>
      <c r="BF332" s="3">
        <f>ROUND(CropNorms_SugarBeet[[#This Row],[Shoot_Bearing_m2]]*CropNorms_SugarBeet[[#This Row],[Leaf_Area_Per_Shoot_m2]],2)</f>
        <v>6</v>
      </c>
      <c r="BG332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2" s="3">
        <f>IF(CropNorms_SugarBeet[[#This Row],[Max_LAI]]&gt;=1.2, 0.85*CropNorms_SugarBeet[[#This Row],[Max_LAI]], 1)</f>
        <v>5.0999999999999996</v>
      </c>
      <c r="BI332" s="41">
        <f>_xlfn.XLOOKUP(CropNorms_SugarBeet[[#This Row],[LAI_End_BBCH]], CropPhenology_SugarBeet[Sub_Stage], CropPhenology_SugarBeet[End_GDD], "Not Found")</f>
        <v>2780</v>
      </c>
      <c r="BJ332" s="3" cm="1">
        <f t="array" ref="BJ332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2" s="3" cm="1">
        <f t="array" ref="BK332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2" s="3" cm="1">
        <f t="array" ref="BL332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2" s="3" cm="1">
        <f t="array" ref="BM332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2" s="42">
        <v>0.55000000000000004</v>
      </c>
      <c r="BO332" s="43">
        <v>0.85</v>
      </c>
      <c r="BP332" s="42">
        <v>50.47</v>
      </c>
      <c r="BQ332" s="43" t="s">
        <v>1792</v>
      </c>
      <c r="BR332" s="3" t="str" cm="1">
        <f t="array" ref="BR332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2" s="3" t="str" cm="1">
        <f t="array" ref="BS332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2" s="3" t="str" cm="1">
        <f t="array" ref="BT332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2" s="3" t="str" cm="1">
        <f t="array" ref="BU332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2" s="48">
        <v>90</v>
      </c>
      <c r="BW332" s="1">
        <v>45</v>
      </c>
      <c r="BX332" s="44">
        <v>75</v>
      </c>
      <c r="BY332" s="51">
        <v>45931</v>
      </c>
      <c r="BZ332" s="5">
        <v>45976</v>
      </c>
      <c r="CA332" s="85">
        <v>0</v>
      </c>
      <c r="CB332" s="2">
        <v>0</v>
      </c>
      <c r="CC332" s="2">
        <v>1</v>
      </c>
      <c r="CD332" s="2">
        <v>1</v>
      </c>
      <c r="CE332" s="2">
        <v>1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P332" s="9"/>
      <c r="CQ332" s="10"/>
    </row>
    <row r="333" spans="2:95" x14ac:dyDescent="0.15">
      <c r="B333" s="36" t="s">
        <v>285</v>
      </c>
      <c r="C333" s="1" t="s">
        <v>289</v>
      </c>
      <c r="K333" s="1" t="s">
        <v>1770</v>
      </c>
      <c r="L333" s="1" t="s">
        <v>1750</v>
      </c>
      <c r="M333" s="1" t="s">
        <v>358</v>
      </c>
      <c r="N333" s="6">
        <v>10.5</v>
      </c>
      <c r="O333" s="1" t="s">
        <v>4</v>
      </c>
      <c r="P333" s="1">
        <v>3</v>
      </c>
      <c r="Q333" s="1">
        <v>4</v>
      </c>
      <c r="R333" s="1">
        <v>2</v>
      </c>
      <c r="S333" s="1">
        <v>22</v>
      </c>
      <c r="T333" s="1">
        <v>30</v>
      </c>
      <c r="U333" s="253">
        <v>8</v>
      </c>
      <c r="V333" s="1">
        <v>150</v>
      </c>
      <c r="W333" s="44">
        <v>210</v>
      </c>
      <c r="X333" s="40">
        <f>_xlfn.XLOOKUP("Ripening", CropPhenology_SugarBeet[Main_Stage], CropPhenology_SugarBeet[Start_GDD], "Not Found")</f>
        <v>2781</v>
      </c>
      <c r="Y333" s="4" cm="1">
        <f t="array" ref="Y333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3" s="3">
        <f t="shared" si="185"/>
        <v>17.154761904761905</v>
      </c>
      <c r="AA333" s="41">
        <f t="shared" si="186"/>
        <v>184.20541290770299</v>
      </c>
      <c r="AB333" s="1">
        <v>7</v>
      </c>
      <c r="AC333" s="1">
        <v>10</v>
      </c>
      <c r="AD333" s="1">
        <v>4</v>
      </c>
      <c r="AE333" s="1">
        <v>85</v>
      </c>
      <c r="AF333" s="1">
        <v>5</v>
      </c>
      <c r="AG333" s="1">
        <v>4</v>
      </c>
      <c r="AH333" s="3">
        <f t="shared" si="174"/>
        <v>2.0574856841470766</v>
      </c>
      <c r="AI333" s="1">
        <v>6.5</v>
      </c>
      <c r="AJ333" s="1">
        <v>7.5</v>
      </c>
      <c r="AK333" s="159">
        <v>7</v>
      </c>
      <c r="AL333" s="150">
        <v>5.8999999999999997E-2</v>
      </c>
      <c r="AM333" s="1">
        <v>450</v>
      </c>
      <c r="AN333" s="1">
        <v>600</v>
      </c>
      <c r="AO333" s="48">
        <v>3</v>
      </c>
      <c r="AP333" s="44">
        <v>90</v>
      </c>
      <c r="AQ333" s="42">
        <v>0.83</v>
      </c>
      <c r="AR333" s="1">
        <v>50</v>
      </c>
      <c r="AS333" s="1">
        <v>24</v>
      </c>
      <c r="AT333" s="1">
        <v>1</v>
      </c>
      <c r="AU333" s="4">
        <f t="shared" si="166"/>
        <v>8.3333333333333339</v>
      </c>
      <c r="AV333" s="3">
        <f t="shared" si="187"/>
        <v>0.25</v>
      </c>
      <c r="AW333" s="1">
        <v>90</v>
      </c>
      <c r="AX333" s="3">
        <f t="shared" si="189"/>
        <v>7.5</v>
      </c>
      <c r="AY333" s="1">
        <v>1</v>
      </c>
      <c r="AZ333" s="4">
        <f t="shared" si="190"/>
        <v>7.5</v>
      </c>
      <c r="BA333" s="49">
        <v>0.89</v>
      </c>
      <c r="BB333" s="4">
        <f t="shared" si="167"/>
        <v>6.6749999999999998</v>
      </c>
      <c r="BC333" s="50">
        <v>0.89900000000000002</v>
      </c>
      <c r="BD333" s="69">
        <f>IFERROR(
  MAX(0.05, MIN(0.5, CropNorms_SugarBeet[[#This Row],[Leaf_Area_Per_Shoot_m2]] * CropNorms_SugarBeet[[#This Row],[Shoot_Bearing_m2]] )),
  0.2
)</f>
        <v>0.5</v>
      </c>
      <c r="BE333" s="4">
        <f>_xlfn.XLOOKUP(CropNorms_SugarBeet[[#This Row],[LAI_Start_BBCH]], CropPhenology_SugarBeet[Sub_Stage], CropPhenology_SugarBeet[Start_GDD], "Not Found")</f>
        <v>121</v>
      </c>
      <c r="BF333" s="3">
        <f>ROUND(CropNorms_SugarBeet[[#This Row],[Shoot_Bearing_m2]]*CropNorms_SugarBeet[[#This Row],[Leaf_Area_Per_Shoot_m2]],2)</f>
        <v>6</v>
      </c>
      <c r="BG333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3" s="3">
        <f>IF(CropNorms_SugarBeet[[#This Row],[Max_LAI]]&gt;=1.2, 0.85*CropNorms_SugarBeet[[#This Row],[Max_LAI]], 1)</f>
        <v>5.0999999999999996</v>
      </c>
      <c r="BI333" s="41">
        <f>_xlfn.XLOOKUP(CropNorms_SugarBeet[[#This Row],[LAI_End_BBCH]], CropPhenology_SugarBeet[Sub_Stage], CropPhenology_SugarBeet[End_GDD], "Not Found")</f>
        <v>2780</v>
      </c>
      <c r="BJ333" s="3" cm="1">
        <f t="array" ref="BJ333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3" s="3" cm="1">
        <f t="array" ref="BK333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3" s="3" cm="1">
        <f t="array" ref="BL333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3" s="3" cm="1">
        <f t="array" ref="BM333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3" s="42">
        <v>0.55000000000000004</v>
      </c>
      <c r="BO333" s="43">
        <v>0.85</v>
      </c>
      <c r="BP333" s="42">
        <v>50.47</v>
      </c>
      <c r="BQ333" s="43" t="s">
        <v>1792</v>
      </c>
      <c r="BR333" s="3" t="str" cm="1">
        <f t="array" ref="BR333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3" s="3" t="str" cm="1">
        <f t="array" ref="BS333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3" s="3" t="str" cm="1">
        <f t="array" ref="BT333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3" s="3" t="str" cm="1">
        <f t="array" ref="BU333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3" s="48">
        <v>90</v>
      </c>
      <c r="BW333" s="1">
        <v>45</v>
      </c>
      <c r="BX333" s="44">
        <v>75</v>
      </c>
      <c r="BY333" s="51">
        <v>45931</v>
      </c>
      <c r="BZ333" s="5">
        <v>45976</v>
      </c>
      <c r="CA333" s="85">
        <v>0</v>
      </c>
      <c r="CB333" s="2">
        <v>0</v>
      </c>
      <c r="CC333" s="2">
        <v>1</v>
      </c>
      <c r="CD333" s="2">
        <v>1</v>
      </c>
      <c r="CE333" s="2">
        <v>1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P333" s="9"/>
      <c r="CQ333" s="10"/>
    </row>
    <row r="334" spans="2:95" x14ac:dyDescent="0.15">
      <c r="B334" s="36" t="s">
        <v>285</v>
      </c>
      <c r="C334" s="1" t="s">
        <v>290</v>
      </c>
      <c r="K334" s="1" t="s">
        <v>1770</v>
      </c>
      <c r="L334" s="1" t="s">
        <v>1750</v>
      </c>
      <c r="M334" s="1" t="s">
        <v>358</v>
      </c>
      <c r="N334" s="6">
        <v>10.5</v>
      </c>
      <c r="O334" s="1" t="s">
        <v>4</v>
      </c>
      <c r="P334" s="1">
        <v>3</v>
      </c>
      <c r="Q334" s="1">
        <v>4</v>
      </c>
      <c r="R334" s="1">
        <v>2</v>
      </c>
      <c r="S334" s="1">
        <v>22</v>
      </c>
      <c r="T334" s="1">
        <v>30</v>
      </c>
      <c r="U334" s="253">
        <v>8</v>
      </c>
      <c r="V334" s="1">
        <v>150</v>
      </c>
      <c r="W334" s="44">
        <v>210</v>
      </c>
      <c r="X334" s="40">
        <f>_xlfn.XLOOKUP("Ripening", CropPhenology_SugarBeet[Main_Stage], CropPhenology_SugarBeet[Start_GDD], "Not Found")</f>
        <v>2781</v>
      </c>
      <c r="Y334" s="4" cm="1">
        <f t="array" ref="Y334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4" s="3">
        <f t="shared" si="185"/>
        <v>17.154761904761905</v>
      </c>
      <c r="AA334" s="41">
        <f t="shared" si="186"/>
        <v>184.20541290770299</v>
      </c>
      <c r="AB334" s="1">
        <v>7</v>
      </c>
      <c r="AC334" s="1">
        <v>10</v>
      </c>
      <c r="AD334" s="1">
        <v>4</v>
      </c>
      <c r="AE334" s="1">
        <v>85</v>
      </c>
      <c r="AF334" s="1">
        <v>5</v>
      </c>
      <c r="AG334" s="1">
        <v>4</v>
      </c>
      <c r="AH334" s="3">
        <f t="shared" si="174"/>
        <v>2.0574856841470766</v>
      </c>
      <c r="AI334" s="1">
        <v>6.5</v>
      </c>
      <c r="AJ334" s="1">
        <v>7.5</v>
      </c>
      <c r="AK334" s="159">
        <v>7</v>
      </c>
      <c r="AL334" s="150">
        <v>5.8999999999999997E-2</v>
      </c>
      <c r="AM334" s="1">
        <v>450</v>
      </c>
      <c r="AN334" s="1">
        <v>600</v>
      </c>
      <c r="AO334" s="48">
        <v>3</v>
      </c>
      <c r="AP334" s="44">
        <v>90</v>
      </c>
      <c r="AQ334" s="42">
        <v>0.76</v>
      </c>
      <c r="AR334" s="1">
        <v>50</v>
      </c>
      <c r="AS334" s="1">
        <v>24</v>
      </c>
      <c r="AT334" s="1">
        <v>1</v>
      </c>
      <c r="AU334" s="4">
        <f t="shared" si="166"/>
        <v>8.3333333333333339</v>
      </c>
      <c r="AV334" s="3">
        <f t="shared" si="187"/>
        <v>0.25</v>
      </c>
      <c r="AW334" s="1">
        <v>90</v>
      </c>
      <c r="AX334" s="3">
        <f t="shared" si="189"/>
        <v>7.5</v>
      </c>
      <c r="AY334" s="1">
        <v>1</v>
      </c>
      <c r="AZ334" s="4">
        <f t="shared" si="190"/>
        <v>7.5</v>
      </c>
      <c r="BA334" s="49">
        <v>0.89</v>
      </c>
      <c r="BB334" s="4">
        <f t="shared" si="167"/>
        <v>6.6749999999999998</v>
      </c>
      <c r="BC334" s="50">
        <v>0.89900000000000002</v>
      </c>
      <c r="BD334" s="69">
        <f>IFERROR(
  MAX(0.05, MIN(0.5, CropNorms_SugarBeet[[#This Row],[Leaf_Area_Per_Shoot_m2]] * CropNorms_SugarBeet[[#This Row],[Shoot_Bearing_m2]] )),
  0.2
)</f>
        <v>0.5</v>
      </c>
      <c r="BE334" s="4">
        <f>_xlfn.XLOOKUP(CropNorms_SugarBeet[[#This Row],[LAI_Start_BBCH]], CropPhenology_SugarBeet[Sub_Stage], CropPhenology_SugarBeet[Start_GDD], "Not Found")</f>
        <v>121</v>
      </c>
      <c r="BF334" s="3">
        <f>ROUND(CropNorms_SugarBeet[[#This Row],[Shoot_Bearing_m2]]*CropNorms_SugarBeet[[#This Row],[Leaf_Area_Per_Shoot_m2]],2)</f>
        <v>6</v>
      </c>
      <c r="BG334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4" s="3">
        <f>IF(CropNorms_SugarBeet[[#This Row],[Max_LAI]]&gt;=1.2, 0.85*CropNorms_SugarBeet[[#This Row],[Max_LAI]], 1)</f>
        <v>5.0999999999999996</v>
      </c>
      <c r="BI334" s="41">
        <f>_xlfn.XLOOKUP(CropNorms_SugarBeet[[#This Row],[LAI_End_BBCH]], CropPhenology_SugarBeet[Sub_Stage], CropPhenology_SugarBeet[End_GDD], "Not Found")</f>
        <v>2780</v>
      </c>
      <c r="BJ334" s="3" cm="1">
        <f t="array" ref="BJ334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4" s="3" cm="1">
        <f t="array" ref="BK334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4" s="3" cm="1">
        <f t="array" ref="BL334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4" s="3" cm="1">
        <f t="array" ref="BM334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4" s="42">
        <v>0.55000000000000004</v>
      </c>
      <c r="BO334" s="43">
        <v>0.85</v>
      </c>
      <c r="BP334" s="42">
        <v>50.47</v>
      </c>
      <c r="BQ334" s="43" t="s">
        <v>1792</v>
      </c>
      <c r="BR334" s="3" t="str" cm="1">
        <f t="array" ref="BR334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4" s="3" t="str" cm="1">
        <f t="array" ref="BS334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4" s="3" t="str" cm="1">
        <f t="array" ref="BT334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4" s="3" t="str" cm="1">
        <f t="array" ref="BU334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4" s="48">
        <v>90</v>
      </c>
      <c r="BW334" s="1">
        <v>45</v>
      </c>
      <c r="BX334" s="44">
        <v>75</v>
      </c>
      <c r="BY334" s="51">
        <v>45931</v>
      </c>
      <c r="BZ334" s="5">
        <v>45976</v>
      </c>
      <c r="CA334" s="85">
        <v>0</v>
      </c>
      <c r="CB334" s="2">
        <v>0</v>
      </c>
      <c r="CC334" s="2">
        <v>1</v>
      </c>
      <c r="CD334" s="2">
        <v>1</v>
      </c>
      <c r="CE334" s="2">
        <v>1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P334" s="9"/>
      <c r="CQ334" s="10"/>
    </row>
    <row r="335" spans="2:95" x14ac:dyDescent="0.15">
      <c r="B335" s="36" t="s">
        <v>285</v>
      </c>
      <c r="C335" s="1" t="s">
        <v>291</v>
      </c>
      <c r="K335" s="1" t="s">
        <v>1770</v>
      </c>
      <c r="L335" s="1" t="s">
        <v>1750</v>
      </c>
      <c r="M335" s="1" t="s">
        <v>358</v>
      </c>
      <c r="N335" s="6">
        <v>10.5</v>
      </c>
      <c r="O335" s="1" t="s">
        <v>4</v>
      </c>
      <c r="P335" s="1">
        <v>3</v>
      </c>
      <c r="Q335" s="1">
        <v>4</v>
      </c>
      <c r="R335" s="1">
        <v>2</v>
      </c>
      <c r="S335" s="1">
        <v>22</v>
      </c>
      <c r="T335" s="1">
        <v>30</v>
      </c>
      <c r="U335" s="253">
        <v>8</v>
      </c>
      <c r="V335" s="1">
        <v>150</v>
      </c>
      <c r="W335" s="44">
        <v>210</v>
      </c>
      <c r="X335" s="40">
        <f>_xlfn.XLOOKUP("Ripening", CropPhenology_SugarBeet[Main_Stage], CropPhenology_SugarBeet[Start_GDD], "Not Found")</f>
        <v>2781</v>
      </c>
      <c r="Y335" s="4" cm="1">
        <f t="array" ref="Y335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5" s="3">
        <f t="shared" si="185"/>
        <v>17.154761904761905</v>
      </c>
      <c r="AA335" s="41">
        <f t="shared" si="186"/>
        <v>184.20541290770299</v>
      </c>
      <c r="AB335" s="1">
        <v>7</v>
      </c>
      <c r="AC335" s="1">
        <v>10</v>
      </c>
      <c r="AD335" s="1">
        <v>4</v>
      </c>
      <c r="AE335" s="1">
        <v>85</v>
      </c>
      <c r="AF335" s="1">
        <v>5</v>
      </c>
      <c r="AG335" s="1">
        <v>4</v>
      </c>
      <c r="AH335" s="3">
        <f t="shared" si="174"/>
        <v>2.0574856841470766</v>
      </c>
      <c r="AI335" s="1">
        <v>6.5</v>
      </c>
      <c r="AJ335" s="1">
        <v>7.5</v>
      </c>
      <c r="AK335" s="159">
        <v>7</v>
      </c>
      <c r="AL335" s="150">
        <v>5.8999999999999997E-2</v>
      </c>
      <c r="AM335" s="1">
        <v>450</v>
      </c>
      <c r="AN335" s="1">
        <v>600</v>
      </c>
      <c r="AO335" s="48">
        <v>3</v>
      </c>
      <c r="AP335" s="44">
        <v>90</v>
      </c>
      <c r="AQ335" s="42">
        <v>0.8</v>
      </c>
      <c r="AR335" s="1">
        <v>50</v>
      </c>
      <c r="AS335" s="1">
        <v>24</v>
      </c>
      <c r="AT335" s="1">
        <v>1</v>
      </c>
      <c r="AU335" s="4">
        <f t="shared" si="166"/>
        <v>8.3333333333333339</v>
      </c>
      <c r="AV335" s="3">
        <f t="shared" si="187"/>
        <v>0.25</v>
      </c>
      <c r="AW335" s="1">
        <v>90</v>
      </c>
      <c r="AX335" s="3">
        <f t="shared" si="189"/>
        <v>7.5</v>
      </c>
      <c r="AY335" s="1">
        <v>1</v>
      </c>
      <c r="AZ335" s="4">
        <f t="shared" si="190"/>
        <v>7.5</v>
      </c>
      <c r="BA335" s="49">
        <v>0.89</v>
      </c>
      <c r="BB335" s="4">
        <f t="shared" si="167"/>
        <v>6.6749999999999998</v>
      </c>
      <c r="BC335" s="50">
        <v>0.89900000000000002</v>
      </c>
      <c r="BD335" s="69">
        <f>IFERROR(
  MAX(0.05, MIN(0.5, CropNorms_SugarBeet[[#This Row],[Leaf_Area_Per_Shoot_m2]] * CropNorms_SugarBeet[[#This Row],[Shoot_Bearing_m2]] )),
  0.2
)</f>
        <v>0.5</v>
      </c>
      <c r="BE335" s="4">
        <f>_xlfn.XLOOKUP(CropNorms_SugarBeet[[#This Row],[LAI_Start_BBCH]], CropPhenology_SugarBeet[Sub_Stage], CropPhenology_SugarBeet[Start_GDD], "Not Found")</f>
        <v>121</v>
      </c>
      <c r="BF335" s="3">
        <f>ROUND(CropNorms_SugarBeet[[#This Row],[Shoot_Bearing_m2]]*CropNorms_SugarBeet[[#This Row],[Leaf_Area_Per_Shoot_m2]],2)</f>
        <v>6</v>
      </c>
      <c r="BG335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5" s="3">
        <f>IF(CropNorms_SugarBeet[[#This Row],[Max_LAI]]&gt;=1.2, 0.85*CropNorms_SugarBeet[[#This Row],[Max_LAI]], 1)</f>
        <v>5.0999999999999996</v>
      </c>
      <c r="BI335" s="41">
        <f>_xlfn.XLOOKUP(CropNorms_SugarBeet[[#This Row],[LAI_End_BBCH]], CropPhenology_SugarBeet[Sub_Stage], CropPhenology_SugarBeet[End_GDD], "Not Found")</f>
        <v>2780</v>
      </c>
      <c r="BJ335" s="3" cm="1">
        <f t="array" ref="BJ335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5" s="3" cm="1">
        <f t="array" ref="BK335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5" s="3" cm="1">
        <f t="array" ref="BL335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5" s="3" cm="1">
        <f t="array" ref="BM335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5" s="42">
        <v>0.55000000000000004</v>
      </c>
      <c r="BO335" s="43">
        <v>0.85</v>
      </c>
      <c r="BP335" s="42">
        <v>50.47</v>
      </c>
      <c r="BQ335" s="43" t="s">
        <v>1792</v>
      </c>
      <c r="BR335" s="3" t="str" cm="1">
        <f t="array" ref="BR335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5" s="3" t="str" cm="1">
        <f t="array" ref="BS335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5" s="3" t="str" cm="1">
        <f t="array" ref="BT335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5" s="3" t="str" cm="1">
        <f t="array" ref="BU335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5" s="48">
        <v>90</v>
      </c>
      <c r="BW335" s="1">
        <v>45</v>
      </c>
      <c r="BX335" s="44">
        <v>75</v>
      </c>
      <c r="BY335" s="51">
        <v>45931</v>
      </c>
      <c r="BZ335" s="5">
        <v>45976</v>
      </c>
      <c r="CA335" s="85">
        <v>0</v>
      </c>
      <c r="CB335" s="2">
        <v>0</v>
      </c>
      <c r="CC335" s="2">
        <v>1</v>
      </c>
      <c r="CD335" s="2">
        <v>1</v>
      </c>
      <c r="CE335" s="2">
        <v>1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P335" s="9"/>
      <c r="CQ335" s="10"/>
    </row>
    <row r="336" spans="2:95" x14ac:dyDescent="0.15">
      <c r="B336" s="36" t="s">
        <v>285</v>
      </c>
      <c r="C336" s="1" t="s">
        <v>292</v>
      </c>
      <c r="K336" s="1" t="s">
        <v>1770</v>
      </c>
      <c r="L336" s="1" t="s">
        <v>1750</v>
      </c>
      <c r="M336" s="1" t="s">
        <v>358</v>
      </c>
      <c r="N336" s="6">
        <v>10.5</v>
      </c>
      <c r="O336" s="1" t="s">
        <v>4</v>
      </c>
      <c r="P336" s="1">
        <v>3</v>
      </c>
      <c r="Q336" s="1">
        <v>4</v>
      </c>
      <c r="R336" s="1">
        <v>2</v>
      </c>
      <c r="S336" s="1">
        <v>22</v>
      </c>
      <c r="T336" s="1">
        <v>30</v>
      </c>
      <c r="U336" s="253">
        <v>8</v>
      </c>
      <c r="V336" s="1">
        <v>150</v>
      </c>
      <c r="W336" s="44">
        <v>210</v>
      </c>
      <c r="X336" s="40">
        <f>_xlfn.XLOOKUP("Ripening", CropPhenology_SugarBeet[Main_Stage], CropPhenology_SugarBeet[Start_GDD], "Not Found")</f>
        <v>2781</v>
      </c>
      <c r="Y336" s="4" cm="1">
        <f t="array" ref="Y336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6" s="3">
        <f t="shared" si="185"/>
        <v>17.154761904761905</v>
      </c>
      <c r="AA336" s="41">
        <f t="shared" si="186"/>
        <v>184.20541290770299</v>
      </c>
      <c r="AB336" s="1">
        <v>7</v>
      </c>
      <c r="AC336" s="1">
        <v>10</v>
      </c>
      <c r="AD336" s="1">
        <v>4</v>
      </c>
      <c r="AE336" s="1">
        <v>85</v>
      </c>
      <c r="AF336" s="1">
        <v>5</v>
      </c>
      <c r="AG336" s="1">
        <v>4</v>
      </c>
      <c r="AH336" s="3">
        <f t="shared" si="174"/>
        <v>2.0574856841470766</v>
      </c>
      <c r="AI336" s="1">
        <v>6.5</v>
      </c>
      <c r="AJ336" s="1">
        <v>7.5</v>
      </c>
      <c r="AK336" s="159">
        <v>7</v>
      </c>
      <c r="AL336" s="150">
        <v>5.8999999999999997E-2</v>
      </c>
      <c r="AM336" s="1">
        <v>450</v>
      </c>
      <c r="AN336" s="1">
        <v>600</v>
      </c>
      <c r="AO336" s="48">
        <v>3</v>
      </c>
      <c r="AP336" s="44">
        <v>90</v>
      </c>
      <c r="AQ336" s="42">
        <v>0.82</v>
      </c>
      <c r="AR336" s="1">
        <v>50</v>
      </c>
      <c r="AS336" s="1">
        <v>24</v>
      </c>
      <c r="AT336" s="1">
        <v>1</v>
      </c>
      <c r="AU336" s="4">
        <f t="shared" si="166"/>
        <v>8.3333333333333339</v>
      </c>
      <c r="AV336" s="3">
        <f t="shared" si="187"/>
        <v>0.25</v>
      </c>
      <c r="AW336" s="1">
        <v>90</v>
      </c>
      <c r="AX336" s="3">
        <f t="shared" si="189"/>
        <v>7.5</v>
      </c>
      <c r="AY336" s="1">
        <v>1</v>
      </c>
      <c r="AZ336" s="4">
        <f t="shared" si="190"/>
        <v>7.5</v>
      </c>
      <c r="BA336" s="49">
        <v>0.89</v>
      </c>
      <c r="BB336" s="4">
        <f t="shared" si="167"/>
        <v>6.6749999999999998</v>
      </c>
      <c r="BC336" s="50">
        <v>0.89900000000000002</v>
      </c>
      <c r="BD336" s="69">
        <f>IFERROR(
  MAX(0.05, MIN(0.5, CropNorms_SugarBeet[[#This Row],[Leaf_Area_Per_Shoot_m2]] * CropNorms_SugarBeet[[#This Row],[Shoot_Bearing_m2]] )),
  0.2
)</f>
        <v>0.5</v>
      </c>
      <c r="BE336" s="4">
        <f>_xlfn.XLOOKUP(CropNorms_SugarBeet[[#This Row],[LAI_Start_BBCH]], CropPhenology_SugarBeet[Sub_Stage], CropPhenology_SugarBeet[Start_GDD], "Not Found")</f>
        <v>121</v>
      </c>
      <c r="BF336" s="3">
        <f>ROUND(CropNorms_SugarBeet[[#This Row],[Shoot_Bearing_m2]]*CropNorms_SugarBeet[[#This Row],[Leaf_Area_Per_Shoot_m2]],2)</f>
        <v>6</v>
      </c>
      <c r="BG336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6" s="3">
        <f>IF(CropNorms_SugarBeet[[#This Row],[Max_LAI]]&gt;=1.2, 0.85*CropNorms_SugarBeet[[#This Row],[Max_LAI]], 1)</f>
        <v>5.0999999999999996</v>
      </c>
      <c r="BI336" s="41">
        <f>_xlfn.XLOOKUP(CropNorms_SugarBeet[[#This Row],[LAI_End_BBCH]], CropPhenology_SugarBeet[Sub_Stage], CropPhenology_SugarBeet[End_GDD], "Not Found")</f>
        <v>2780</v>
      </c>
      <c r="BJ336" s="3" cm="1">
        <f t="array" ref="BJ336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6" s="3" cm="1">
        <f t="array" ref="BK33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6" s="3" cm="1">
        <f t="array" ref="BL336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6" s="3" cm="1">
        <f t="array" ref="BM33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6" s="42">
        <v>0.55000000000000004</v>
      </c>
      <c r="BO336" s="43">
        <v>0.85</v>
      </c>
      <c r="BP336" s="42">
        <v>50.47</v>
      </c>
      <c r="BQ336" s="43" t="s">
        <v>1792</v>
      </c>
      <c r="BR336" s="3" t="str" cm="1">
        <f t="array" ref="BR33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6" s="3" t="str" cm="1">
        <f t="array" ref="BS33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6" s="3" t="str" cm="1">
        <f t="array" ref="BT336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6" s="3" t="str" cm="1">
        <f t="array" ref="BU336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6" s="48">
        <v>90</v>
      </c>
      <c r="BW336" s="1">
        <v>45</v>
      </c>
      <c r="BX336" s="44">
        <v>75</v>
      </c>
      <c r="BY336" s="51">
        <v>45931</v>
      </c>
      <c r="BZ336" s="5">
        <v>45976</v>
      </c>
      <c r="CA336" s="85">
        <v>0</v>
      </c>
      <c r="CB336" s="2">
        <v>0</v>
      </c>
      <c r="CC336" s="2">
        <v>1</v>
      </c>
      <c r="CD336" s="2">
        <v>1</v>
      </c>
      <c r="CE336" s="2">
        <v>1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P336" s="9"/>
      <c r="CQ336" s="10"/>
    </row>
    <row r="337" spans="2:95" x14ac:dyDescent="0.15">
      <c r="B337" s="36" t="s">
        <v>285</v>
      </c>
      <c r="C337" s="1" t="s">
        <v>293</v>
      </c>
      <c r="K337" s="1" t="s">
        <v>1770</v>
      </c>
      <c r="L337" s="1" t="s">
        <v>1750</v>
      </c>
      <c r="M337" s="1" t="s">
        <v>358</v>
      </c>
      <c r="N337" s="6">
        <v>10.5</v>
      </c>
      <c r="O337" s="1" t="s">
        <v>4</v>
      </c>
      <c r="P337" s="1">
        <v>3</v>
      </c>
      <c r="Q337" s="1">
        <v>4</v>
      </c>
      <c r="R337" s="1">
        <v>2</v>
      </c>
      <c r="S337" s="1">
        <v>22</v>
      </c>
      <c r="T337" s="1">
        <v>30</v>
      </c>
      <c r="U337" s="253">
        <v>8</v>
      </c>
      <c r="V337" s="1">
        <v>150</v>
      </c>
      <c r="W337" s="44">
        <v>210</v>
      </c>
      <c r="X337" s="40">
        <f>_xlfn.XLOOKUP("Ripening", CropPhenology_SugarBeet[Main_Stage], CropPhenology_SugarBeet[Start_GDD], "Not Found")</f>
        <v>2781</v>
      </c>
      <c r="Y337" s="4" cm="1">
        <f t="array" ref="Y337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7" s="3">
        <f t="shared" si="185"/>
        <v>17.154761904761905</v>
      </c>
      <c r="AA337" s="41">
        <f t="shared" si="186"/>
        <v>184.20541290770299</v>
      </c>
      <c r="AB337" s="1">
        <v>7</v>
      </c>
      <c r="AC337" s="1">
        <v>10</v>
      </c>
      <c r="AD337" s="1">
        <v>4</v>
      </c>
      <c r="AE337" s="1">
        <v>85</v>
      </c>
      <c r="AF337" s="1">
        <v>5</v>
      </c>
      <c r="AG337" s="1">
        <v>4</v>
      </c>
      <c r="AH337" s="3">
        <f t="shared" si="174"/>
        <v>2.0574856841470766</v>
      </c>
      <c r="AI337" s="1">
        <v>6.5</v>
      </c>
      <c r="AJ337" s="1">
        <v>7.5</v>
      </c>
      <c r="AK337" s="159">
        <v>7</v>
      </c>
      <c r="AL337" s="150">
        <v>5.8999999999999997E-2</v>
      </c>
      <c r="AM337" s="1">
        <v>450</v>
      </c>
      <c r="AN337" s="1">
        <v>600</v>
      </c>
      <c r="AO337" s="48">
        <v>3</v>
      </c>
      <c r="AP337" s="44">
        <v>90</v>
      </c>
      <c r="AQ337" s="42">
        <v>0.78</v>
      </c>
      <c r="AR337" s="1">
        <v>50</v>
      </c>
      <c r="AS337" s="1">
        <v>24</v>
      </c>
      <c r="AT337" s="1">
        <v>1</v>
      </c>
      <c r="AU337" s="4">
        <f t="shared" si="166"/>
        <v>8.3333333333333339</v>
      </c>
      <c r="AV337" s="3">
        <f t="shared" si="187"/>
        <v>0.25</v>
      </c>
      <c r="AW337" s="1">
        <v>90</v>
      </c>
      <c r="AX337" s="3">
        <f t="shared" si="189"/>
        <v>7.5</v>
      </c>
      <c r="AY337" s="1">
        <v>1</v>
      </c>
      <c r="AZ337" s="4">
        <f t="shared" si="190"/>
        <v>7.5</v>
      </c>
      <c r="BA337" s="49">
        <v>0.89</v>
      </c>
      <c r="BB337" s="4">
        <f t="shared" si="167"/>
        <v>6.6749999999999998</v>
      </c>
      <c r="BC337" s="50">
        <v>0.89900000000000002</v>
      </c>
      <c r="BD337" s="69">
        <f>IFERROR(
  MAX(0.05, MIN(0.5, CropNorms_SugarBeet[[#This Row],[Leaf_Area_Per_Shoot_m2]] * CropNorms_SugarBeet[[#This Row],[Shoot_Bearing_m2]] )),
  0.2
)</f>
        <v>0.5</v>
      </c>
      <c r="BE337" s="4">
        <f>_xlfn.XLOOKUP(CropNorms_SugarBeet[[#This Row],[LAI_Start_BBCH]], CropPhenology_SugarBeet[Sub_Stage], CropPhenology_SugarBeet[Start_GDD], "Not Found")</f>
        <v>121</v>
      </c>
      <c r="BF337" s="3">
        <f>ROUND(CropNorms_SugarBeet[[#This Row],[Shoot_Bearing_m2]]*CropNorms_SugarBeet[[#This Row],[Leaf_Area_Per_Shoot_m2]],2)</f>
        <v>6</v>
      </c>
      <c r="BG337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7" s="3">
        <f>IF(CropNorms_SugarBeet[[#This Row],[Max_LAI]]&gt;=1.2, 0.85*CropNorms_SugarBeet[[#This Row],[Max_LAI]], 1)</f>
        <v>5.0999999999999996</v>
      </c>
      <c r="BI337" s="41">
        <f>_xlfn.XLOOKUP(CropNorms_SugarBeet[[#This Row],[LAI_End_BBCH]], CropPhenology_SugarBeet[Sub_Stage], CropPhenology_SugarBeet[End_GDD], "Not Found")</f>
        <v>2780</v>
      </c>
      <c r="BJ337" s="3" cm="1">
        <f t="array" ref="BJ337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7" s="3" cm="1">
        <f t="array" ref="BK33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7" s="3" cm="1">
        <f t="array" ref="BL337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7" s="3" cm="1">
        <f t="array" ref="BM33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7" s="42">
        <v>0.55000000000000004</v>
      </c>
      <c r="BO337" s="43">
        <v>0.85</v>
      </c>
      <c r="BP337" s="42">
        <v>50.47</v>
      </c>
      <c r="BQ337" s="43" t="s">
        <v>1792</v>
      </c>
      <c r="BR337" s="3" t="str" cm="1">
        <f t="array" ref="BR33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7" s="3" t="str" cm="1">
        <f t="array" ref="BS33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7" s="3" t="str" cm="1">
        <f t="array" ref="BT337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7" s="3" t="str" cm="1">
        <f t="array" ref="BU337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7" s="48">
        <v>90</v>
      </c>
      <c r="BW337" s="1">
        <v>45</v>
      </c>
      <c r="BX337" s="44">
        <v>75</v>
      </c>
      <c r="BY337" s="51">
        <v>45931</v>
      </c>
      <c r="BZ337" s="5">
        <v>45976</v>
      </c>
      <c r="CA337" s="85">
        <v>0</v>
      </c>
      <c r="CB337" s="2">
        <v>0</v>
      </c>
      <c r="CC337" s="2">
        <v>1</v>
      </c>
      <c r="CD337" s="2">
        <v>1</v>
      </c>
      <c r="CE337" s="2">
        <v>1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P337" s="9"/>
      <c r="CQ337" s="10"/>
    </row>
    <row r="338" spans="2:95" x14ac:dyDescent="0.15">
      <c r="B338" s="36" t="s">
        <v>285</v>
      </c>
      <c r="C338" s="1" t="s">
        <v>294</v>
      </c>
      <c r="K338" s="1" t="s">
        <v>1770</v>
      </c>
      <c r="L338" s="1" t="s">
        <v>1750</v>
      </c>
      <c r="M338" s="1" t="s">
        <v>358</v>
      </c>
      <c r="N338" s="6">
        <v>10.5</v>
      </c>
      <c r="O338" s="1" t="s">
        <v>4</v>
      </c>
      <c r="P338" s="1">
        <v>3</v>
      </c>
      <c r="Q338" s="1">
        <v>4</v>
      </c>
      <c r="R338" s="1">
        <v>2</v>
      </c>
      <c r="S338" s="1">
        <v>22</v>
      </c>
      <c r="T338" s="1">
        <v>30</v>
      </c>
      <c r="U338" s="253">
        <v>8</v>
      </c>
      <c r="V338" s="1">
        <v>150</v>
      </c>
      <c r="W338" s="44">
        <v>210</v>
      </c>
      <c r="X338" s="40">
        <f>_xlfn.XLOOKUP("Ripening", CropPhenology_SugarBeet[Main_Stage], CropPhenology_SugarBeet[Start_GDD], "Not Found")</f>
        <v>2781</v>
      </c>
      <c r="Y338" s="4" cm="1">
        <f t="array" ref="Y338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8" s="3">
        <f t="shared" si="185"/>
        <v>17.154761904761905</v>
      </c>
      <c r="AA338" s="41">
        <f t="shared" si="186"/>
        <v>184.20541290770299</v>
      </c>
      <c r="AB338" s="1">
        <v>7</v>
      </c>
      <c r="AC338" s="1">
        <v>10</v>
      </c>
      <c r="AD338" s="1">
        <v>4</v>
      </c>
      <c r="AE338" s="1">
        <v>85</v>
      </c>
      <c r="AF338" s="1">
        <v>5</v>
      </c>
      <c r="AG338" s="1">
        <v>4</v>
      </c>
      <c r="AH338" s="3">
        <f t="shared" si="174"/>
        <v>2.0574856841470766</v>
      </c>
      <c r="AI338" s="1">
        <v>6.5</v>
      </c>
      <c r="AJ338" s="1">
        <v>7.5</v>
      </c>
      <c r="AK338" s="159">
        <v>7</v>
      </c>
      <c r="AL338" s="150">
        <v>5.8999999999999997E-2</v>
      </c>
      <c r="AM338" s="1">
        <v>450</v>
      </c>
      <c r="AN338" s="1">
        <v>600</v>
      </c>
      <c r="AO338" s="48">
        <v>3</v>
      </c>
      <c r="AP338" s="44">
        <v>90</v>
      </c>
      <c r="AQ338" s="42">
        <v>0.83</v>
      </c>
      <c r="AR338" s="1">
        <v>50</v>
      </c>
      <c r="AS338" s="1">
        <v>24</v>
      </c>
      <c r="AT338" s="1">
        <v>1</v>
      </c>
      <c r="AU338" s="4">
        <f t="shared" si="166"/>
        <v>8.3333333333333339</v>
      </c>
      <c r="AV338" s="3">
        <f t="shared" si="187"/>
        <v>0.25</v>
      </c>
      <c r="AW338" s="1">
        <v>90</v>
      </c>
      <c r="AX338" s="3">
        <f t="shared" si="189"/>
        <v>7.5</v>
      </c>
      <c r="AY338" s="1">
        <v>1</v>
      </c>
      <c r="AZ338" s="4">
        <f t="shared" si="190"/>
        <v>7.5</v>
      </c>
      <c r="BA338" s="49">
        <v>0.89</v>
      </c>
      <c r="BB338" s="4">
        <f t="shared" si="167"/>
        <v>6.6749999999999998</v>
      </c>
      <c r="BC338" s="50">
        <v>0.89900000000000002</v>
      </c>
      <c r="BD338" s="69">
        <f>IFERROR(
  MAX(0.05, MIN(0.5, CropNorms_SugarBeet[[#This Row],[Leaf_Area_Per_Shoot_m2]] * CropNorms_SugarBeet[[#This Row],[Shoot_Bearing_m2]] )),
  0.2
)</f>
        <v>0.5</v>
      </c>
      <c r="BE338" s="4">
        <f>_xlfn.XLOOKUP(CropNorms_SugarBeet[[#This Row],[LAI_Start_BBCH]], CropPhenology_SugarBeet[Sub_Stage], CropPhenology_SugarBeet[Start_GDD], "Not Found")</f>
        <v>121</v>
      </c>
      <c r="BF338" s="3">
        <f>ROUND(CropNorms_SugarBeet[[#This Row],[Shoot_Bearing_m2]]*CropNorms_SugarBeet[[#This Row],[Leaf_Area_Per_Shoot_m2]],2)</f>
        <v>6</v>
      </c>
      <c r="BG338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8" s="3">
        <f>IF(CropNorms_SugarBeet[[#This Row],[Max_LAI]]&gt;=1.2, 0.85*CropNorms_SugarBeet[[#This Row],[Max_LAI]], 1)</f>
        <v>5.0999999999999996</v>
      </c>
      <c r="BI338" s="41">
        <f>_xlfn.XLOOKUP(CropNorms_SugarBeet[[#This Row],[LAI_End_BBCH]], CropPhenology_SugarBeet[Sub_Stage], CropPhenology_SugarBeet[End_GDD], "Not Found")</f>
        <v>2780</v>
      </c>
      <c r="BJ338" s="3" cm="1">
        <f t="array" ref="BJ338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8" s="3" cm="1">
        <f t="array" ref="BK338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8" s="3" cm="1">
        <f t="array" ref="BL338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8" s="3" cm="1">
        <f t="array" ref="BM338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8" s="42">
        <v>0.55000000000000004</v>
      </c>
      <c r="BO338" s="43">
        <v>0.85</v>
      </c>
      <c r="BP338" s="42">
        <v>50.47</v>
      </c>
      <c r="BQ338" s="43" t="s">
        <v>1792</v>
      </c>
      <c r="BR338" s="3" t="str" cm="1">
        <f t="array" ref="BR338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8" s="3" t="str" cm="1">
        <f t="array" ref="BS338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8" s="3" t="str" cm="1">
        <f t="array" ref="BT338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8" s="3" t="str" cm="1">
        <f t="array" ref="BU338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8" s="48">
        <v>90</v>
      </c>
      <c r="BW338" s="1">
        <v>45</v>
      </c>
      <c r="BX338" s="44">
        <v>75</v>
      </c>
      <c r="BY338" s="51">
        <v>45931</v>
      </c>
      <c r="BZ338" s="5">
        <v>45976</v>
      </c>
      <c r="CA338" s="85">
        <v>0</v>
      </c>
      <c r="CB338" s="2">
        <v>0</v>
      </c>
      <c r="CC338" s="2">
        <v>1</v>
      </c>
      <c r="CD338" s="2">
        <v>1</v>
      </c>
      <c r="CE338" s="2">
        <v>1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P338" s="9"/>
      <c r="CQ338" s="10"/>
    </row>
    <row r="339" spans="2:95" x14ac:dyDescent="0.15">
      <c r="B339" s="36" t="s">
        <v>285</v>
      </c>
      <c r="C339" s="1" t="s">
        <v>295</v>
      </c>
      <c r="K339" s="1" t="s">
        <v>1770</v>
      </c>
      <c r="L339" s="1" t="s">
        <v>1750</v>
      </c>
      <c r="M339" s="1" t="s">
        <v>358</v>
      </c>
      <c r="N339" s="6">
        <v>10.5</v>
      </c>
      <c r="O339" s="1" t="s">
        <v>4</v>
      </c>
      <c r="P339" s="1">
        <v>3</v>
      </c>
      <c r="Q339" s="1">
        <v>4</v>
      </c>
      <c r="R339" s="1">
        <v>2</v>
      </c>
      <c r="S339" s="1">
        <v>22</v>
      </c>
      <c r="T339" s="1">
        <v>30</v>
      </c>
      <c r="U339" s="253">
        <v>8</v>
      </c>
      <c r="V339" s="1">
        <v>150</v>
      </c>
      <c r="W339" s="44">
        <v>210</v>
      </c>
      <c r="X339" s="40">
        <f>_xlfn.XLOOKUP("Ripening", CropPhenology_SugarBeet[Main_Stage], CropPhenology_SugarBeet[Start_GDD], "Not Found")</f>
        <v>2781</v>
      </c>
      <c r="Y339" s="4" cm="1">
        <f t="array" ref="Y339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39" s="3">
        <f t="shared" si="185"/>
        <v>17.154761904761905</v>
      </c>
      <c r="AA339" s="41">
        <f t="shared" si="186"/>
        <v>184.20541290770299</v>
      </c>
      <c r="AB339" s="1">
        <v>7</v>
      </c>
      <c r="AC339" s="1">
        <v>10</v>
      </c>
      <c r="AD339" s="1">
        <v>4</v>
      </c>
      <c r="AE339" s="1">
        <v>85</v>
      </c>
      <c r="AF339" s="1">
        <v>5</v>
      </c>
      <c r="AG339" s="1">
        <v>4</v>
      </c>
      <c r="AH339" s="3">
        <f t="shared" si="174"/>
        <v>2.0574856841470766</v>
      </c>
      <c r="AI339" s="1">
        <v>6.5</v>
      </c>
      <c r="AJ339" s="1">
        <v>7.5</v>
      </c>
      <c r="AK339" s="159">
        <v>7</v>
      </c>
      <c r="AL339" s="150">
        <v>5.8999999999999997E-2</v>
      </c>
      <c r="AM339" s="1">
        <v>450</v>
      </c>
      <c r="AN339" s="1">
        <v>600</v>
      </c>
      <c r="AO339" s="48">
        <v>3</v>
      </c>
      <c r="AP339" s="44">
        <v>90</v>
      </c>
      <c r="AQ339" s="42">
        <v>0.76</v>
      </c>
      <c r="AR339" s="1">
        <v>50</v>
      </c>
      <c r="AS339" s="1">
        <v>24</v>
      </c>
      <c r="AT339" s="1">
        <v>1</v>
      </c>
      <c r="AU339" s="4">
        <f t="shared" si="166"/>
        <v>8.3333333333333339</v>
      </c>
      <c r="AV339" s="3">
        <f t="shared" si="187"/>
        <v>0.25</v>
      </c>
      <c r="AW339" s="1">
        <v>90</v>
      </c>
      <c r="AX339" s="3">
        <f t="shared" si="189"/>
        <v>7.5</v>
      </c>
      <c r="AY339" s="1">
        <v>1</v>
      </c>
      <c r="AZ339" s="4">
        <f t="shared" si="190"/>
        <v>7.5</v>
      </c>
      <c r="BA339" s="49">
        <v>0.89</v>
      </c>
      <c r="BB339" s="4">
        <f t="shared" si="167"/>
        <v>6.6749999999999998</v>
      </c>
      <c r="BC339" s="50">
        <v>0.89900000000000002</v>
      </c>
      <c r="BD339" s="69">
        <f>IFERROR(
  MAX(0.05, MIN(0.5, CropNorms_SugarBeet[[#This Row],[Leaf_Area_Per_Shoot_m2]] * CropNorms_SugarBeet[[#This Row],[Shoot_Bearing_m2]] )),
  0.2
)</f>
        <v>0.5</v>
      </c>
      <c r="BE339" s="4">
        <f>_xlfn.XLOOKUP(CropNorms_SugarBeet[[#This Row],[LAI_Start_BBCH]], CropPhenology_SugarBeet[Sub_Stage], CropPhenology_SugarBeet[Start_GDD], "Not Found")</f>
        <v>121</v>
      </c>
      <c r="BF339" s="3">
        <f>ROUND(CropNorms_SugarBeet[[#This Row],[Shoot_Bearing_m2]]*CropNorms_SugarBeet[[#This Row],[Leaf_Area_Per_Shoot_m2]],2)</f>
        <v>6</v>
      </c>
      <c r="BG339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39" s="3">
        <f>IF(CropNorms_SugarBeet[[#This Row],[Max_LAI]]&gt;=1.2, 0.85*CropNorms_SugarBeet[[#This Row],[Max_LAI]], 1)</f>
        <v>5.0999999999999996</v>
      </c>
      <c r="BI339" s="41">
        <f>_xlfn.XLOOKUP(CropNorms_SugarBeet[[#This Row],[LAI_End_BBCH]], CropPhenology_SugarBeet[Sub_Stage], CropPhenology_SugarBeet[End_GDD], "Not Found")</f>
        <v>2780</v>
      </c>
      <c r="BJ339" s="3" cm="1">
        <f t="array" ref="BJ339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39" s="3" cm="1">
        <f t="array" ref="BK339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39" s="3" cm="1">
        <f t="array" ref="BL339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39" s="3" cm="1">
        <f t="array" ref="BM339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39" s="42">
        <v>0.55000000000000004</v>
      </c>
      <c r="BO339" s="43">
        <v>0.85</v>
      </c>
      <c r="BP339" s="42">
        <v>50.47</v>
      </c>
      <c r="BQ339" s="43" t="s">
        <v>1792</v>
      </c>
      <c r="BR339" s="3" t="str" cm="1">
        <f t="array" ref="BR339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39" s="3" t="str" cm="1">
        <f t="array" ref="BS339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39" s="3" t="str" cm="1">
        <f t="array" ref="BT339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39" s="3" t="str" cm="1">
        <f t="array" ref="BU339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39" s="48">
        <v>90</v>
      </c>
      <c r="BW339" s="1">
        <v>45</v>
      </c>
      <c r="BX339" s="44">
        <v>75</v>
      </c>
      <c r="BY339" s="51">
        <v>45931</v>
      </c>
      <c r="BZ339" s="5">
        <v>45976</v>
      </c>
      <c r="CA339" s="85">
        <v>0</v>
      </c>
      <c r="CB339" s="2">
        <v>0</v>
      </c>
      <c r="CC339" s="2">
        <v>1</v>
      </c>
      <c r="CD339" s="2">
        <v>1</v>
      </c>
      <c r="CE339" s="2">
        <v>1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P339" s="9"/>
      <c r="CQ339" s="10"/>
    </row>
    <row r="340" spans="2:95" x14ac:dyDescent="0.15">
      <c r="B340" s="36" t="s">
        <v>285</v>
      </c>
      <c r="C340" s="1" t="s">
        <v>296</v>
      </c>
      <c r="K340" s="1" t="s">
        <v>1770</v>
      </c>
      <c r="L340" s="1" t="s">
        <v>1750</v>
      </c>
      <c r="M340" s="1" t="s">
        <v>358</v>
      </c>
      <c r="N340" s="6">
        <v>10.5</v>
      </c>
      <c r="O340" s="1" t="s">
        <v>4</v>
      </c>
      <c r="P340" s="1">
        <v>3</v>
      </c>
      <c r="Q340" s="1">
        <v>4</v>
      </c>
      <c r="R340" s="1">
        <v>2</v>
      </c>
      <c r="S340" s="1">
        <v>22</v>
      </c>
      <c r="T340" s="1">
        <v>30</v>
      </c>
      <c r="U340" s="253">
        <v>8</v>
      </c>
      <c r="V340" s="1">
        <v>150</v>
      </c>
      <c r="W340" s="44">
        <v>210</v>
      </c>
      <c r="X340" s="40">
        <f>_xlfn.XLOOKUP("Ripening", CropPhenology_SugarBeet[Main_Stage], CropPhenology_SugarBeet[Start_GDD], "Not Found")</f>
        <v>2781</v>
      </c>
      <c r="Y340" s="4" cm="1">
        <f t="array" ref="Y340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40" s="3">
        <f t="shared" si="185"/>
        <v>17.154761904761905</v>
      </c>
      <c r="AA340" s="41">
        <f t="shared" si="186"/>
        <v>184.20541290770299</v>
      </c>
      <c r="AB340" s="1">
        <v>7</v>
      </c>
      <c r="AC340" s="1">
        <v>10</v>
      </c>
      <c r="AD340" s="1">
        <v>4</v>
      </c>
      <c r="AE340" s="1">
        <v>85</v>
      </c>
      <c r="AF340" s="1">
        <v>5</v>
      </c>
      <c r="AG340" s="1">
        <v>4</v>
      </c>
      <c r="AH340" s="3">
        <f t="shared" si="174"/>
        <v>2.0574856841470766</v>
      </c>
      <c r="AI340" s="1">
        <v>6.5</v>
      </c>
      <c r="AJ340" s="1">
        <v>7.5</v>
      </c>
      <c r="AK340" s="159">
        <v>7</v>
      </c>
      <c r="AL340" s="150">
        <v>5.8999999999999997E-2</v>
      </c>
      <c r="AM340" s="1">
        <v>450</v>
      </c>
      <c r="AN340" s="1">
        <v>600</v>
      </c>
      <c r="AO340" s="48">
        <v>3</v>
      </c>
      <c r="AP340" s="44">
        <v>90</v>
      </c>
      <c r="AQ340" s="42">
        <v>0.8</v>
      </c>
      <c r="AR340" s="1">
        <v>50</v>
      </c>
      <c r="AS340" s="1">
        <v>24</v>
      </c>
      <c r="AT340" s="1">
        <v>1</v>
      </c>
      <c r="AU340" s="4">
        <f t="shared" si="166"/>
        <v>8.3333333333333339</v>
      </c>
      <c r="AV340" s="3">
        <f t="shared" si="187"/>
        <v>0.25</v>
      </c>
      <c r="AW340" s="1">
        <v>90</v>
      </c>
      <c r="AX340" s="3">
        <f t="shared" si="189"/>
        <v>7.5</v>
      </c>
      <c r="AY340" s="1">
        <v>1</v>
      </c>
      <c r="AZ340" s="4">
        <f t="shared" si="190"/>
        <v>7.5</v>
      </c>
      <c r="BA340" s="49">
        <v>0.89</v>
      </c>
      <c r="BB340" s="4">
        <f t="shared" si="167"/>
        <v>6.6749999999999998</v>
      </c>
      <c r="BC340" s="50">
        <v>0.89900000000000002</v>
      </c>
      <c r="BD340" s="69">
        <f>IFERROR(
  MAX(0.05, MIN(0.5, CropNorms_SugarBeet[[#This Row],[Leaf_Area_Per_Shoot_m2]] * CropNorms_SugarBeet[[#This Row],[Shoot_Bearing_m2]] )),
  0.2
)</f>
        <v>0.5</v>
      </c>
      <c r="BE340" s="4">
        <f>_xlfn.XLOOKUP(CropNorms_SugarBeet[[#This Row],[LAI_Start_BBCH]], CropPhenology_SugarBeet[Sub_Stage], CropPhenology_SugarBeet[Start_GDD], "Not Found")</f>
        <v>121</v>
      </c>
      <c r="BF340" s="3">
        <f>ROUND(CropNorms_SugarBeet[[#This Row],[Shoot_Bearing_m2]]*CropNorms_SugarBeet[[#This Row],[Leaf_Area_Per_Shoot_m2]],2)</f>
        <v>6</v>
      </c>
      <c r="BG340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40" s="3">
        <f>IF(CropNorms_SugarBeet[[#This Row],[Max_LAI]]&gt;=1.2, 0.85*CropNorms_SugarBeet[[#This Row],[Max_LAI]], 1)</f>
        <v>5.0999999999999996</v>
      </c>
      <c r="BI340" s="41">
        <f>_xlfn.XLOOKUP(CropNorms_SugarBeet[[#This Row],[LAI_End_BBCH]], CropPhenology_SugarBeet[Sub_Stage], CropPhenology_SugarBeet[End_GDD], "Not Found")</f>
        <v>2780</v>
      </c>
      <c r="BJ340" s="3" cm="1">
        <f t="array" ref="BJ340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40" s="3" cm="1">
        <f t="array" ref="BK34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40" s="3" cm="1">
        <f t="array" ref="BL340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40" s="3" cm="1">
        <f t="array" ref="BM34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0" s="42">
        <v>0.55000000000000004</v>
      </c>
      <c r="BO340" s="43">
        <v>0.85</v>
      </c>
      <c r="BP340" s="42">
        <v>50.47</v>
      </c>
      <c r="BQ340" s="43" t="s">
        <v>1792</v>
      </c>
      <c r="BR340" s="3" t="str" cm="1">
        <f t="array" ref="BR34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40" s="3" t="str" cm="1">
        <f t="array" ref="BS34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40" s="3" t="str" cm="1">
        <f t="array" ref="BT340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40" s="3" t="str" cm="1">
        <f t="array" ref="BU340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40" s="48">
        <v>90</v>
      </c>
      <c r="BW340" s="1">
        <v>45</v>
      </c>
      <c r="BX340" s="44">
        <v>75</v>
      </c>
      <c r="BY340" s="51">
        <v>45931</v>
      </c>
      <c r="BZ340" s="5">
        <v>45976</v>
      </c>
      <c r="CA340" s="85">
        <v>0</v>
      </c>
      <c r="CB340" s="2">
        <v>0</v>
      </c>
      <c r="CC340" s="2">
        <v>1</v>
      </c>
      <c r="CD340" s="2">
        <v>1</v>
      </c>
      <c r="CE340" s="2">
        <v>1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P340" s="9"/>
      <c r="CQ340" s="10"/>
    </row>
    <row r="341" spans="2:95" ht="11.25" thickBot="1" x14ac:dyDescent="0.2">
      <c r="B341" s="36" t="s">
        <v>285</v>
      </c>
      <c r="C341" s="1" t="s">
        <v>297</v>
      </c>
      <c r="K341" s="1" t="s">
        <v>1770</v>
      </c>
      <c r="L341" s="1" t="s">
        <v>1750</v>
      </c>
      <c r="M341" s="1" t="s">
        <v>358</v>
      </c>
      <c r="N341" s="6">
        <v>10.5</v>
      </c>
      <c r="O341" s="1" t="s">
        <v>4</v>
      </c>
      <c r="P341" s="1">
        <v>3</v>
      </c>
      <c r="Q341" s="1">
        <v>4</v>
      </c>
      <c r="R341" s="1">
        <v>2</v>
      </c>
      <c r="S341" s="1">
        <v>22</v>
      </c>
      <c r="T341" s="1">
        <v>30</v>
      </c>
      <c r="U341" s="254">
        <v>8</v>
      </c>
      <c r="V341" s="1">
        <v>150</v>
      </c>
      <c r="W341" s="44">
        <v>210</v>
      </c>
      <c r="X341" s="40">
        <f>_xlfn.XLOOKUP("Ripening", CropPhenology_SugarBeet[Main_Stage], CropPhenology_SugarBeet[Start_GDD], "Not Found")</f>
        <v>2781</v>
      </c>
      <c r="Y341" s="4" cm="1">
        <f t="array" ref="Y34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Z341" s="3">
        <f t="shared" si="185"/>
        <v>17.154761904761905</v>
      </c>
      <c r="AA341" s="41">
        <f t="shared" si="186"/>
        <v>184.20541290770299</v>
      </c>
      <c r="AB341" s="1">
        <v>7</v>
      </c>
      <c r="AC341" s="1">
        <v>10</v>
      </c>
      <c r="AD341" s="1">
        <v>4</v>
      </c>
      <c r="AE341" s="1">
        <v>85</v>
      </c>
      <c r="AF341" s="1">
        <v>5</v>
      </c>
      <c r="AG341" s="1">
        <v>4</v>
      </c>
      <c r="AH341" s="3">
        <f t="shared" si="174"/>
        <v>2.0574856841470766</v>
      </c>
      <c r="AI341" s="1">
        <v>6.5</v>
      </c>
      <c r="AJ341" s="1">
        <v>7.5</v>
      </c>
      <c r="AK341" s="160">
        <v>7</v>
      </c>
      <c r="AL341" s="161">
        <v>5.8999999999999997E-2</v>
      </c>
      <c r="AM341" s="1">
        <v>450</v>
      </c>
      <c r="AN341" s="1">
        <v>600</v>
      </c>
      <c r="AO341" s="48">
        <v>3</v>
      </c>
      <c r="AP341" s="44">
        <v>90</v>
      </c>
      <c r="AQ341" s="42">
        <v>0.82</v>
      </c>
      <c r="AR341" s="1">
        <v>50</v>
      </c>
      <c r="AS341" s="1">
        <v>24</v>
      </c>
      <c r="AT341" s="1">
        <v>1</v>
      </c>
      <c r="AU341" s="4">
        <f t="shared" si="166"/>
        <v>8.3333333333333339</v>
      </c>
      <c r="AV341" s="3">
        <f t="shared" si="187"/>
        <v>0.25</v>
      </c>
      <c r="AW341" s="1">
        <v>90</v>
      </c>
      <c r="AX341" s="3">
        <f t="shared" si="189"/>
        <v>7.5</v>
      </c>
      <c r="AY341" s="1">
        <v>1</v>
      </c>
      <c r="AZ341" s="4">
        <f t="shared" si="190"/>
        <v>7.5</v>
      </c>
      <c r="BA341" s="49">
        <v>0.89</v>
      </c>
      <c r="BB341" s="4">
        <f t="shared" si="167"/>
        <v>6.6749999999999998</v>
      </c>
      <c r="BC341" s="50">
        <v>0.89900000000000002</v>
      </c>
      <c r="BD341" s="69">
        <f>IFERROR(
  MAX(0.05, MIN(0.5, CropNorms_SugarBeet[[#This Row],[Leaf_Area_Per_Shoot_m2]] * CropNorms_SugarBeet[[#This Row],[Shoot_Bearing_m2]] )),
  0.2
)</f>
        <v>0.5</v>
      </c>
      <c r="BE341" s="4">
        <f>_xlfn.XLOOKUP(CropNorms_SugarBeet[[#This Row],[LAI_Start_BBCH]], CropPhenology_SugarBeet[Sub_Stage], CropPhenology_SugarBeet[Start_GDD], "Not Found")</f>
        <v>121</v>
      </c>
      <c r="BF341" s="3">
        <f>ROUND(CropNorms_SugarBeet[[#This Row],[Shoot_Bearing_m2]]*CropNorms_SugarBeet[[#This Row],[Leaf_Area_Per_Shoot_m2]],2)</f>
        <v>6</v>
      </c>
      <c r="BG341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H341" s="3">
        <f>IF(CropNorms_SugarBeet[[#This Row],[Max_LAI]]&gt;=1.2, 0.85*CropNorms_SugarBeet[[#This Row],[Max_LAI]], 1)</f>
        <v>5.0999999999999996</v>
      </c>
      <c r="BI341" s="41">
        <f>_xlfn.XLOOKUP(CropNorms_SugarBeet[[#This Row],[LAI_End_BBCH]], CropPhenology_SugarBeet[Sub_Stage], CropPhenology_SugarBeet[End_GDD], "Not Found")</f>
        <v>2780</v>
      </c>
      <c r="BJ341" s="3" cm="1">
        <f t="array" ref="BJ34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K341" s="3" cm="1">
        <f t="array" ref="BK34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L341" s="3" cm="1">
        <f t="array" ref="BL34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M341" s="3" cm="1">
        <f t="array" ref="BM34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1" s="42">
        <v>0.55000000000000004</v>
      </c>
      <c r="BO341" s="43">
        <v>0.85</v>
      </c>
      <c r="BP341" s="42">
        <v>50.47</v>
      </c>
      <c r="BQ341" s="43" t="s">
        <v>1792</v>
      </c>
      <c r="BR341" s="3" t="str" cm="1">
        <f t="array" ref="BR34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S341" s="3" t="str" cm="1">
        <f t="array" ref="BS34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T341" s="3" t="str" cm="1">
        <f t="array" ref="BT34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U341" s="3" t="str" cm="1">
        <f t="array" ref="BU34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V341" s="48">
        <v>90</v>
      </c>
      <c r="BW341" s="1">
        <v>45</v>
      </c>
      <c r="BX341" s="44">
        <v>75</v>
      </c>
      <c r="BY341" s="51">
        <v>45931</v>
      </c>
      <c r="BZ341" s="5">
        <v>45976</v>
      </c>
      <c r="CA341" s="85">
        <v>0</v>
      </c>
      <c r="CB341" s="2">
        <v>0</v>
      </c>
      <c r="CC341" s="2">
        <v>1</v>
      </c>
      <c r="CD341" s="2">
        <v>1</v>
      </c>
      <c r="CE341" s="2">
        <v>1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P341" s="9"/>
      <c r="CQ341" s="10"/>
    </row>
    <row r="342" spans="2:95" ht="11.25" thickBot="1" x14ac:dyDescent="0.2">
      <c r="Y342" s="3"/>
      <c r="Z342" s="4"/>
      <c r="AG342" s="3"/>
      <c r="AR342" s="4"/>
      <c r="AS342" s="3"/>
      <c r="AU342" s="3"/>
      <c r="AW342" s="4"/>
      <c r="AX342" s="49"/>
      <c r="AY342" s="4"/>
      <c r="BV342" s="51"/>
      <c r="BW342" s="51"/>
      <c r="CP342" s="9"/>
      <c r="CQ342" s="10"/>
    </row>
    <row r="343" spans="2:95" ht="11.25" thickBot="1" x14ac:dyDescent="0.2">
      <c r="B343" s="147" t="s">
        <v>1753</v>
      </c>
      <c r="C343" s="53" t="s">
        <v>1754</v>
      </c>
      <c r="D343" s="53" t="s">
        <v>1804</v>
      </c>
      <c r="E343" s="53" t="s">
        <v>1805</v>
      </c>
      <c r="F343" s="53" t="s">
        <v>1806</v>
      </c>
      <c r="G343" s="53" t="s">
        <v>1807</v>
      </c>
      <c r="H343" s="53" t="s">
        <v>1808</v>
      </c>
      <c r="I343" s="53" t="s">
        <v>1809</v>
      </c>
      <c r="J343" s="53" t="s">
        <v>1810</v>
      </c>
      <c r="K343" s="53" t="s">
        <v>1747</v>
      </c>
      <c r="L343" s="54" t="s">
        <v>1749</v>
      </c>
      <c r="M343" s="53" t="s">
        <v>357</v>
      </c>
      <c r="N343" s="55" t="s">
        <v>692</v>
      </c>
      <c r="O343" s="53" t="s">
        <v>325</v>
      </c>
      <c r="P343" s="53" t="s">
        <v>356</v>
      </c>
      <c r="Q343" s="53" t="s">
        <v>326</v>
      </c>
      <c r="R343" s="53" t="s">
        <v>327</v>
      </c>
      <c r="S343" s="53" t="s">
        <v>328</v>
      </c>
      <c r="T343" s="53" t="s">
        <v>329</v>
      </c>
      <c r="U343" s="250" t="s">
        <v>2349</v>
      </c>
      <c r="V343" s="53" t="s">
        <v>330</v>
      </c>
      <c r="W343" s="53" t="s">
        <v>331</v>
      </c>
      <c r="X343" s="56" t="s">
        <v>354</v>
      </c>
      <c r="Y343" s="57" t="s">
        <v>355</v>
      </c>
      <c r="Z343" s="58" t="s">
        <v>413</v>
      </c>
      <c r="AA343" s="59" t="s">
        <v>583</v>
      </c>
      <c r="AB343" s="53" t="s">
        <v>324</v>
      </c>
      <c r="AC343" s="53" t="s">
        <v>332</v>
      </c>
      <c r="AD343" s="53" t="s">
        <v>333</v>
      </c>
      <c r="AE343" s="53" t="s">
        <v>334</v>
      </c>
      <c r="AF343" s="53" t="s">
        <v>335</v>
      </c>
      <c r="AG343" s="53" t="s">
        <v>336</v>
      </c>
      <c r="AH343" s="60" t="s">
        <v>337</v>
      </c>
      <c r="AI343" s="53" t="s">
        <v>338</v>
      </c>
      <c r="AJ343" s="53" t="s">
        <v>339</v>
      </c>
      <c r="AK343" s="157" t="s">
        <v>2346</v>
      </c>
      <c r="AL343" s="158" t="s">
        <v>2347</v>
      </c>
      <c r="AM343" s="53" t="s">
        <v>340</v>
      </c>
      <c r="AN343" s="53" t="s">
        <v>341</v>
      </c>
      <c r="AO343" s="61" t="s">
        <v>342</v>
      </c>
      <c r="AP343" s="62" t="s">
        <v>343</v>
      </c>
      <c r="AQ343" s="55" t="s">
        <v>344</v>
      </c>
      <c r="AR343" s="53" t="s">
        <v>345</v>
      </c>
      <c r="AS343" s="53" t="s">
        <v>346</v>
      </c>
      <c r="AT343" s="53" t="s">
        <v>364</v>
      </c>
      <c r="AU343" s="60" t="s">
        <v>347</v>
      </c>
      <c r="AV343" s="58" t="s">
        <v>363</v>
      </c>
      <c r="AW343" s="53" t="s">
        <v>348</v>
      </c>
      <c r="AX343" s="58" t="s">
        <v>349</v>
      </c>
      <c r="AY343" s="53" t="s">
        <v>366</v>
      </c>
      <c r="AZ343" s="60" t="s">
        <v>350</v>
      </c>
      <c r="BA343" s="53" t="s">
        <v>365</v>
      </c>
      <c r="BB343" s="60" t="s">
        <v>1827</v>
      </c>
      <c r="BC343" s="63" t="s">
        <v>351</v>
      </c>
      <c r="BD343" s="71" t="s">
        <v>1811</v>
      </c>
      <c r="BE343" s="57" t="s">
        <v>352</v>
      </c>
      <c r="BF343" s="58" t="s">
        <v>1812</v>
      </c>
      <c r="BG343" s="57" t="s">
        <v>1752</v>
      </c>
      <c r="BH343" s="60" t="s">
        <v>1813</v>
      </c>
      <c r="BI343" s="59" t="s">
        <v>353</v>
      </c>
      <c r="BJ343" s="71" t="s">
        <v>1828</v>
      </c>
      <c r="BK343" s="58" t="s">
        <v>1829</v>
      </c>
      <c r="BL343" s="58" t="s">
        <v>1830</v>
      </c>
      <c r="BM343" s="72" t="s">
        <v>1831</v>
      </c>
      <c r="BN343" s="64" t="s">
        <v>1154</v>
      </c>
      <c r="BO343" s="65" t="s">
        <v>1742</v>
      </c>
      <c r="BP343" s="64" t="s">
        <v>1155</v>
      </c>
      <c r="BQ343" s="65" t="s">
        <v>1755</v>
      </c>
      <c r="BR343" s="58" t="s">
        <v>367</v>
      </c>
      <c r="BS343" s="58" t="s">
        <v>1751</v>
      </c>
      <c r="BT343" s="58" t="s">
        <v>368</v>
      </c>
      <c r="BU343" s="60" t="s">
        <v>1814</v>
      </c>
      <c r="BV343" s="61" t="s">
        <v>369</v>
      </c>
      <c r="BW343" s="53" t="s">
        <v>370</v>
      </c>
      <c r="BX343" s="62" t="s">
        <v>371</v>
      </c>
      <c r="BY343" s="53" t="s">
        <v>359</v>
      </c>
      <c r="BZ343" s="53" t="s">
        <v>361</v>
      </c>
      <c r="CA343" s="61" t="s">
        <v>1815</v>
      </c>
      <c r="CB343" s="53" t="s">
        <v>1816</v>
      </c>
      <c r="CC343" s="53" t="s">
        <v>1817</v>
      </c>
      <c r="CD343" s="53" t="s">
        <v>1818</v>
      </c>
      <c r="CE343" s="53" t="s">
        <v>1819</v>
      </c>
      <c r="CF343" s="53" t="s">
        <v>1820</v>
      </c>
      <c r="CG343" s="53" t="s">
        <v>1821</v>
      </c>
      <c r="CH343" s="53" t="s">
        <v>1822</v>
      </c>
      <c r="CI343" s="53" t="s">
        <v>1823</v>
      </c>
      <c r="CJ343" s="53" t="s">
        <v>1824</v>
      </c>
      <c r="CK343" s="53" t="s">
        <v>1825</v>
      </c>
      <c r="CL343" s="53" t="s">
        <v>1826</v>
      </c>
      <c r="CP343" s="9"/>
      <c r="CQ343" s="10"/>
    </row>
    <row r="344" spans="2:95" x14ac:dyDescent="0.15">
      <c r="B344" s="67" t="s">
        <v>298</v>
      </c>
      <c r="C344" s="1" t="s">
        <v>299</v>
      </c>
      <c r="D344" s="1" t="s">
        <v>2113</v>
      </c>
      <c r="E344" s="1" t="s">
        <v>1835</v>
      </c>
      <c r="F344" s="1">
        <v>177</v>
      </c>
      <c r="G344" s="1" t="s">
        <v>2114</v>
      </c>
      <c r="H344" s="1" t="s">
        <v>2303</v>
      </c>
      <c r="I344" s="1" t="s">
        <v>2121</v>
      </c>
      <c r="K344" s="1" t="s">
        <v>1769</v>
      </c>
      <c r="L344" s="1" t="s">
        <v>1750</v>
      </c>
      <c r="M344" s="1" t="s">
        <v>362</v>
      </c>
      <c r="N344" s="6">
        <v>12.5</v>
      </c>
      <c r="O344" s="1" t="s">
        <v>2078</v>
      </c>
      <c r="P344" s="1">
        <v>50</v>
      </c>
      <c r="Q344" s="1">
        <v>8</v>
      </c>
      <c r="R344" s="1">
        <v>10</v>
      </c>
      <c r="S344" s="1">
        <v>28</v>
      </c>
      <c r="T344" s="1">
        <v>36</v>
      </c>
      <c r="U344" s="253">
        <v>4</v>
      </c>
      <c r="V344" s="1">
        <v>90</v>
      </c>
      <c r="W344" s="44">
        <v>120</v>
      </c>
      <c r="X344" s="40">
        <f>_xlfn.XLOOKUP("Ripening", CropPhenology_Sunflower[Main_Stage], CropPhenology_Sunflower[Start_GDD], "Not Found")</f>
        <v>1001</v>
      </c>
      <c r="Y344" s="4" cm="1">
        <f t="array" ref="Y344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44" s="3">
        <f t="shared" ref="Z344:Z363" si="191">MIN(Y344/V344,MAX(X344/W344,R344,(X344/W344+Y344/V344)/2))</f>
        <v>11.670833333333334</v>
      </c>
      <c r="AA344" s="41">
        <f t="shared" ref="AA344:AA346" si="192">Y344/Z344</f>
        <v>115.67297393787932</v>
      </c>
      <c r="AB344" s="1">
        <v>8</v>
      </c>
      <c r="AC344" s="1">
        <v>13</v>
      </c>
      <c r="AD344" s="1">
        <v>4</v>
      </c>
      <c r="AE344" s="1">
        <v>65</v>
      </c>
      <c r="AF344" s="1">
        <v>10</v>
      </c>
      <c r="AG344" s="1">
        <v>5</v>
      </c>
      <c r="AH344" s="3">
        <f t="shared" ref="AH344:AH348" si="193">IFERROR((Y344-X344)/AA344,0)</f>
        <v>3.0171265432098768</v>
      </c>
      <c r="AI344" s="1">
        <v>6</v>
      </c>
      <c r="AJ344" s="1">
        <v>7.5</v>
      </c>
      <c r="AK344" s="159">
        <v>1.7</v>
      </c>
      <c r="AL344" s="150">
        <v>5.2999999999999999E-2</v>
      </c>
      <c r="AM344" s="1">
        <v>600</v>
      </c>
      <c r="AN344" s="1">
        <v>1000</v>
      </c>
      <c r="AO344" s="48">
        <v>5</v>
      </c>
      <c r="AP344" s="44">
        <v>300</v>
      </c>
      <c r="AQ344" s="42">
        <v>0.8</v>
      </c>
      <c r="AR344" s="1">
        <v>75</v>
      </c>
      <c r="AS344" s="1">
        <v>23</v>
      </c>
      <c r="AT344" s="1">
        <v>1</v>
      </c>
      <c r="AU344" s="4">
        <f t="shared" ref="AU344:AU346" si="194">IFERROR(10000/(AS344*AR344),0)*AT344</f>
        <v>5.7971014492753623</v>
      </c>
      <c r="AV344" s="3">
        <f t="shared" ref="AV344:AV363" si="195">ROUND((P344/1000000)*AU344*10000,2)</f>
        <v>2.9</v>
      </c>
      <c r="AW344" s="1">
        <v>90</v>
      </c>
      <c r="AX344" s="3">
        <f t="shared" ref="AX344:AX348" si="196">IFERROR((AU344*AW344/100),0)</f>
        <v>5.2173913043478262</v>
      </c>
      <c r="AY344" s="1">
        <v>1</v>
      </c>
      <c r="AZ344" s="4">
        <f t="shared" ref="AZ344:AZ348" si="197">IFERROR(AX344*AY344,0)</f>
        <v>5.2173913043478262</v>
      </c>
      <c r="BA344" s="49">
        <v>0.9</v>
      </c>
      <c r="BB344" s="4">
        <f t="shared" ref="BB344:BB348" si="198">IFERROR(AZ344*BA344,0)</f>
        <v>4.6956521739130439</v>
      </c>
      <c r="BC344" s="50">
        <v>0.50697982938910291</v>
      </c>
      <c r="BD344" s="69">
        <f>IFERROR(
  MAX(0.05, MIN(0.5, CropNorms_Sunflower[[#This Row],[Leaf_Area_Per_Shoot_m2]] * CropNorms_Sunflower[[#This Row],[Shoot_Bearing_m2]] )),
  0.2
)</f>
        <v>0.5</v>
      </c>
      <c r="BE344" s="4">
        <f>_xlfn.XLOOKUP(CropNorms_Sunflower[[#This Row],[LAI_Start_BBCH]], CropPhenology_Sunflower[Sub_Stage], CropPhenology_Sunflower[Start_GDD], "Not Found")</f>
        <v>121</v>
      </c>
      <c r="BF344" s="3">
        <f>ROUND(CropNorms_Sunflower[[#This Row],[Shoot_Bearing_m2]]*CropNorms_Sunflower[[#This Row],[Leaf_Area_Per_Shoot_m2]],2)</f>
        <v>2.38</v>
      </c>
      <c r="BG344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44" s="3">
        <f>IF(CropNorms_Sunflower[[#This Row],[Max_LAI]]&gt;=1.2, 0.85*CropNorms_Sunflower[[#This Row],[Max_LAI]], 1)</f>
        <v>2.0229999999999997</v>
      </c>
      <c r="BI344" s="41">
        <f>_xlfn.XLOOKUP(CropNorms_Sunflower[[#This Row],[LAI_End_BBCH]], CropPhenology_Sunflower[Sub_Stage], CropPhenology_Sunflower[End_GDD], "Not Found")</f>
        <v>1000</v>
      </c>
      <c r="BJ344" s="3" cm="1">
        <f t="array" ref="BJ344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2.1101978658485652</v>
      </c>
      <c r="BK344" s="3" cm="1">
        <f t="array" ref="BK34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0.93432829378586812</v>
      </c>
      <c r="BL344" s="3" cm="1">
        <f t="array" ref="BL344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1.1572052438542713</v>
      </c>
      <c r="BM344" s="3" cm="1">
        <f t="array" ref="BM34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4" s="42">
        <v>0.4</v>
      </c>
      <c r="BO344" s="43">
        <v>0.15</v>
      </c>
      <c r="BP344" s="42">
        <v>2.39</v>
      </c>
      <c r="BQ344" s="43" t="s">
        <v>1745</v>
      </c>
      <c r="BR344" s="3" t="str" cm="1">
        <f t="array" ref="BR34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4" s="3" t="str" cm="1">
        <f t="array" ref="BS34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44" s="3" t="str" cm="1">
        <f t="array" ref="BT344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44" s="3" t="str" cm="1">
        <f t="array" ref="BU344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44" s="48">
        <v>100</v>
      </c>
      <c r="BW344" s="1">
        <v>45</v>
      </c>
      <c r="BX344" s="44">
        <v>125</v>
      </c>
      <c r="BY344" s="51">
        <v>350</v>
      </c>
      <c r="BZ344" s="5">
        <v>46</v>
      </c>
      <c r="CA344" s="85">
        <v>0</v>
      </c>
      <c r="CB344" s="2">
        <v>0</v>
      </c>
      <c r="CC344" s="2">
        <v>1</v>
      </c>
      <c r="CD344" s="2">
        <v>1</v>
      </c>
      <c r="CE344" s="2">
        <v>1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1</v>
      </c>
      <c r="CP344" s="9"/>
      <c r="CQ344" s="10"/>
    </row>
    <row r="345" spans="2:95" x14ac:dyDescent="0.15">
      <c r="B345" s="67" t="s">
        <v>298</v>
      </c>
      <c r="C345" s="1" t="s">
        <v>300</v>
      </c>
      <c r="D345" s="1" t="s">
        <v>2113</v>
      </c>
      <c r="E345" s="1" t="s">
        <v>1835</v>
      </c>
      <c r="F345" s="1">
        <v>190</v>
      </c>
      <c r="G345" s="1" t="s">
        <v>2114</v>
      </c>
      <c r="H345" s="1" t="s">
        <v>2303</v>
      </c>
      <c r="K345" s="1" t="s">
        <v>1769</v>
      </c>
      <c r="L345" s="1" t="s">
        <v>1750</v>
      </c>
      <c r="M345" s="1" t="s">
        <v>362</v>
      </c>
      <c r="N345" s="6">
        <v>12.5</v>
      </c>
      <c r="O345" s="1" t="s">
        <v>2078</v>
      </c>
      <c r="P345" s="1">
        <v>50</v>
      </c>
      <c r="Q345" s="1">
        <v>8</v>
      </c>
      <c r="R345" s="1">
        <v>10</v>
      </c>
      <c r="S345" s="1">
        <v>28</v>
      </c>
      <c r="T345" s="1">
        <v>34</v>
      </c>
      <c r="U345" s="253">
        <v>4</v>
      </c>
      <c r="V345" s="1">
        <v>100</v>
      </c>
      <c r="W345" s="44">
        <v>110</v>
      </c>
      <c r="X345" s="40">
        <f>_xlfn.XLOOKUP("Ripening", CropPhenology_Sunflower[Main_Stage], CropPhenology_Sunflower[Start_GDD], "Not Found")</f>
        <v>1001</v>
      </c>
      <c r="Y345" s="4" cm="1">
        <f t="array" ref="Y345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45" s="3">
        <f t="shared" si="191"/>
        <v>11.3</v>
      </c>
      <c r="AA345" s="41">
        <f t="shared" si="192"/>
        <v>119.46902654867256</v>
      </c>
      <c r="AB345" s="1">
        <v>8</v>
      </c>
      <c r="AC345" s="1">
        <v>13</v>
      </c>
      <c r="AD345" s="1">
        <v>4</v>
      </c>
      <c r="AE345" s="1">
        <v>65</v>
      </c>
      <c r="AF345" s="1">
        <v>10</v>
      </c>
      <c r="AG345" s="1">
        <v>5</v>
      </c>
      <c r="AH345" s="3">
        <f t="shared" si="193"/>
        <v>2.9212592592592594</v>
      </c>
      <c r="AI345" s="1">
        <v>6</v>
      </c>
      <c r="AJ345" s="1">
        <v>7.5</v>
      </c>
      <c r="AK345" s="159">
        <v>1.7</v>
      </c>
      <c r="AL345" s="150">
        <v>5.2999999999999999E-2</v>
      </c>
      <c r="AM345" s="1">
        <v>600</v>
      </c>
      <c r="AN345" s="1">
        <v>1000</v>
      </c>
      <c r="AO345" s="48">
        <v>5</v>
      </c>
      <c r="AP345" s="44">
        <v>300</v>
      </c>
      <c r="AQ345" s="42">
        <v>0.82</v>
      </c>
      <c r="AR345" s="1">
        <v>60</v>
      </c>
      <c r="AS345" s="1">
        <v>20</v>
      </c>
      <c r="AT345" s="1">
        <v>1</v>
      </c>
      <c r="AU345" s="4">
        <f t="shared" si="194"/>
        <v>8.3333333333333339</v>
      </c>
      <c r="AV345" s="3">
        <f t="shared" si="195"/>
        <v>4.17</v>
      </c>
      <c r="AW345" s="1">
        <v>90</v>
      </c>
      <c r="AX345" s="3">
        <f t="shared" si="196"/>
        <v>7.5</v>
      </c>
      <c r="AY345" s="1">
        <v>1</v>
      </c>
      <c r="AZ345" s="4">
        <f t="shared" si="197"/>
        <v>7.5</v>
      </c>
      <c r="BA345" s="49">
        <v>0.9</v>
      </c>
      <c r="BB345" s="4">
        <f t="shared" si="198"/>
        <v>6.75</v>
      </c>
      <c r="BC345" s="50">
        <v>0.50697982938910291</v>
      </c>
      <c r="BD345" s="69">
        <f>IFERROR(
  MAX(0.05, MIN(0.5, CropNorms_Sunflower[[#This Row],[Leaf_Area_Per_Shoot_m2]] * CropNorms_Sunflower[[#This Row],[Shoot_Bearing_m2]] )),
  0.2
)</f>
        <v>0.5</v>
      </c>
      <c r="BE345" s="4">
        <f>_xlfn.XLOOKUP(CropNorms_Sunflower[[#This Row],[LAI_Start_BBCH]], CropPhenology_Sunflower[Sub_Stage], CropPhenology_Sunflower[Start_GDD], "Not Found")</f>
        <v>121</v>
      </c>
      <c r="BF345" s="3">
        <f>ROUND(CropNorms_Sunflower[[#This Row],[Shoot_Bearing_m2]]*CropNorms_Sunflower[[#This Row],[Leaf_Area_Per_Shoot_m2]],2)</f>
        <v>3.42</v>
      </c>
      <c r="BG345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45" s="3">
        <f>IF(CropNorms_Sunflower[[#This Row],[Max_LAI]]&gt;=1.2, 0.85*CropNorms_Sunflower[[#This Row],[Max_LAI]], 1)</f>
        <v>2.907</v>
      </c>
      <c r="BI345" s="41">
        <f>_xlfn.XLOOKUP(CropNorms_Sunflower[[#This Row],[LAI_End_BBCH]], CropPhenology_Sunflower[Sub_Stage], CropPhenology_Sunflower[End_GDD], "Not Found")</f>
        <v>1000</v>
      </c>
      <c r="BJ345" s="3" cm="1">
        <f t="array" ref="BJ345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45" s="3" cm="1">
        <f t="array" ref="BK34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45" s="3" cm="1">
        <f t="array" ref="BL345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45" s="3" cm="1">
        <f t="array" ref="BM34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5" s="42">
        <v>0.4</v>
      </c>
      <c r="BO345" s="43">
        <v>0.15</v>
      </c>
      <c r="BP345" s="42">
        <v>2.1800000000000002</v>
      </c>
      <c r="BQ345" s="43" t="s">
        <v>1745</v>
      </c>
      <c r="BR345" s="3" t="str" cm="1">
        <f t="array" ref="BR34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5" s="3" t="str" cm="1">
        <f t="array" ref="BS34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45" s="3" t="str" cm="1">
        <f t="array" ref="BT345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45" s="3" t="str" cm="1">
        <f t="array" ref="BU345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45" s="48">
        <v>100</v>
      </c>
      <c r="BW345" s="1">
        <v>45</v>
      </c>
      <c r="BX345" s="44">
        <v>125</v>
      </c>
      <c r="BY345" s="51">
        <v>350</v>
      </c>
      <c r="BZ345" s="5">
        <v>46</v>
      </c>
      <c r="CA345" s="85">
        <v>0</v>
      </c>
      <c r="CB345" s="2">
        <v>0</v>
      </c>
      <c r="CC345" s="2">
        <v>1</v>
      </c>
      <c r="CD345" s="2">
        <v>1</v>
      </c>
      <c r="CE345" s="2">
        <v>1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P345" s="9"/>
      <c r="CQ345" s="10"/>
    </row>
    <row r="346" spans="2:95" x14ac:dyDescent="0.15">
      <c r="B346" s="67" t="s">
        <v>298</v>
      </c>
      <c r="C346" s="1" t="s">
        <v>301</v>
      </c>
      <c r="D346" s="1" t="s">
        <v>2113</v>
      </c>
      <c r="E346" s="1" t="s">
        <v>2076</v>
      </c>
      <c r="F346" s="1">
        <v>227</v>
      </c>
      <c r="G346" s="1" t="s">
        <v>2117</v>
      </c>
      <c r="H346" s="1" t="s">
        <v>2120</v>
      </c>
      <c r="J346" s="1" t="s">
        <v>2304</v>
      </c>
      <c r="K346" s="1" t="s">
        <v>1769</v>
      </c>
      <c r="L346" s="1" t="s">
        <v>1750</v>
      </c>
      <c r="M346" s="1" t="s">
        <v>362</v>
      </c>
      <c r="N346" s="6">
        <v>12.5</v>
      </c>
      <c r="O346" s="1" t="s">
        <v>2078</v>
      </c>
      <c r="P346" s="1">
        <v>50</v>
      </c>
      <c r="Q346" s="1">
        <v>8</v>
      </c>
      <c r="R346" s="1">
        <v>10</v>
      </c>
      <c r="S346" s="1">
        <v>28</v>
      </c>
      <c r="T346" s="1">
        <v>36</v>
      </c>
      <c r="U346" s="253">
        <v>4</v>
      </c>
      <c r="V346" s="1">
        <v>120</v>
      </c>
      <c r="W346" s="44">
        <v>130</v>
      </c>
      <c r="X346" s="40">
        <f>_xlfn.XLOOKUP("Ripening", CropPhenology_Sunflower[Main_Stage], CropPhenology_Sunflower[Start_GDD], "Not Found")</f>
        <v>1001</v>
      </c>
      <c r="Y346" s="4" cm="1">
        <f t="array" ref="Y346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46" s="3">
        <f t="shared" si="191"/>
        <v>10</v>
      </c>
      <c r="AA346" s="41">
        <f t="shared" si="192"/>
        <v>135</v>
      </c>
      <c r="AB346" s="1">
        <v>8</v>
      </c>
      <c r="AC346" s="1">
        <v>13</v>
      </c>
      <c r="AD346" s="1">
        <v>4</v>
      </c>
      <c r="AE346" s="1">
        <v>65</v>
      </c>
      <c r="AF346" s="1">
        <v>10</v>
      </c>
      <c r="AG346" s="1">
        <v>5</v>
      </c>
      <c r="AH346" s="3">
        <f t="shared" si="193"/>
        <v>2.585185185185185</v>
      </c>
      <c r="AI346" s="1">
        <v>6</v>
      </c>
      <c r="AJ346" s="1">
        <v>7.5</v>
      </c>
      <c r="AK346" s="159">
        <v>1.7</v>
      </c>
      <c r="AL346" s="150">
        <v>5.2999999999999999E-2</v>
      </c>
      <c r="AM346" s="1">
        <v>600</v>
      </c>
      <c r="AN346" s="1">
        <v>1000</v>
      </c>
      <c r="AO346" s="48">
        <v>5</v>
      </c>
      <c r="AP346" s="44">
        <v>300</v>
      </c>
      <c r="AQ346" s="42">
        <v>0.85</v>
      </c>
      <c r="AR346" s="1">
        <v>75</v>
      </c>
      <c r="AS346" s="1">
        <v>25</v>
      </c>
      <c r="AT346" s="1">
        <v>1</v>
      </c>
      <c r="AU346" s="4">
        <f t="shared" si="194"/>
        <v>5.333333333333333</v>
      </c>
      <c r="AV346" s="3">
        <f t="shared" si="195"/>
        <v>2.67</v>
      </c>
      <c r="AW346" s="1">
        <v>90</v>
      </c>
      <c r="AX346" s="3">
        <f t="shared" si="196"/>
        <v>4.8</v>
      </c>
      <c r="AY346" s="1">
        <v>1</v>
      </c>
      <c r="AZ346" s="4">
        <f t="shared" si="197"/>
        <v>4.8</v>
      </c>
      <c r="BA346" s="49">
        <v>0.9</v>
      </c>
      <c r="BB346" s="4">
        <f t="shared" si="198"/>
        <v>4.32</v>
      </c>
      <c r="BC346" s="50">
        <v>0.50697982938910291</v>
      </c>
      <c r="BD346" s="69">
        <f>IFERROR(
  MAX(0.05, MIN(0.5, CropNorms_Sunflower[[#This Row],[Leaf_Area_Per_Shoot_m2]] * CropNorms_Sunflower[[#This Row],[Shoot_Bearing_m2]] )),
  0.2
)</f>
        <v>0.5</v>
      </c>
      <c r="BE346" s="4">
        <f>_xlfn.XLOOKUP(CropNorms_Sunflower[[#This Row],[LAI_Start_BBCH]], CropPhenology_Sunflower[Sub_Stage], CropPhenology_Sunflower[Start_GDD], "Not Found")</f>
        <v>121</v>
      </c>
      <c r="BF346" s="3">
        <f>ROUND(CropNorms_Sunflower[[#This Row],[Shoot_Bearing_m2]]*CropNorms_Sunflower[[#This Row],[Leaf_Area_Per_Shoot_m2]],2)</f>
        <v>2.19</v>
      </c>
      <c r="BG346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46" s="3">
        <f>IF(CropNorms_Sunflower[[#This Row],[Max_LAI]]&gt;=1.2, 0.85*CropNorms_Sunflower[[#This Row],[Max_LAI]], 1)</f>
        <v>1.8614999999999999</v>
      </c>
      <c r="BI346" s="41">
        <f>_xlfn.XLOOKUP(CropNorms_Sunflower[[#This Row],[LAI_End_BBCH]], CropPhenology_Sunflower[Sub_Stage], CropPhenology_Sunflower[End_GDD], "Not Found")</f>
        <v>1000</v>
      </c>
      <c r="BJ346" s="3" cm="1">
        <f t="array" ref="BJ346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2.0725130829309162</v>
      </c>
      <c r="BK346" s="3" cm="1">
        <f t="array" ref="BK34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0.93442369208147458</v>
      </c>
      <c r="BL346" s="3" cm="1">
        <f t="array" ref="BL346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1.061128798183147</v>
      </c>
      <c r="BM346" s="3" cm="1">
        <f t="array" ref="BM34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6" s="42">
        <v>0.4</v>
      </c>
      <c r="BO346" s="43">
        <v>0.15</v>
      </c>
      <c r="BP346" s="42">
        <v>2.1800000000000002</v>
      </c>
      <c r="BQ346" s="43" t="s">
        <v>1745</v>
      </c>
      <c r="BR346" s="3" t="str" cm="1">
        <f t="array" ref="BR34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6" s="3" t="str" cm="1">
        <f t="array" ref="BS34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46" s="3" t="str" cm="1">
        <f t="array" ref="BT346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46" s="3" t="str" cm="1">
        <f t="array" ref="BU346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46" s="48">
        <v>100</v>
      </c>
      <c r="BW346" s="1">
        <v>45</v>
      </c>
      <c r="BX346" s="44">
        <v>125</v>
      </c>
      <c r="BY346" s="51">
        <v>350</v>
      </c>
      <c r="BZ346" s="5">
        <v>46</v>
      </c>
      <c r="CA346" s="85">
        <v>0</v>
      </c>
      <c r="CB346" s="2">
        <v>0</v>
      </c>
      <c r="CC346" s="2">
        <v>1</v>
      </c>
      <c r="CD346" s="2">
        <v>1</v>
      </c>
      <c r="CE346" s="2">
        <v>1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P346" s="9"/>
      <c r="CQ346" s="10"/>
    </row>
    <row r="347" spans="2:95" x14ac:dyDescent="0.15">
      <c r="B347" s="67" t="s">
        <v>298</v>
      </c>
      <c r="C347" s="1" t="s">
        <v>2305</v>
      </c>
      <c r="D347" s="1" t="s">
        <v>2113</v>
      </c>
      <c r="E347" s="1" t="s">
        <v>2076</v>
      </c>
      <c r="F347" s="1">
        <v>227</v>
      </c>
      <c r="G347" s="1" t="s">
        <v>2117</v>
      </c>
      <c r="H347" s="1" t="s">
        <v>2120</v>
      </c>
      <c r="K347" s="1" t="s">
        <v>1769</v>
      </c>
      <c r="L347" s="1" t="s">
        <v>1750</v>
      </c>
      <c r="M347" s="1" t="s">
        <v>362</v>
      </c>
      <c r="N347" s="6">
        <v>12.5</v>
      </c>
      <c r="O347" s="1" t="s">
        <v>2306</v>
      </c>
      <c r="P347" s="1">
        <v>50</v>
      </c>
      <c r="Q347" s="1">
        <v>8</v>
      </c>
      <c r="R347" s="1">
        <v>10</v>
      </c>
      <c r="S347" s="1">
        <v>28</v>
      </c>
      <c r="T347" s="1">
        <v>36</v>
      </c>
      <c r="U347" s="253">
        <v>4</v>
      </c>
      <c r="V347" s="1">
        <v>120</v>
      </c>
      <c r="W347" s="44">
        <v>130</v>
      </c>
      <c r="X347" s="40">
        <f>_xlfn.XLOOKUP("Ripening", CropPhenology_Sunflower[Main_Stage], CropPhenology_Sunflower[Start_GDD], "Not Found")</f>
        <v>1001</v>
      </c>
      <c r="Y347" s="4" cm="1">
        <f t="array" ref="Y347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47" s="3">
        <f t="shared" si="191"/>
        <v>10</v>
      </c>
      <c r="AA347" s="41">
        <f>Y347/Z347</f>
        <v>135</v>
      </c>
      <c r="AB347" s="1">
        <v>8</v>
      </c>
      <c r="AC347" s="1">
        <v>13</v>
      </c>
      <c r="AD347" s="1">
        <v>4</v>
      </c>
      <c r="AE347" s="1">
        <v>65</v>
      </c>
      <c r="AF347" s="1">
        <v>10</v>
      </c>
      <c r="AG347" s="1">
        <v>5</v>
      </c>
      <c r="AH347" s="3">
        <f t="shared" si="193"/>
        <v>2.585185185185185</v>
      </c>
      <c r="AI347" s="1">
        <v>6</v>
      </c>
      <c r="AJ347" s="1">
        <v>7.5</v>
      </c>
      <c r="AK347" s="159">
        <v>1.7</v>
      </c>
      <c r="AL347" s="150">
        <v>5.2999999999999999E-2</v>
      </c>
      <c r="AM347" s="1">
        <v>600</v>
      </c>
      <c r="AN347" s="1">
        <v>1000</v>
      </c>
      <c r="AO347" s="48">
        <v>5</v>
      </c>
      <c r="AP347" s="44">
        <v>300</v>
      </c>
      <c r="AQ347" s="42">
        <v>0.85</v>
      </c>
      <c r="AR347" s="1">
        <v>75</v>
      </c>
      <c r="AS347" s="1">
        <v>30</v>
      </c>
      <c r="AT347" s="1">
        <v>1</v>
      </c>
      <c r="AU347" s="4">
        <f>IFERROR(10000/(AS347*AR347),0)*AT347</f>
        <v>4.4444444444444446</v>
      </c>
      <c r="AV347" s="3">
        <f t="shared" si="195"/>
        <v>2.2200000000000002</v>
      </c>
      <c r="AW347" s="1">
        <v>91</v>
      </c>
      <c r="AX347" s="3">
        <f t="shared" si="196"/>
        <v>4.0444444444444443</v>
      </c>
      <c r="AY347" s="1">
        <v>2</v>
      </c>
      <c r="AZ347" s="4">
        <f t="shared" si="197"/>
        <v>8.0888888888888886</v>
      </c>
      <c r="BA347" s="49">
        <v>0.9</v>
      </c>
      <c r="BB347" s="4">
        <f t="shared" si="198"/>
        <v>7.28</v>
      </c>
      <c r="BC347" s="50">
        <v>1.5069798293890999</v>
      </c>
      <c r="BD347" s="69">
        <f>IFERROR(
  MAX(0.05, MIN(0.5, CropNorms_Sunflower[[#This Row],[Leaf_Area_Per_Shoot_m2]] * CropNorms_Sunflower[[#This Row],[Shoot_Bearing_m2]] )),
  0.2
)</f>
        <v>0.5</v>
      </c>
      <c r="BE347" s="4">
        <f>_xlfn.XLOOKUP(CropNorms_Sunflower[[#This Row],[LAI_Start_BBCH]], CropPhenology_Sunflower[Sub_Stage], CropPhenology_Sunflower[Start_GDD], "Not Found")</f>
        <v>121</v>
      </c>
      <c r="BF347" s="3">
        <f>ROUND(CropNorms_Sunflower[[#This Row],[Shoot_Bearing_m2]]*CropNorms_Sunflower[[#This Row],[Leaf_Area_Per_Shoot_m2]],2)</f>
        <v>10.97</v>
      </c>
      <c r="BG347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47" s="3">
        <f>IF(CropNorms_Sunflower[[#This Row],[Max_LAI]]&gt;=1.2, 0.85*CropNorms_Sunflower[[#This Row],[Max_LAI]], 1)</f>
        <v>9.3245000000000005</v>
      </c>
      <c r="BI347" s="41">
        <f>_xlfn.XLOOKUP(CropNorms_Sunflower[[#This Row],[LAI_End_BBCH]], CropPhenology_Sunflower[Sub_Stage], CropPhenology_Sunflower[End_GDD], "Not Found")</f>
        <v>1000</v>
      </c>
      <c r="BJ347" s="3" cm="1">
        <f t="array" ref="BJ347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2.4939538264790841</v>
      </c>
      <c r="BK347" s="3" cm="1">
        <f t="array" ref="BK34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0.93340900909674507</v>
      </c>
      <c r="BL347" s="3" cm="1">
        <f t="array" ref="BL347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5.4621745530512555</v>
      </c>
      <c r="BM347" s="3" cm="1">
        <f t="array" ref="BM34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7" s="42">
        <v>0.4</v>
      </c>
      <c r="BO347" s="43">
        <v>0.15</v>
      </c>
      <c r="BP347" s="42">
        <v>1.0567</v>
      </c>
      <c r="BQ347" s="43" t="s">
        <v>1745</v>
      </c>
      <c r="BR347" s="3" t="str" cm="1">
        <f t="array" ref="BR34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7" s="3" t="str" cm="1">
        <f t="array" ref="BS34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47" s="3" t="str" cm="1">
        <f t="array" ref="BT347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47" s="3" t="str" cm="1">
        <f t="array" ref="BU347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47" s="48">
        <v>100</v>
      </c>
      <c r="BW347" s="1">
        <v>45</v>
      </c>
      <c r="BX347" s="44">
        <v>125</v>
      </c>
      <c r="BY347" s="51">
        <v>350</v>
      </c>
      <c r="BZ347" s="5">
        <v>46</v>
      </c>
      <c r="CA347" s="85">
        <v>0</v>
      </c>
      <c r="CB347" s="2">
        <v>0</v>
      </c>
      <c r="CC347" s="2">
        <v>1</v>
      </c>
      <c r="CD347" s="2">
        <v>1</v>
      </c>
      <c r="CE347" s="2">
        <v>1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P347" s="9"/>
      <c r="CQ347" s="10"/>
    </row>
    <row r="348" spans="2:95" x14ac:dyDescent="0.15">
      <c r="B348" s="67" t="s">
        <v>298</v>
      </c>
      <c r="C348" s="1" t="s">
        <v>302</v>
      </c>
      <c r="D348" s="1" t="s">
        <v>2113</v>
      </c>
      <c r="E348" s="1" t="s">
        <v>1835</v>
      </c>
      <c r="F348" s="1">
        <v>193</v>
      </c>
      <c r="G348" s="1" t="s">
        <v>2115</v>
      </c>
      <c r="H348" s="1" t="s">
        <v>2118</v>
      </c>
      <c r="K348" s="1" t="s">
        <v>1769</v>
      </c>
      <c r="L348" s="1" t="s">
        <v>1750</v>
      </c>
      <c r="M348" s="1" t="s">
        <v>362</v>
      </c>
      <c r="N348" s="6">
        <v>12.5</v>
      </c>
      <c r="O348" s="1" t="s">
        <v>2078</v>
      </c>
      <c r="P348" s="1">
        <v>50</v>
      </c>
      <c r="Q348" s="1">
        <v>8</v>
      </c>
      <c r="R348" s="1">
        <v>10</v>
      </c>
      <c r="S348" s="1">
        <v>28</v>
      </c>
      <c r="T348" s="1">
        <v>34</v>
      </c>
      <c r="U348" s="253">
        <v>4</v>
      </c>
      <c r="V348" s="1">
        <v>100</v>
      </c>
      <c r="W348" s="44">
        <v>110</v>
      </c>
      <c r="X348" s="40">
        <f>_xlfn.XLOOKUP("Ripening", CropPhenology_Sunflower[Main_Stage], CropPhenology_Sunflower[Start_GDD], "Not Found")</f>
        <v>1001</v>
      </c>
      <c r="Y348" s="4" cm="1">
        <f t="array" ref="Y348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48" s="3">
        <f t="shared" si="191"/>
        <v>11.3</v>
      </c>
      <c r="AA348" s="41">
        <f t="shared" ref="AA348" si="199">Y348/Z348</f>
        <v>119.46902654867256</v>
      </c>
      <c r="AB348" s="1">
        <v>8</v>
      </c>
      <c r="AC348" s="1">
        <v>13</v>
      </c>
      <c r="AD348" s="1">
        <v>4</v>
      </c>
      <c r="AE348" s="1">
        <v>65</v>
      </c>
      <c r="AF348" s="1">
        <v>10</v>
      </c>
      <c r="AG348" s="1">
        <v>5</v>
      </c>
      <c r="AH348" s="3">
        <f t="shared" si="193"/>
        <v>2.9212592592592594</v>
      </c>
      <c r="AI348" s="1">
        <v>6</v>
      </c>
      <c r="AJ348" s="1">
        <v>7.5</v>
      </c>
      <c r="AK348" s="159">
        <v>1.7</v>
      </c>
      <c r="AL348" s="150">
        <v>5.2999999999999999E-2</v>
      </c>
      <c r="AM348" s="1">
        <v>600</v>
      </c>
      <c r="AN348" s="1">
        <v>1000</v>
      </c>
      <c r="AO348" s="48">
        <v>5</v>
      </c>
      <c r="AP348" s="44">
        <v>300</v>
      </c>
      <c r="AQ348" s="42">
        <v>0.78</v>
      </c>
      <c r="AR348" s="1">
        <v>60</v>
      </c>
      <c r="AS348" s="1">
        <v>20</v>
      </c>
      <c r="AT348" s="1">
        <v>1</v>
      </c>
      <c r="AU348" s="4">
        <f t="shared" ref="AU348" si="200">IFERROR(10000/(AS348*AR348),0)*AT348</f>
        <v>8.3333333333333339</v>
      </c>
      <c r="AV348" s="3">
        <f t="shared" si="195"/>
        <v>4.17</v>
      </c>
      <c r="AW348" s="1">
        <v>90</v>
      </c>
      <c r="AX348" s="3">
        <f t="shared" si="196"/>
        <v>7.5</v>
      </c>
      <c r="AY348" s="1">
        <v>1</v>
      </c>
      <c r="AZ348" s="4">
        <f t="shared" si="197"/>
        <v>7.5</v>
      </c>
      <c r="BA348" s="49">
        <v>0.9</v>
      </c>
      <c r="BB348" s="4">
        <f t="shared" si="198"/>
        <v>6.75</v>
      </c>
      <c r="BC348" s="50">
        <v>0.50697982938910291</v>
      </c>
      <c r="BD348" s="69">
        <f>IFERROR(
  MAX(0.05, MIN(0.5, CropNorms_Sunflower[[#This Row],[Leaf_Area_Per_Shoot_m2]] * CropNorms_Sunflower[[#This Row],[Shoot_Bearing_m2]] )),
  0.2
)</f>
        <v>0.5</v>
      </c>
      <c r="BE348" s="4">
        <f>_xlfn.XLOOKUP(CropNorms_Sunflower[[#This Row],[LAI_Start_BBCH]], CropPhenology_Sunflower[Sub_Stage], CropPhenology_Sunflower[Start_GDD], "Not Found")</f>
        <v>121</v>
      </c>
      <c r="BF348" s="3">
        <f>ROUND(CropNorms_Sunflower[[#This Row],[Shoot_Bearing_m2]]*CropNorms_Sunflower[[#This Row],[Leaf_Area_Per_Shoot_m2]],2)</f>
        <v>3.42</v>
      </c>
      <c r="BG348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48" s="3">
        <f>IF(CropNorms_Sunflower[[#This Row],[Max_LAI]]&gt;=1.2, 0.85*CropNorms_Sunflower[[#This Row],[Max_LAI]], 1)</f>
        <v>2.907</v>
      </c>
      <c r="BI348" s="41">
        <f>_xlfn.XLOOKUP(CropNorms_Sunflower[[#This Row],[LAI_End_BBCH]], CropPhenology_Sunflower[Sub_Stage], CropPhenology_Sunflower[End_GDD], "Not Found")</f>
        <v>1000</v>
      </c>
      <c r="BJ348" s="3" cm="1">
        <f t="array" ref="BJ348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48" s="3" cm="1">
        <f t="array" ref="BK34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48" s="3" cm="1">
        <f t="array" ref="BL348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48" s="3" cm="1">
        <f t="array" ref="BM34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8" s="42">
        <v>0.4</v>
      </c>
      <c r="BO348" s="43">
        <v>0.15</v>
      </c>
      <c r="BP348" s="42">
        <v>3.9039999999999999</v>
      </c>
      <c r="BQ348" s="43" t="s">
        <v>1745</v>
      </c>
      <c r="BR348" s="3" t="str" cm="1">
        <f t="array" ref="BR34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8" s="3" t="str" cm="1">
        <f t="array" ref="BS34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48" s="3" t="str" cm="1">
        <f t="array" ref="BT348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48" s="3" t="str" cm="1">
        <f t="array" ref="BU348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48" s="48">
        <v>100</v>
      </c>
      <c r="BW348" s="1">
        <v>45</v>
      </c>
      <c r="BX348" s="44">
        <v>125</v>
      </c>
      <c r="BY348" s="51">
        <v>350</v>
      </c>
      <c r="BZ348" s="5">
        <v>46</v>
      </c>
      <c r="CA348" s="85">
        <v>0</v>
      </c>
      <c r="CB348" s="2">
        <v>0</v>
      </c>
      <c r="CC348" s="2">
        <v>1</v>
      </c>
      <c r="CD348" s="2">
        <v>1</v>
      </c>
      <c r="CE348" s="2">
        <v>1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P348" s="9"/>
      <c r="CQ348" s="10"/>
    </row>
    <row r="349" spans="2:95" x14ac:dyDescent="0.15">
      <c r="B349" s="67" t="s">
        <v>298</v>
      </c>
      <c r="C349" s="1" t="s">
        <v>2307</v>
      </c>
      <c r="D349" s="1" t="s">
        <v>2113</v>
      </c>
      <c r="E349" s="1" t="s">
        <v>1835</v>
      </c>
      <c r="F349" s="1">
        <v>200</v>
      </c>
      <c r="G349" s="1" t="s">
        <v>2115</v>
      </c>
      <c r="H349" s="1" t="s">
        <v>2119</v>
      </c>
      <c r="K349" s="1" t="s">
        <v>1769</v>
      </c>
      <c r="L349" s="1" t="s">
        <v>1750</v>
      </c>
      <c r="M349" s="1" t="s">
        <v>362</v>
      </c>
      <c r="N349" s="6">
        <v>12.5</v>
      </c>
      <c r="O349" s="1" t="s">
        <v>2078</v>
      </c>
      <c r="P349" s="1">
        <v>50</v>
      </c>
      <c r="Q349" s="1">
        <v>8</v>
      </c>
      <c r="R349" s="1">
        <v>10</v>
      </c>
      <c r="S349" s="1">
        <v>28</v>
      </c>
      <c r="T349" s="1">
        <v>34</v>
      </c>
      <c r="U349" s="253">
        <v>4</v>
      </c>
      <c r="V349" s="1">
        <v>100</v>
      </c>
      <c r="W349" s="44">
        <v>110</v>
      </c>
      <c r="X349" s="40">
        <f>_xlfn.XLOOKUP("Ripening", CropPhenology_Sunflower[Main_Stage], CropPhenology_Sunflower[Start_GDD], "Not Found")</f>
        <v>1001</v>
      </c>
      <c r="Y349" s="4" cm="1">
        <f t="array" ref="Y349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49" s="3">
        <f t="shared" si="191"/>
        <v>11.3</v>
      </c>
      <c r="AA349" s="41">
        <f>Y349/Z349</f>
        <v>119.46902654867256</v>
      </c>
      <c r="AB349" s="1">
        <v>8</v>
      </c>
      <c r="AC349" s="1">
        <v>13</v>
      </c>
      <c r="AD349" s="1">
        <v>4</v>
      </c>
      <c r="AE349" s="1">
        <v>65</v>
      </c>
      <c r="AF349" s="1">
        <v>10</v>
      </c>
      <c r="AG349" s="1">
        <v>5</v>
      </c>
      <c r="AH349" s="3">
        <f>IFERROR((Y349-X349)/AA349,0)</f>
        <v>2.9212592592592594</v>
      </c>
      <c r="AI349" s="1">
        <v>6</v>
      </c>
      <c r="AJ349" s="1">
        <v>7.5</v>
      </c>
      <c r="AK349" s="159">
        <v>1.7</v>
      </c>
      <c r="AL349" s="150">
        <v>5.2999999999999999E-2</v>
      </c>
      <c r="AM349" s="1">
        <v>600</v>
      </c>
      <c r="AN349" s="1">
        <v>1000</v>
      </c>
      <c r="AO349" s="48">
        <v>5</v>
      </c>
      <c r="AP349" s="44">
        <v>300</v>
      </c>
      <c r="AQ349" s="42">
        <v>0.78</v>
      </c>
      <c r="AR349" s="1">
        <v>60</v>
      </c>
      <c r="AS349" s="1">
        <v>20</v>
      </c>
      <c r="AT349" s="1">
        <v>1</v>
      </c>
      <c r="AU349" s="4">
        <f>IFERROR(10000/(AS349*AR349),0)*AT349</f>
        <v>8.3333333333333339</v>
      </c>
      <c r="AV349" s="3">
        <f t="shared" si="195"/>
        <v>4.17</v>
      </c>
      <c r="AW349" s="1">
        <v>90</v>
      </c>
      <c r="AX349" s="3">
        <f>IFERROR((AU349*AW349/100),0)</f>
        <v>7.5</v>
      </c>
      <c r="AY349" s="1">
        <v>1</v>
      </c>
      <c r="AZ349" s="4">
        <f>IFERROR(AX349*AY349,0)</f>
        <v>7.5</v>
      </c>
      <c r="BA349" s="49">
        <v>0.9</v>
      </c>
      <c r="BB349" s="4">
        <f>IFERROR(AZ349*BA349,0)</f>
        <v>6.75</v>
      </c>
      <c r="BC349" s="50">
        <v>0.50697982938910291</v>
      </c>
      <c r="BD349" s="69">
        <f>IFERROR(
  MAX(0.05, MIN(0.5, CropNorms_Sunflower[[#This Row],[Leaf_Area_Per_Shoot_m2]] * CropNorms_Sunflower[[#This Row],[Shoot_Bearing_m2]] )),
  0.2
)</f>
        <v>0.5</v>
      </c>
      <c r="BE349" s="4">
        <f>_xlfn.XLOOKUP(CropNorms_Sunflower[[#This Row],[LAI_Start_BBCH]], CropPhenology_Sunflower[Sub_Stage], CropPhenology_Sunflower[Start_GDD], "Not Found")</f>
        <v>121</v>
      </c>
      <c r="BF349" s="3">
        <f>ROUND(CropNorms_Sunflower[[#This Row],[Shoot_Bearing_m2]]*CropNorms_Sunflower[[#This Row],[Leaf_Area_Per_Shoot_m2]],2)</f>
        <v>3.42</v>
      </c>
      <c r="BG349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49" s="3">
        <f>IF(CropNorms_Sunflower[[#This Row],[Max_LAI]]&gt;=1.2, 0.85*CropNorms_Sunflower[[#This Row],[Max_LAI]], 1)</f>
        <v>2.907</v>
      </c>
      <c r="BI349" s="41">
        <f>_xlfn.XLOOKUP(CropNorms_Sunflower[[#This Row],[LAI_End_BBCH]], CropPhenology_Sunflower[Sub_Stage], CropPhenology_Sunflower[End_GDD], "Not Found")</f>
        <v>1000</v>
      </c>
      <c r="BJ349" s="3" cm="1">
        <f t="array" ref="BJ349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49" s="3" cm="1">
        <f t="array" ref="BK34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49" s="3" cm="1">
        <f t="array" ref="BL349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49" s="3" cm="1">
        <f t="array" ref="BM34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49" s="42">
        <v>0.4</v>
      </c>
      <c r="BO349" s="43">
        <v>0.15</v>
      </c>
      <c r="BP349" s="42">
        <v>2.1800000000000002</v>
      </c>
      <c r="BQ349" s="43" t="s">
        <v>1745</v>
      </c>
      <c r="BR349" s="3" t="str" cm="1">
        <f t="array" ref="BR34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49" s="3" t="str" cm="1">
        <f t="array" ref="BS34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49" s="3" t="str" cm="1">
        <f t="array" ref="BT349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49" s="3" t="str" cm="1">
        <f t="array" ref="BU349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49" s="48">
        <v>100</v>
      </c>
      <c r="BW349" s="1">
        <v>45</v>
      </c>
      <c r="BX349" s="44">
        <v>125</v>
      </c>
      <c r="BY349" s="51">
        <v>350</v>
      </c>
      <c r="BZ349" s="5">
        <v>46</v>
      </c>
      <c r="CA349" s="85">
        <v>0</v>
      </c>
      <c r="CB349" s="2">
        <v>0</v>
      </c>
      <c r="CC349" s="2">
        <v>1</v>
      </c>
      <c r="CD349" s="2">
        <v>1</v>
      </c>
      <c r="CE349" s="2">
        <v>1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P349" s="9"/>
      <c r="CQ349" s="10"/>
    </row>
    <row r="350" spans="2:95" x14ac:dyDescent="0.15">
      <c r="B350" s="67" t="s">
        <v>298</v>
      </c>
      <c r="C350" s="1" t="s">
        <v>303</v>
      </c>
      <c r="D350" s="1" t="s">
        <v>2113</v>
      </c>
      <c r="E350" s="1" t="s">
        <v>1835</v>
      </c>
      <c r="F350" s="1">
        <v>190</v>
      </c>
      <c r="G350" s="1" t="s">
        <v>2116</v>
      </c>
      <c r="H350" s="1" t="s">
        <v>2119</v>
      </c>
      <c r="K350" s="1" t="s">
        <v>1769</v>
      </c>
      <c r="L350" s="1" t="s">
        <v>1750</v>
      </c>
      <c r="M350" s="1" t="s">
        <v>362</v>
      </c>
      <c r="N350" s="6">
        <v>12.5</v>
      </c>
      <c r="O350" s="1" t="s">
        <v>2078</v>
      </c>
      <c r="P350" s="1">
        <v>50</v>
      </c>
      <c r="Q350" s="1">
        <v>8</v>
      </c>
      <c r="R350" s="1">
        <v>10</v>
      </c>
      <c r="S350" s="1">
        <v>28</v>
      </c>
      <c r="T350" s="1">
        <v>34</v>
      </c>
      <c r="U350" s="253">
        <v>4</v>
      </c>
      <c r="V350" s="1">
        <v>100</v>
      </c>
      <c r="W350" s="44">
        <v>110</v>
      </c>
      <c r="X350" s="40">
        <f>_xlfn.XLOOKUP("Ripening", CropPhenology_Sunflower[Main_Stage], CropPhenology_Sunflower[Start_GDD], "Not Found")</f>
        <v>1001</v>
      </c>
      <c r="Y350" s="4" cm="1">
        <f t="array" ref="Y350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0" s="3">
        <f t="shared" si="191"/>
        <v>11.3</v>
      </c>
      <c r="AA350" s="41">
        <f t="shared" ref="AA350:AA363" si="201">Y350/Z350</f>
        <v>119.46902654867256</v>
      </c>
      <c r="AB350" s="1">
        <v>8</v>
      </c>
      <c r="AC350" s="1">
        <v>13</v>
      </c>
      <c r="AD350" s="1">
        <v>4</v>
      </c>
      <c r="AE350" s="1">
        <v>65</v>
      </c>
      <c r="AF350" s="1">
        <v>10</v>
      </c>
      <c r="AG350" s="1">
        <v>5</v>
      </c>
      <c r="AH350" s="3">
        <f t="shared" ref="AH350:AH363" si="202">IFERROR((Y350-X350)/AA350,0)</f>
        <v>2.9212592592592594</v>
      </c>
      <c r="AI350" s="1">
        <v>6</v>
      </c>
      <c r="AJ350" s="1">
        <v>7.5</v>
      </c>
      <c r="AK350" s="159">
        <v>1.7</v>
      </c>
      <c r="AL350" s="150">
        <v>5.2999999999999999E-2</v>
      </c>
      <c r="AM350" s="1">
        <v>600</v>
      </c>
      <c r="AN350" s="1">
        <v>1000</v>
      </c>
      <c r="AO350" s="48">
        <v>5</v>
      </c>
      <c r="AP350" s="44">
        <v>300</v>
      </c>
      <c r="AQ350" s="42">
        <v>0.76</v>
      </c>
      <c r="AR350" s="1">
        <v>60</v>
      </c>
      <c r="AS350" s="1">
        <v>20</v>
      </c>
      <c r="AT350" s="1">
        <v>1</v>
      </c>
      <c r="AU350" s="4">
        <f t="shared" ref="AU350:AU363" si="203">IFERROR(10000/(AS350*AR350),0)*AT350</f>
        <v>8.3333333333333339</v>
      </c>
      <c r="AV350" s="3">
        <f t="shared" si="195"/>
        <v>4.17</v>
      </c>
      <c r="AW350" s="1">
        <v>90</v>
      </c>
      <c r="AX350" s="3">
        <f t="shared" ref="AX350:AX363" si="204">IFERROR((AU350*AW350/100),0)</f>
        <v>7.5</v>
      </c>
      <c r="AY350" s="1">
        <v>1</v>
      </c>
      <c r="AZ350" s="4">
        <f t="shared" ref="AZ350:AZ363" si="205">IFERROR(AX350*AY350,0)</f>
        <v>7.5</v>
      </c>
      <c r="BA350" s="49">
        <v>0.9</v>
      </c>
      <c r="BB350" s="4">
        <f t="shared" ref="BB350:BB363" si="206">IFERROR(AZ350*BA350,0)</f>
        <v>6.75</v>
      </c>
      <c r="BC350" s="50">
        <v>0.50697982938910291</v>
      </c>
      <c r="BD350" s="69">
        <f>IFERROR(
  MAX(0.05, MIN(0.5, CropNorms_Sunflower[[#This Row],[Leaf_Area_Per_Shoot_m2]] * CropNorms_Sunflower[[#This Row],[Shoot_Bearing_m2]] )),
  0.2
)</f>
        <v>0.5</v>
      </c>
      <c r="BE350" s="4">
        <f>_xlfn.XLOOKUP(CropNorms_Sunflower[[#This Row],[LAI_Start_BBCH]], CropPhenology_Sunflower[Sub_Stage], CropPhenology_Sunflower[Start_GDD], "Not Found")</f>
        <v>121</v>
      </c>
      <c r="BF350" s="3">
        <f>ROUND(CropNorms_Sunflower[[#This Row],[Shoot_Bearing_m2]]*CropNorms_Sunflower[[#This Row],[Leaf_Area_Per_Shoot_m2]],2)</f>
        <v>3.42</v>
      </c>
      <c r="BG350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0" s="3">
        <f>IF(CropNorms_Sunflower[[#This Row],[Max_LAI]]&gt;=1.2, 0.85*CropNorms_Sunflower[[#This Row],[Max_LAI]], 1)</f>
        <v>2.907</v>
      </c>
      <c r="BI350" s="41">
        <f>_xlfn.XLOOKUP(CropNorms_Sunflower[[#This Row],[LAI_End_BBCH]], CropPhenology_Sunflower[Sub_Stage], CropPhenology_Sunflower[End_GDD], "Not Found")</f>
        <v>1000</v>
      </c>
      <c r="BJ350" s="3" cm="1">
        <f t="array" ref="BJ350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0" s="3" cm="1">
        <f t="array" ref="BK35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0" s="3" cm="1">
        <f t="array" ref="BL350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0" s="3" cm="1">
        <f t="array" ref="BM35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0" s="42">
        <v>0.4</v>
      </c>
      <c r="BO350" s="43">
        <v>0.15</v>
      </c>
      <c r="BP350" s="42">
        <v>2.1800000000000002</v>
      </c>
      <c r="BQ350" s="43" t="s">
        <v>1745</v>
      </c>
      <c r="BR350" s="3" t="str" cm="1">
        <f t="array" ref="BR35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0" s="3" t="str" cm="1">
        <f t="array" ref="BS35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0" s="3" t="str" cm="1">
        <f t="array" ref="BT350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0" s="3" t="str" cm="1">
        <f t="array" ref="BU350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0" s="48">
        <v>100</v>
      </c>
      <c r="BW350" s="1">
        <v>45</v>
      </c>
      <c r="BX350" s="44">
        <v>125</v>
      </c>
      <c r="BY350" s="51">
        <v>350</v>
      </c>
      <c r="BZ350" s="5">
        <v>46</v>
      </c>
      <c r="CA350" s="85">
        <v>0</v>
      </c>
      <c r="CB350" s="2">
        <v>0</v>
      </c>
      <c r="CC350" s="2">
        <v>1</v>
      </c>
      <c r="CD350" s="2">
        <v>1</v>
      </c>
      <c r="CE350" s="2">
        <v>1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P350" s="9"/>
      <c r="CQ350" s="10"/>
    </row>
    <row r="351" spans="2:95" x14ac:dyDescent="0.15">
      <c r="B351" s="67" t="s">
        <v>298</v>
      </c>
      <c r="C351" s="1" t="s">
        <v>304</v>
      </c>
      <c r="D351" s="1" t="s">
        <v>2113</v>
      </c>
      <c r="E351" s="1" t="s">
        <v>2089</v>
      </c>
      <c r="F351" s="1">
        <v>123</v>
      </c>
      <c r="G351" s="1" t="s">
        <v>2308</v>
      </c>
      <c r="H351" s="1" t="s">
        <v>2119</v>
      </c>
      <c r="K351" s="1" t="s">
        <v>1769</v>
      </c>
      <c r="L351" s="1" t="s">
        <v>1750</v>
      </c>
      <c r="M351" s="1" t="s">
        <v>362</v>
      </c>
      <c r="N351" s="6">
        <v>12.5</v>
      </c>
      <c r="O351" s="1" t="s">
        <v>2306</v>
      </c>
      <c r="P351" s="1">
        <v>37</v>
      </c>
      <c r="Q351" s="1">
        <v>8</v>
      </c>
      <c r="R351" s="1">
        <v>10</v>
      </c>
      <c r="S351" s="1">
        <v>28</v>
      </c>
      <c r="T351" s="1">
        <v>34</v>
      </c>
      <c r="U351" s="253">
        <v>4</v>
      </c>
      <c r="V351" s="1">
        <v>100</v>
      </c>
      <c r="W351" s="44">
        <v>110</v>
      </c>
      <c r="X351" s="40">
        <f>_xlfn.XLOOKUP("Ripening", CropPhenology_Sunflower[Main_Stage], CropPhenology_Sunflower[Start_GDD], "Not Found")</f>
        <v>1001</v>
      </c>
      <c r="Y351" s="4" cm="1">
        <f t="array" ref="Y35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1" s="3">
        <f t="shared" si="191"/>
        <v>11.3</v>
      </c>
      <c r="AA351" s="41">
        <f t="shared" si="201"/>
        <v>119.46902654867256</v>
      </c>
      <c r="AB351" s="1">
        <v>8</v>
      </c>
      <c r="AC351" s="1">
        <v>13</v>
      </c>
      <c r="AD351" s="1">
        <v>4</v>
      </c>
      <c r="AE351" s="1">
        <v>65</v>
      </c>
      <c r="AF351" s="1">
        <v>10</v>
      </c>
      <c r="AG351" s="1">
        <v>5</v>
      </c>
      <c r="AH351" s="3">
        <f t="shared" si="202"/>
        <v>2.9212592592592594</v>
      </c>
      <c r="AI351" s="1">
        <v>6</v>
      </c>
      <c r="AJ351" s="1">
        <v>7.5</v>
      </c>
      <c r="AK351" s="159">
        <v>1.7</v>
      </c>
      <c r="AL351" s="150">
        <v>5.2999999999999999E-2</v>
      </c>
      <c r="AM351" s="1">
        <v>600</v>
      </c>
      <c r="AN351" s="1">
        <v>1000</v>
      </c>
      <c r="AO351" s="48">
        <v>5</v>
      </c>
      <c r="AP351" s="44">
        <v>300</v>
      </c>
      <c r="AQ351" s="42">
        <v>0.8</v>
      </c>
      <c r="AR351" s="1">
        <v>60</v>
      </c>
      <c r="AS351" s="1">
        <v>20</v>
      </c>
      <c r="AT351" s="1">
        <v>1</v>
      </c>
      <c r="AU351" s="4">
        <f t="shared" si="203"/>
        <v>8.3333333333333339</v>
      </c>
      <c r="AV351" s="3">
        <f t="shared" si="195"/>
        <v>3.08</v>
      </c>
      <c r="AW351" s="1">
        <v>90</v>
      </c>
      <c r="AX351" s="3">
        <f t="shared" si="204"/>
        <v>7.5</v>
      </c>
      <c r="AY351" s="1">
        <v>1</v>
      </c>
      <c r="AZ351" s="4">
        <f t="shared" si="205"/>
        <v>7.5</v>
      </c>
      <c r="BA351" s="49">
        <v>0.9</v>
      </c>
      <c r="BB351" s="4">
        <f t="shared" si="206"/>
        <v>6.75</v>
      </c>
      <c r="BC351" s="50">
        <v>0.50697982938910291</v>
      </c>
      <c r="BD351" s="69">
        <f>IFERROR(
  MAX(0.05, MIN(0.5, CropNorms_Sunflower[[#This Row],[Leaf_Area_Per_Shoot_m2]] * CropNorms_Sunflower[[#This Row],[Shoot_Bearing_m2]] )),
  0.2
)</f>
        <v>0.5</v>
      </c>
      <c r="BE351" s="4">
        <f>_xlfn.XLOOKUP(CropNorms_Sunflower[[#This Row],[LAI_Start_BBCH]], CropPhenology_Sunflower[Sub_Stage], CropPhenology_Sunflower[Start_GDD], "Not Found")</f>
        <v>121</v>
      </c>
      <c r="BF351" s="3">
        <f>ROUND(CropNorms_Sunflower[[#This Row],[Shoot_Bearing_m2]]*CropNorms_Sunflower[[#This Row],[Leaf_Area_Per_Shoot_m2]],2)</f>
        <v>3.42</v>
      </c>
      <c r="BG351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1" s="3">
        <f>IF(CropNorms_Sunflower[[#This Row],[Max_LAI]]&gt;=1.2, 0.85*CropNorms_Sunflower[[#This Row],[Max_LAI]], 1)</f>
        <v>2.907</v>
      </c>
      <c r="BI351" s="41">
        <f>_xlfn.XLOOKUP(CropNorms_Sunflower[[#This Row],[LAI_End_BBCH]], CropPhenology_Sunflower[Sub_Stage], CropPhenology_Sunflower[End_GDD], "Not Found")</f>
        <v>1000</v>
      </c>
      <c r="BJ351" s="3" cm="1">
        <f t="array" ref="BJ35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1" s="3" cm="1">
        <f t="array" ref="BK35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1" s="3" cm="1">
        <f t="array" ref="BL35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1" s="3" cm="1">
        <f t="array" ref="BM35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1" s="42">
        <v>0.4</v>
      </c>
      <c r="BO351" s="43">
        <v>0.15</v>
      </c>
      <c r="BP351" s="42">
        <v>2.1800000000000002</v>
      </c>
      <c r="BQ351" s="43" t="s">
        <v>1745</v>
      </c>
      <c r="BR351" s="3" t="str" cm="1">
        <f t="array" ref="BR35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1" s="3" t="str" cm="1">
        <f t="array" ref="BS35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1" s="3" t="str" cm="1">
        <f t="array" ref="BT35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1" s="3" t="str" cm="1">
        <f t="array" ref="BU35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1" s="48">
        <v>100</v>
      </c>
      <c r="BW351" s="1">
        <v>45</v>
      </c>
      <c r="BX351" s="44">
        <v>125</v>
      </c>
      <c r="BY351" s="51">
        <v>350</v>
      </c>
      <c r="BZ351" s="5">
        <v>46</v>
      </c>
      <c r="CA351" s="85">
        <v>0</v>
      </c>
      <c r="CB351" s="2">
        <v>0</v>
      </c>
      <c r="CC351" s="2">
        <v>1</v>
      </c>
      <c r="CD351" s="2">
        <v>1</v>
      </c>
      <c r="CE351" s="2">
        <v>1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P351" s="9"/>
      <c r="CQ351" s="10"/>
    </row>
    <row r="352" spans="2:95" x14ac:dyDescent="0.15">
      <c r="B352" s="67" t="s">
        <v>298</v>
      </c>
      <c r="C352" s="1" t="s">
        <v>2309</v>
      </c>
      <c r="D352" s="1" t="s">
        <v>2113</v>
      </c>
      <c r="E352" s="1" t="s">
        <v>2089</v>
      </c>
      <c r="F352" s="1">
        <v>120</v>
      </c>
      <c r="G352" s="1" t="s">
        <v>2116</v>
      </c>
      <c r="H352" s="1" t="s">
        <v>2119</v>
      </c>
      <c r="K352" s="1" t="s">
        <v>1769</v>
      </c>
      <c r="L352" s="1" t="s">
        <v>1750</v>
      </c>
      <c r="M352" s="1" t="s">
        <v>362</v>
      </c>
      <c r="N352" s="6">
        <v>12.5</v>
      </c>
      <c r="O352" s="1" t="s">
        <v>2078</v>
      </c>
      <c r="P352" s="1">
        <v>50</v>
      </c>
      <c r="Q352" s="1">
        <v>8</v>
      </c>
      <c r="R352" s="1">
        <v>10</v>
      </c>
      <c r="S352" s="1">
        <v>28</v>
      </c>
      <c r="T352" s="1">
        <v>34</v>
      </c>
      <c r="U352" s="253">
        <v>4</v>
      </c>
      <c r="V352" s="1">
        <v>100</v>
      </c>
      <c r="W352" s="44">
        <v>110</v>
      </c>
      <c r="X352" s="40">
        <f>_xlfn.XLOOKUP("Ripening", CropPhenology_Sunflower[Main_Stage], CropPhenology_Sunflower[Start_GDD], "Not Found")</f>
        <v>1001</v>
      </c>
      <c r="Y352" s="4" cm="1">
        <f t="array" ref="Y352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2" s="3">
        <f t="shared" si="191"/>
        <v>11.3</v>
      </c>
      <c r="AA352" s="41">
        <f t="shared" si="201"/>
        <v>119.46902654867256</v>
      </c>
      <c r="AB352" s="1">
        <v>8</v>
      </c>
      <c r="AC352" s="1">
        <v>13</v>
      </c>
      <c r="AD352" s="1">
        <v>4</v>
      </c>
      <c r="AE352" s="1">
        <v>65</v>
      </c>
      <c r="AF352" s="1">
        <v>10</v>
      </c>
      <c r="AG352" s="1">
        <v>5</v>
      </c>
      <c r="AH352" s="3">
        <f t="shared" si="202"/>
        <v>2.9212592592592594</v>
      </c>
      <c r="AI352" s="1">
        <v>6</v>
      </c>
      <c r="AJ352" s="1">
        <v>7.5</v>
      </c>
      <c r="AK352" s="159">
        <v>1.7</v>
      </c>
      <c r="AL352" s="150">
        <v>5.2999999999999999E-2</v>
      </c>
      <c r="AM352" s="1">
        <v>600</v>
      </c>
      <c r="AN352" s="1">
        <v>1000</v>
      </c>
      <c r="AO352" s="48">
        <v>5</v>
      </c>
      <c r="AP352" s="44">
        <v>300</v>
      </c>
      <c r="AQ352" s="42">
        <v>0.85</v>
      </c>
      <c r="AR352" s="1">
        <v>60</v>
      </c>
      <c r="AS352" s="1">
        <v>20</v>
      </c>
      <c r="AT352" s="1">
        <v>1</v>
      </c>
      <c r="AU352" s="4">
        <f t="shared" si="203"/>
        <v>8.3333333333333339</v>
      </c>
      <c r="AV352" s="3">
        <f t="shared" si="195"/>
        <v>4.17</v>
      </c>
      <c r="AW352" s="1">
        <v>90</v>
      </c>
      <c r="AX352" s="3">
        <f t="shared" si="204"/>
        <v>7.5</v>
      </c>
      <c r="AY352" s="1">
        <v>1</v>
      </c>
      <c r="AZ352" s="4">
        <f t="shared" si="205"/>
        <v>7.5</v>
      </c>
      <c r="BA352" s="49">
        <v>0.9</v>
      </c>
      <c r="BB352" s="4">
        <f t="shared" si="206"/>
        <v>6.75</v>
      </c>
      <c r="BC352" s="50">
        <v>0.50697982938910291</v>
      </c>
      <c r="BD352" s="69">
        <f>IFERROR(
  MAX(0.05, MIN(0.5, CropNorms_Sunflower[[#This Row],[Leaf_Area_Per_Shoot_m2]] * CropNorms_Sunflower[[#This Row],[Shoot_Bearing_m2]] )),
  0.2
)</f>
        <v>0.5</v>
      </c>
      <c r="BE352" s="4">
        <f>_xlfn.XLOOKUP(CropNorms_Sunflower[[#This Row],[LAI_Start_BBCH]], CropPhenology_Sunflower[Sub_Stage], CropPhenology_Sunflower[Start_GDD], "Not Found")</f>
        <v>121</v>
      </c>
      <c r="BF352" s="3">
        <f>ROUND(CropNorms_Sunflower[[#This Row],[Shoot_Bearing_m2]]*CropNorms_Sunflower[[#This Row],[Leaf_Area_Per_Shoot_m2]],2)</f>
        <v>3.42</v>
      </c>
      <c r="BG352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2" s="3">
        <f>IF(CropNorms_Sunflower[[#This Row],[Max_LAI]]&gt;=1.2, 0.85*CropNorms_Sunflower[[#This Row],[Max_LAI]], 1)</f>
        <v>2.907</v>
      </c>
      <c r="BI352" s="41">
        <f>_xlfn.XLOOKUP(CropNorms_Sunflower[[#This Row],[LAI_End_BBCH]], CropPhenology_Sunflower[Sub_Stage], CropPhenology_Sunflower[End_GDD], "Not Found")</f>
        <v>1000</v>
      </c>
      <c r="BJ352" s="3" cm="1">
        <f t="array" ref="BJ352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2" s="3" cm="1">
        <f t="array" ref="BK35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2" s="3" cm="1">
        <f t="array" ref="BL352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2" s="3" cm="1">
        <f t="array" ref="BM35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2" s="42">
        <v>0.4</v>
      </c>
      <c r="BO352" s="43">
        <v>0.15</v>
      </c>
      <c r="BP352" s="42">
        <v>2.1800000000000002</v>
      </c>
      <c r="BQ352" s="43" t="s">
        <v>1745</v>
      </c>
      <c r="BR352" s="3" t="str" cm="1">
        <f t="array" ref="BR35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2" s="3" t="str" cm="1">
        <f t="array" ref="BS35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2" s="3" t="str" cm="1">
        <f t="array" ref="BT352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2" s="3" t="str" cm="1">
        <f t="array" ref="BU352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2" s="48">
        <v>100</v>
      </c>
      <c r="BW352" s="1">
        <v>45</v>
      </c>
      <c r="BX352" s="44">
        <v>125</v>
      </c>
      <c r="BY352" s="51">
        <v>350</v>
      </c>
      <c r="BZ352" s="5">
        <v>46</v>
      </c>
      <c r="CA352" s="85">
        <v>0</v>
      </c>
      <c r="CB352" s="2">
        <v>0</v>
      </c>
      <c r="CC352" s="2">
        <v>1</v>
      </c>
      <c r="CD352" s="2">
        <v>1</v>
      </c>
      <c r="CE352" s="2">
        <v>1</v>
      </c>
      <c r="CF352" s="2">
        <v>1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P352" s="9"/>
      <c r="CQ352" s="10"/>
    </row>
    <row r="353" spans="2:95" x14ac:dyDescent="0.15">
      <c r="B353" s="67" t="s">
        <v>298</v>
      </c>
      <c r="C353" s="1" t="s">
        <v>2310</v>
      </c>
      <c r="D353" s="1" t="s">
        <v>2113</v>
      </c>
      <c r="E353" s="1" t="s">
        <v>2089</v>
      </c>
      <c r="F353" s="1">
        <v>120</v>
      </c>
      <c r="G353" s="1" t="s">
        <v>2311</v>
      </c>
      <c r="H353" s="1" t="s">
        <v>2119</v>
      </c>
      <c r="J353" s="1" t="s">
        <v>2312</v>
      </c>
      <c r="K353" s="1" t="s">
        <v>1769</v>
      </c>
      <c r="L353" s="1" t="s">
        <v>1750</v>
      </c>
      <c r="M353" s="1" t="s">
        <v>362</v>
      </c>
      <c r="N353" s="6">
        <v>12.5</v>
      </c>
      <c r="O353" s="1" t="s">
        <v>2078</v>
      </c>
      <c r="P353" s="1">
        <v>50</v>
      </c>
      <c r="Q353" s="1">
        <v>8</v>
      </c>
      <c r="R353" s="1">
        <v>10</v>
      </c>
      <c r="S353" s="1">
        <v>28</v>
      </c>
      <c r="T353" s="1">
        <v>34</v>
      </c>
      <c r="U353" s="253">
        <v>4</v>
      </c>
      <c r="V353" s="1">
        <v>100</v>
      </c>
      <c r="W353" s="44">
        <v>110</v>
      </c>
      <c r="X353" s="40">
        <f>_xlfn.XLOOKUP("Ripening", CropPhenology_Sunflower[Main_Stage], CropPhenology_Sunflower[Start_GDD], "Not Found")</f>
        <v>1001</v>
      </c>
      <c r="Y353" s="4" cm="1">
        <f t="array" ref="Y353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3" s="3">
        <f t="shared" si="191"/>
        <v>11.3</v>
      </c>
      <c r="AA353" s="41">
        <f t="shared" si="201"/>
        <v>119.46902654867256</v>
      </c>
      <c r="AB353" s="1">
        <v>8</v>
      </c>
      <c r="AC353" s="1">
        <v>13</v>
      </c>
      <c r="AD353" s="1">
        <v>4</v>
      </c>
      <c r="AE353" s="1">
        <v>65</v>
      </c>
      <c r="AF353" s="1">
        <v>10</v>
      </c>
      <c r="AG353" s="1">
        <v>5</v>
      </c>
      <c r="AH353" s="3">
        <f t="shared" si="202"/>
        <v>2.9212592592592594</v>
      </c>
      <c r="AI353" s="1">
        <v>6</v>
      </c>
      <c r="AJ353" s="1">
        <v>7.5</v>
      </c>
      <c r="AK353" s="159">
        <v>1.7</v>
      </c>
      <c r="AL353" s="150">
        <v>5.2999999999999999E-2</v>
      </c>
      <c r="AM353" s="1">
        <v>600</v>
      </c>
      <c r="AN353" s="1">
        <v>1000</v>
      </c>
      <c r="AO353" s="48">
        <v>5</v>
      </c>
      <c r="AP353" s="44">
        <v>300</v>
      </c>
      <c r="AQ353" s="42">
        <v>0.85</v>
      </c>
      <c r="AR353" s="1">
        <v>60</v>
      </c>
      <c r="AS353" s="1">
        <v>20</v>
      </c>
      <c r="AT353" s="1">
        <v>1</v>
      </c>
      <c r="AU353" s="4">
        <f t="shared" si="203"/>
        <v>8.3333333333333339</v>
      </c>
      <c r="AV353" s="3">
        <f t="shared" si="195"/>
        <v>4.17</v>
      </c>
      <c r="AW353" s="1">
        <v>90</v>
      </c>
      <c r="AX353" s="3">
        <f t="shared" si="204"/>
        <v>7.5</v>
      </c>
      <c r="AY353" s="1">
        <v>1</v>
      </c>
      <c r="AZ353" s="4">
        <f t="shared" si="205"/>
        <v>7.5</v>
      </c>
      <c r="BA353" s="49">
        <v>0.9</v>
      </c>
      <c r="BB353" s="4">
        <f t="shared" si="206"/>
        <v>6.75</v>
      </c>
      <c r="BC353" s="50">
        <v>0.50697982938910291</v>
      </c>
      <c r="BD353" s="69">
        <f>IFERROR(
  MAX(0.05, MIN(0.5, CropNorms_Sunflower[[#This Row],[Leaf_Area_Per_Shoot_m2]] * CropNorms_Sunflower[[#This Row],[Shoot_Bearing_m2]] )),
  0.2
)</f>
        <v>0.5</v>
      </c>
      <c r="BE353" s="4">
        <f>_xlfn.XLOOKUP(CropNorms_Sunflower[[#This Row],[LAI_Start_BBCH]], CropPhenology_Sunflower[Sub_Stage], CropPhenology_Sunflower[Start_GDD], "Not Found")</f>
        <v>121</v>
      </c>
      <c r="BF353" s="3">
        <f>ROUND(CropNorms_Sunflower[[#This Row],[Shoot_Bearing_m2]]*CropNorms_Sunflower[[#This Row],[Leaf_Area_Per_Shoot_m2]],2)</f>
        <v>3.42</v>
      </c>
      <c r="BG353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3" s="3">
        <f>IF(CropNorms_Sunflower[[#This Row],[Max_LAI]]&gt;=1.2, 0.85*CropNorms_Sunflower[[#This Row],[Max_LAI]], 1)</f>
        <v>2.907</v>
      </c>
      <c r="BI353" s="41">
        <f>_xlfn.XLOOKUP(CropNorms_Sunflower[[#This Row],[LAI_End_BBCH]], CropPhenology_Sunflower[Sub_Stage], CropPhenology_Sunflower[End_GDD], "Not Found")</f>
        <v>1000</v>
      </c>
      <c r="BJ353" s="3" cm="1">
        <f t="array" ref="BJ353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3" s="3" cm="1">
        <f t="array" ref="BK35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3" s="3" cm="1">
        <f t="array" ref="BL353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3" s="3" cm="1">
        <f t="array" ref="BM35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3" s="42">
        <v>0.4</v>
      </c>
      <c r="BO353" s="43">
        <v>0.15</v>
      </c>
      <c r="BP353" s="42">
        <v>2.1800000000000002</v>
      </c>
      <c r="BQ353" s="43" t="s">
        <v>1745</v>
      </c>
      <c r="BR353" s="3" t="str" cm="1">
        <f t="array" ref="BR35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3" s="3" t="str" cm="1">
        <f t="array" ref="BS35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3" s="3" t="str" cm="1">
        <f t="array" ref="BT353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3" s="3" t="str" cm="1">
        <f t="array" ref="BU353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3" s="48">
        <v>100</v>
      </c>
      <c r="BW353" s="1">
        <v>45</v>
      </c>
      <c r="BX353" s="44">
        <v>125</v>
      </c>
      <c r="BY353" s="51">
        <v>350</v>
      </c>
      <c r="BZ353" s="5">
        <v>46</v>
      </c>
      <c r="CA353" s="85">
        <v>0</v>
      </c>
      <c r="CB353" s="2">
        <v>0</v>
      </c>
      <c r="CC353" s="2">
        <v>1</v>
      </c>
      <c r="CD353" s="2">
        <v>1</v>
      </c>
      <c r="CE353" s="2">
        <v>1</v>
      </c>
      <c r="CF353" s="2">
        <v>1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P353" s="9"/>
      <c r="CQ353" s="10"/>
    </row>
    <row r="354" spans="2:95" x14ac:dyDescent="0.15">
      <c r="B354" s="67" t="s">
        <v>298</v>
      </c>
      <c r="C354" s="1" t="s">
        <v>2313</v>
      </c>
      <c r="D354" s="1" t="s">
        <v>2113</v>
      </c>
      <c r="E354" s="1" t="s">
        <v>2089</v>
      </c>
      <c r="F354" s="1">
        <v>120</v>
      </c>
      <c r="G354" s="1" t="s">
        <v>2116</v>
      </c>
      <c r="H354" s="1" t="s">
        <v>2119</v>
      </c>
      <c r="K354" s="1" t="s">
        <v>1769</v>
      </c>
      <c r="L354" s="1" t="s">
        <v>1750</v>
      </c>
      <c r="M354" s="1" t="s">
        <v>362</v>
      </c>
      <c r="N354" s="6">
        <v>12.5</v>
      </c>
      <c r="O354" s="1" t="s">
        <v>2078</v>
      </c>
      <c r="P354" s="1">
        <v>50</v>
      </c>
      <c r="Q354" s="1">
        <v>8</v>
      </c>
      <c r="R354" s="1">
        <v>10</v>
      </c>
      <c r="S354" s="1">
        <v>28</v>
      </c>
      <c r="T354" s="1">
        <v>34</v>
      </c>
      <c r="U354" s="253">
        <v>4</v>
      </c>
      <c r="V354" s="1">
        <v>90</v>
      </c>
      <c r="W354" s="44">
        <v>95</v>
      </c>
      <c r="X354" s="40">
        <f>_xlfn.XLOOKUP("Ripening", CropPhenology_Sunflower[Main_Stage], CropPhenology_Sunflower[Start_GDD], "Not Found")</f>
        <v>1001</v>
      </c>
      <c r="Y354" s="4" cm="1">
        <f t="array" ref="Y354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4" s="3">
        <f t="shared" si="191"/>
        <v>12.768421052631579</v>
      </c>
      <c r="AA354" s="41">
        <f t="shared" si="201"/>
        <v>105.72959604286892</v>
      </c>
      <c r="AB354" s="1">
        <v>8</v>
      </c>
      <c r="AC354" s="1">
        <v>13</v>
      </c>
      <c r="AD354" s="1">
        <v>4</v>
      </c>
      <c r="AE354" s="1">
        <v>65</v>
      </c>
      <c r="AF354" s="1">
        <v>10</v>
      </c>
      <c r="AG354" s="1">
        <v>5</v>
      </c>
      <c r="AH354" s="3">
        <f t="shared" si="202"/>
        <v>3.3008732943469785</v>
      </c>
      <c r="AI354" s="1">
        <v>6</v>
      </c>
      <c r="AJ354" s="1">
        <v>7.5</v>
      </c>
      <c r="AK354" s="159">
        <v>1.7</v>
      </c>
      <c r="AL354" s="150">
        <v>5.2999999999999999E-2</v>
      </c>
      <c r="AM354" s="1">
        <v>600</v>
      </c>
      <c r="AN354" s="1">
        <v>1000</v>
      </c>
      <c r="AO354" s="48">
        <v>5</v>
      </c>
      <c r="AP354" s="44">
        <v>300</v>
      </c>
      <c r="AQ354" s="42">
        <v>0.85</v>
      </c>
      <c r="AR354" s="1">
        <v>60</v>
      </c>
      <c r="AS354" s="1">
        <v>20</v>
      </c>
      <c r="AT354" s="1">
        <v>1</v>
      </c>
      <c r="AU354" s="4">
        <f t="shared" si="203"/>
        <v>8.3333333333333339</v>
      </c>
      <c r="AV354" s="3">
        <f t="shared" si="195"/>
        <v>4.17</v>
      </c>
      <c r="AW354" s="1">
        <v>90</v>
      </c>
      <c r="AX354" s="3">
        <f t="shared" si="204"/>
        <v>7.5</v>
      </c>
      <c r="AY354" s="1">
        <v>1</v>
      </c>
      <c r="AZ354" s="4">
        <f t="shared" si="205"/>
        <v>7.5</v>
      </c>
      <c r="BA354" s="49">
        <v>0.9</v>
      </c>
      <c r="BB354" s="4">
        <f t="shared" si="206"/>
        <v>6.75</v>
      </c>
      <c r="BC354" s="50">
        <v>0.50697982938910291</v>
      </c>
      <c r="BD354" s="69">
        <f>IFERROR(
  MAX(0.05, MIN(0.5, CropNorms_Sunflower[[#This Row],[Leaf_Area_Per_Shoot_m2]] * CropNorms_Sunflower[[#This Row],[Shoot_Bearing_m2]] )),
  0.2
)</f>
        <v>0.5</v>
      </c>
      <c r="BE354" s="4">
        <f>_xlfn.XLOOKUP(CropNorms_Sunflower[[#This Row],[LAI_Start_BBCH]], CropPhenology_Sunflower[Sub_Stage], CropPhenology_Sunflower[Start_GDD], "Not Found")</f>
        <v>121</v>
      </c>
      <c r="BF354" s="3">
        <f>ROUND(CropNorms_Sunflower[[#This Row],[Shoot_Bearing_m2]]*CropNorms_Sunflower[[#This Row],[Leaf_Area_Per_Shoot_m2]],2)</f>
        <v>3.42</v>
      </c>
      <c r="BG354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4" s="3">
        <f>IF(CropNorms_Sunflower[[#This Row],[Max_LAI]]&gt;=1.2, 0.85*CropNorms_Sunflower[[#This Row],[Max_LAI]], 1)</f>
        <v>2.907</v>
      </c>
      <c r="BI354" s="41">
        <f>_xlfn.XLOOKUP(CropNorms_Sunflower[[#This Row],[LAI_End_BBCH]], CropPhenology_Sunflower[Sub_Stage], CropPhenology_Sunflower[End_GDD], "Not Found")</f>
        <v>1000</v>
      </c>
      <c r="BJ354" s="3" cm="1">
        <f t="array" ref="BJ354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4" s="3" cm="1">
        <f t="array" ref="BK35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4" s="3" cm="1">
        <f t="array" ref="BL354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4" s="3" cm="1">
        <f t="array" ref="BM35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4" s="42">
        <v>0.4</v>
      </c>
      <c r="BO354" s="43">
        <v>0.15</v>
      </c>
      <c r="BP354" s="42">
        <v>2.1800000000000002</v>
      </c>
      <c r="BQ354" s="43" t="s">
        <v>1745</v>
      </c>
      <c r="BR354" s="3" t="str" cm="1">
        <f t="array" ref="BR35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4" s="3" t="str" cm="1">
        <f t="array" ref="BS35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4" s="3" t="str" cm="1">
        <f t="array" ref="BT354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4" s="3" t="str" cm="1">
        <f t="array" ref="BU354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4" s="48">
        <v>100</v>
      </c>
      <c r="BW354" s="1">
        <v>45</v>
      </c>
      <c r="BX354" s="44">
        <v>125</v>
      </c>
      <c r="BY354" s="51">
        <v>350</v>
      </c>
      <c r="BZ354" s="5">
        <v>46</v>
      </c>
      <c r="CA354" s="85">
        <v>0</v>
      </c>
      <c r="CB354" s="2">
        <v>0</v>
      </c>
      <c r="CC354" s="2">
        <v>1</v>
      </c>
      <c r="CD354" s="2">
        <v>1</v>
      </c>
      <c r="CE354" s="2">
        <v>1</v>
      </c>
      <c r="CF354" s="2">
        <v>1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P354" s="9"/>
      <c r="CQ354" s="10"/>
    </row>
    <row r="355" spans="2:95" x14ac:dyDescent="0.15">
      <c r="B355" s="67" t="s">
        <v>298</v>
      </c>
      <c r="C355" s="1" t="s">
        <v>2314</v>
      </c>
      <c r="D355" s="1" t="s">
        <v>2113</v>
      </c>
      <c r="E355" s="1" t="s">
        <v>1835</v>
      </c>
      <c r="F355" s="1">
        <v>200</v>
      </c>
      <c r="G355" s="1" t="s">
        <v>2116</v>
      </c>
      <c r="H355" s="1" t="s">
        <v>2118</v>
      </c>
      <c r="K355" s="1" t="s">
        <v>1769</v>
      </c>
      <c r="L355" s="1" t="s">
        <v>1750</v>
      </c>
      <c r="M355" s="1" t="s">
        <v>362</v>
      </c>
      <c r="N355" s="6">
        <v>12.5</v>
      </c>
      <c r="O355" s="1" t="s">
        <v>2078</v>
      </c>
      <c r="P355" s="1">
        <v>50</v>
      </c>
      <c r="Q355" s="1">
        <v>8</v>
      </c>
      <c r="R355" s="1">
        <v>10</v>
      </c>
      <c r="S355" s="1">
        <v>28</v>
      </c>
      <c r="T355" s="1">
        <v>34</v>
      </c>
      <c r="U355" s="253">
        <v>4</v>
      </c>
      <c r="V355" s="1">
        <v>100</v>
      </c>
      <c r="W355" s="44">
        <v>110</v>
      </c>
      <c r="X355" s="40">
        <f>_xlfn.XLOOKUP("Ripening", CropPhenology_Sunflower[Main_Stage], CropPhenology_Sunflower[Start_GDD], "Not Found")</f>
        <v>1001</v>
      </c>
      <c r="Y355" s="4" cm="1">
        <f t="array" ref="Y355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5" s="3">
        <f t="shared" si="191"/>
        <v>11.3</v>
      </c>
      <c r="AA355" s="41">
        <f t="shared" si="201"/>
        <v>119.46902654867256</v>
      </c>
      <c r="AB355" s="1">
        <v>8</v>
      </c>
      <c r="AC355" s="1">
        <v>13</v>
      </c>
      <c r="AD355" s="1">
        <v>4</v>
      </c>
      <c r="AE355" s="1">
        <v>65</v>
      </c>
      <c r="AF355" s="1">
        <v>10</v>
      </c>
      <c r="AG355" s="1">
        <v>5</v>
      </c>
      <c r="AH355" s="3">
        <f t="shared" si="202"/>
        <v>2.9212592592592594</v>
      </c>
      <c r="AI355" s="1">
        <v>6</v>
      </c>
      <c r="AJ355" s="1">
        <v>7.5</v>
      </c>
      <c r="AK355" s="159">
        <v>1.7</v>
      </c>
      <c r="AL355" s="150">
        <v>5.2999999999999999E-2</v>
      </c>
      <c r="AM355" s="1">
        <v>600</v>
      </c>
      <c r="AN355" s="1">
        <v>1000</v>
      </c>
      <c r="AO355" s="48">
        <v>5</v>
      </c>
      <c r="AP355" s="44">
        <v>300</v>
      </c>
      <c r="AQ355" s="42">
        <v>0.85</v>
      </c>
      <c r="AR355" s="1">
        <v>60</v>
      </c>
      <c r="AS355" s="1">
        <v>20</v>
      </c>
      <c r="AT355" s="1">
        <v>1</v>
      </c>
      <c r="AU355" s="4">
        <f t="shared" si="203"/>
        <v>8.3333333333333339</v>
      </c>
      <c r="AV355" s="3">
        <f t="shared" si="195"/>
        <v>4.17</v>
      </c>
      <c r="AW355" s="1">
        <v>90</v>
      </c>
      <c r="AX355" s="3">
        <f t="shared" si="204"/>
        <v>7.5</v>
      </c>
      <c r="AY355" s="1">
        <v>1</v>
      </c>
      <c r="AZ355" s="4">
        <f t="shared" si="205"/>
        <v>7.5</v>
      </c>
      <c r="BA355" s="49">
        <v>0.9</v>
      </c>
      <c r="BB355" s="4">
        <f t="shared" si="206"/>
        <v>6.75</v>
      </c>
      <c r="BC355" s="50">
        <v>0.50697982938910291</v>
      </c>
      <c r="BD355" s="69">
        <f>IFERROR(
  MAX(0.05, MIN(0.5, CropNorms_Sunflower[[#This Row],[Leaf_Area_Per_Shoot_m2]] * CropNorms_Sunflower[[#This Row],[Shoot_Bearing_m2]] )),
  0.2
)</f>
        <v>0.5</v>
      </c>
      <c r="BE355" s="4">
        <f>_xlfn.XLOOKUP(CropNorms_Sunflower[[#This Row],[LAI_Start_BBCH]], CropPhenology_Sunflower[Sub_Stage], CropPhenology_Sunflower[Start_GDD], "Not Found")</f>
        <v>121</v>
      </c>
      <c r="BF355" s="3">
        <f>ROUND(CropNorms_Sunflower[[#This Row],[Shoot_Bearing_m2]]*CropNorms_Sunflower[[#This Row],[Leaf_Area_Per_Shoot_m2]],2)</f>
        <v>3.42</v>
      </c>
      <c r="BG355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5" s="3">
        <f>IF(CropNorms_Sunflower[[#This Row],[Max_LAI]]&gt;=1.2, 0.85*CropNorms_Sunflower[[#This Row],[Max_LAI]], 1)</f>
        <v>2.907</v>
      </c>
      <c r="BI355" s="41">
        <f>_xlfn.XLOOKUP(CropNorms_Sunflower[[#This Row],[LAI_End_BBCH]], CropPhenology_Sunflower[Sub_Stage], CropPhenology_Sunflower[End_GDD], "Not Found")</f>
        <v>1000</v>
      </c>
      <c r="BJ355" s="3" cm="1">
        <f t="array" ref="BJ355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5" s="3" cm="1">
        <f t="array" ref="BK35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5" s="3" cm="1">
        <f t="array" ref="BL355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5" s="3" cm="1">
        <f t="array" ref="BM35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5" s="42">
        <v>0.4</v>
      </c>
      <c r="BO355" s="43">
        <v>0.15</v>
      </c>
      <c r="BP355" s="42">
        <v>2.1800000000000002</v>
      </c>
      <c r="BQ355" s="43" t="s">
        <v>1745</v>
      </c>
      <c r="BR355" s="3" t="str" cm="1">
        <f t="array" ref="BR35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5" s="3" t="str" cm="1">
        <f t="array" ref="BS35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5" s="3" t="str" cm="1">
        <f t="array" ref="BT355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5" s="3" t="str" cm="1">
        <f t="array" ref="BU355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5" s="48">
        <v>100</v>
      </c>
      <c r="BW355" s="1">
        <v>45</v>
      </c>
      <c r="BX355" s="44">
        <v>125</v>
      </c>
      <c r="BY355" s="51">
        <v>350</v>
      </c>
      <c r="BZ355" s="5">
        <v>46</v>
      </c>
      <c r="CA355" s="85">
        <v>0</v>
      </c>
      <c r="CB355" s="2">
        <v>0</v>
      </c>
      <c r="CC355" s="2">
        <v>1</v>
      </c>
      <c r="CD355" s="2">
        <v>1</v>
      </c>
      <c r="CE355" s="2">
        <v>1</v>
      </c>
      <c r="CF355" s="2">
        <v>1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P355" s="9"/>
      <c r="CQ355" s="10"/>
    </row>
    <row r="356" spans="2:95" x14ac:dyDescent="0.15">
      <c r="B356" s="67" t="s">
        <v>298</v>
      </c>
      <c r="C356" s="1" t="s">
        <v>2315</v>
      </c>
      <c r="D356" s="1" t="s">
        <v>2113</v>
      </c>
      <c r="E356" s="1" t="s">
        <v>1835</v>
      </c>
      <c r="F356" s="1">
        <v>163</v>
      </c>
      <c r="G356" s="1" t="s">
        <v>2311</v>
      </c>
      <c r="H356" s="1" t="s">
        <v>2119</v>
      </c>
      <c r="K356" s="1" t="s">
        <v>1769</v>
      </c>
      <c r="L356" s="1" t="s">
        <v>1750</v>
      </c>
      <c r="M356" s="1" t="s">
        <v>362</v>
      </c>
      <c r="N356" s="6">
        <v>12.5</v>
      </c>
      <c r="O356" s="1" t="s">
        <v>2078</v>
      </c>
      <c r="P356" s="1">
        <v>50</v>
      </c>
      <c r="Q356" s="1">
        <v>8</v>
      </c>
      <c r="R356" s="1">
        <v>10</v>
      </c>
      <c r="S356" s="1">
        <v>28</v>
      </c>
      <c r="T356" s="1">
        <v>34</v>
      </c>
      <c r="U356" s="253">
        <v>4</v>
      </c>
      <c r="V356" s="1">
        <v>100</v>
      </c>
      <c r="W356" s="44">
        <v>110</v>
      </c>
      <c r="X356" s="40">
        <f>_xlfn.XLOOKUP("Ripening", CropPhenology_Sunflower[Main_Stage], CropPhenology_Sunflower[Start_GDD], "Not Found")</f>
        <v>1001</v>
      </c>
      <c r="Y356" s="4" cm="1">
        <f t="array" ref="Y356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6" s="3">
        <f t="shared" si="191"/>
        <v>11.3</v>
      </c>
      <c r="AA356" s="41">
        <f t="shared" si="201"/>
        <v>119.46902654867256</v>
      </c>
      <c r="AB356" s="1">
        <v>8</v>
      </c>
      <c r="AC356" s="1">
        <v>13</v>
      </c>
      <c r="AD356" s="1">
        <v>4</v>
      </c>
      <c r="AE356" s="1">
        <v>65</v>
      </c>
      <c r="AF356" s="1">
        <v>10</v>
      </c>
      <c r="AG356" s="1">
        <v>5</v>
      </c>
      <c r="AH356" s="3">
        <f t="shared" si="202"/>
        <v>2.9212592592592594</v>
      </c>
      <c r="AI356" s="1">
        <v>6</v>
      </c>
      <c r="AJ356" s="1">
        <v>7.5</v>
      </c>
      <c r="AK356" s="159">
        <v>1.7</v>
      </c>
      <c r="AL356" s="150">
        <v>5.2999999999999999E-2</v>
      </c>
      <c r="AM356" s="1">
        <v>600</v>
      </c>
      <c r="AN356" s="1">
        <v>1000</v>
      </c>
      <c r="AO356" s="48">
        <v>5</v>
      </c>
      <c r="AP356" s="44">
        <v>300</v>
      </c>
      <c r="AQ356" s="42">
        <v>0.85</v>
      </c>
      <c r="AR356" s="1">
        <v>60</v>
      </c>
      <c r="AS356" s="1">
        <v>20</v>
      </c>
      <c r="AT356" s="1">
        <v>1</v>
      </c>
      <c r="AU356" s="4">
        <f t="shared" si="203"/>
        <v>8.3333333333333339</v>
      </c>
      <c r="AV356" s="3">
        <f t="shared" si="195"/>
        <v>4.17</v>
      </c>
      <c r="AW356" s="1">
        <v>90</v>
      </c>
      <c r="AX356" s="3">
        <f t="shared" si="204"/>
        <v>7.5</v>
      </c>
      <c r="AY356" s="1">
        <v>1</v>
      </c>
      <c r="AZ356" s="4">
        <f t="shared" si="205"/>
        <v>7.5</v>
      </c>
      <c r="BA356" s="49">
        <v>0.9</v>
      </c>
      <c r="BB356" s="4">
        <f t="shared" si="206"/>
        <v>6.75</v>
      </c>
      <c r="BC356" s="50">
        <v>0.50697982938910291</v>
      </c>
      <c r="BD356" s="69">
        <f>IFERROR(
  MAX(0.05, MIN(0.5, CropNorms_Sunflower[[#This Row],[Leaf_Area_Per_Shoot_m2]] * CropNorms_Sunflower[[#This Row],[Shoot_Bearing_m2]] )),
  0.2
)</f>
        <v>0.5</v>
      </c>
      <c r="BE356" s="4">
        <f>_xlfn.XLOOKUP(CropNorms_Sunflower[[#This Row],[LAI_Start_BBCH]], CropPhenology_Sunflower[Sub_Stage], CropPhenology_Sunflower[Start_GDD], "Not Found")</f>
        <v>121</v>
      </c>
      <c r="BF356" s="3">
        <f>ROUND(CropNorms_Sunflower[[#This Row],[Shoot_Bearing_m2]]*CropNorms_Sunflower[[#This Row],[Leaf_Area_Per_Shoot_m2]],2)</f>
        <v>3.42</v>
      </c>
      <c r="BG356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6" s="3">
        <f>IF(CropNorms_Sunflower[[#This Row],[Max_LAI]]&gt;=1.2, 0.85*CropNorms_Sunflower[[#This Row],[Max_LAI]], 1)</f>
        <v>2.907</v>
      </c>
      <c r="BI356" s="41">
        <f>_xlfn.XLOOKUP(CropNorms_Sunflower[[#This Row],[LAI_End_BBCH]], CropPhenology_Sunflower[Sub_Stage], CropPhenology_Sunflower[End_GDD], "Not Found")</f>
        <v>1000</v>
      </c>
      <c r="BJ356" s="3" cm="1">
        <f t="array" ref="BJ356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6" s="3" cm="1">
        <f t="array" ref="BK35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6" s="3" cm="1">
        <f t="array" ref="BL356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6" s="3" cm="1">
        <f t="array" ref="BM35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6" s="42">
        <v>0.4</v>
      </c>
      <c r="BO356" s="43">
        <v>0.15</v>
      </c>
      <c r="BP356" s="42">
        <v>2.1800000000000002</v>
      </c>
      <c r="BQ356" s="43" t="s">
        <v>1745</v>
      </c>
      <c r="BR356" s="3" t="str" cm="1">
        <f t="array" ref="BR35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6" s="3" t="str" cm="1">
        <f t="array" ref="BS35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6" s="3" t="str" cm="1">
        <f t="array" ref="BT356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6" s="3" t="str" cm="1">
        <f t="array" ref="BU356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6" s="48">
        <v>100</v>
      </c>
      <c r="BW356" s="1">
        <v>45</v>
      </c>
      <c r="BX356" s="44">
        <v>125</v>
      </c>
      <c r="BY356" s="51">
        <v>350</v>
      </c>
      <c r="BZ356" s="5">
        <v>46</v>
      </c>
      <c r="CA356" s="85">
        <v>0</v>
      </c>
      <c r="CB356" s="2">
        <v>0</v>
      </c>
      <c r="CC356" s="2">
        <v>1</v>
      </c>
      <c r="CD356" s="2">
        <v>1</v>
      </c>
      <c r="CE356" s="2">
        <v>1</v>
      </c>
      <c r="CF356" s="2">
        <v>1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P356" s="9"/>
      <c r="CQ356" s="10"/>
    </row>
    <row r="357" spans="2:95" x14ac:dyDescent="0.15">
      <c r="B357" s="67" t="s">
        <v>298</v>
      </c>
      <c r="C357" s="1" t="s">
        <v>2316</v>
      </c>
      <c r="D357" s="1" t="s">
        <v>2113</v>
      </c>
      <c r="E357" s="1" t="s">
        <v>1835</v>
      </c>
      <c r="F357" s="1">
        <v>200</v>
      </c>
      <c r="G357" s="1" t="s">
        <v>2116</v>
      </c>
      <c r="H357" s="1" t="s">
        <v>2119</v>
      </c>
      <c r="K357" s="1" t="s">
        <v>1769</v>
      </c>
      <c r="L357" s="1" t="s">
        <v>1750</v>
      </c>
      <c r="M357" s="1" t="s">
        <v>362</v>
      </c>
      <c r="N357" s="6">
        <v>12.5</v>
      </c>
      <c r="O357" s="1" t="s">
        <v>2078</v>
      </c>
      <c r="P357" s="1">
        <v>50</v>
      </c>
      <c r="Q357" s="1">
        <v>8</v>
      </c>
      <c r="R357" s="1">
        <v>10</v>
      </c>
      <c r="S357" s="1">
        <v>28</v>
      </c>
      <c r="T357" s="1">
        <v>34</v>
      </c>
      <c r="U357" s="253">
        <v>4</v>
      </c>
      <c r="V357" s="1">
        <v>100</v>
      </c>
      <c r="W357" s="44">
        <v>110</v>
      </c>
      <c r="X357" s="40">
        <f>_xlfn.XLOOKUP("Ripening", CropPhenology_Sunflower[Main_Stage], CropPhenology_Sunflower[Start_GDD], "Not Found")</f>
        <v>1001</v>
      </c>
      <c r="Y357" s="4" cm="1">
        <f t="array" ref="Y357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7" s="3">
        <f t="shared" si="191"/>
        <v>11.3</v>
      </c>
      <c r="AA357" s="41">
        <f t="shared" si="201"/>
        <v>119.46902654867256</v>
      </c>
      <c r="AB357" s="1">
        <v>8</v>
      </c>
      <c r="AC357" s="1">
        <v>13</v>
      </c>
      <c r="AD357" s="1">
        <v>4</v>
      </c>
      <c r="AE357" s="1">
        <v>65</v>
      </c>
      <c r="AF357" s="1">
        <v>10</v>
      </c>
      <c r="AG357" s="1">
        <v>5</v>
      </c>
      <c r="AH357" s="3">
        <f t="shared" si="202"/>
        <v>2.9212592592592594</v>
      </c>
      <c r="AI357" s="1">
        <v>6</v>
      </c>
      <c r="AJ357" s="1">
        <v>7.5</v>
      </c>
      <c r="AK357" s="159">
        <v>1.7</v>
      </c>
      <c r="AL357" s="150">
        <v>5.2999999999999999E-2</v>
      </c>
      <c r="AM357" s="1">
        <v>600</v>
      </c>
      <c r="AN357" s="1">
        <v>1000</v>
      </c>
      <c r="AO357" s="48">
        <v>5</v>
      </c>
      <c r="AP357" s="44">
        <v>300</v>
      </c>
      <c r="AQ357" s="42">
        <v>0.85</v>
      </c>
      <c r="AR357" s="1">
        <v>60</v>
      </c>
      <c r="AS357" s="1">
        <v>20</v>
      </c>
      <c r="AT357" s="1">
        <v>1</v>
      </c>
      <c r="AU357" s="4">
        <f t="shared" si="203"/>
        <v>8.3333333333333339</v>
      </c>
      <c r="AV357" s="3">
        <f t="shared" si="195"/>
        <v>4.17</v>
      </c>
      <c r="AW357" s="1">
        <v>90</v>
      </c>
      <c r="AX357" s="3">
        <f t="shared" si="204"/>
        <v>7.5</v>
      </c>
      <c r="AY357" s="1">
        <v>1</v>
      </c>
      <c r="AZ357" s="4">
        <f t="shared" si="205"/>
        <v>7.5</v>
      </c>
      <c r="BA357" s="49">
        <v>0.9</v>
      </c>
      <c r="BB357" s="4">
        <f t="shared" si="206"/>
        <v>6.75</v>
      </c>
      <c r="BC357" s="50">
        <v>0.50697982938910291</v>
      </c>
      <c r="BD357" s="69">
        <f>IFERROR(
  MAX(0.05, MIN(0.5, CropNorms_Sunflower[[#This Row],[Leaf_Area_Per_Shoot_m2]] * CropNorms_Sunflower[[#This Row],[Shoot_Bearing_m2]] )),
  0.2
)</f>
        <v>0.5</v>
      </c>
      <c r="BE357" s="4">
        <f>_xlfn.XLOOKUP(CropNorms_Sunflower[[#This Row],[LAI_Start_BBCH]], CropPhenology_Sunflower[Sub_Stage], CropPhenology_Sunflower[Start_GDD], "Not Found")</f>
        <v>121</v>
      </c>
      <c r="BF357" s="3">
        <f>ROUND(CropNorms_Sunflower[[#This Row],[Shoot_Bearing_m2]]*CropNorms_Sunflower[[#This Row],[Leaf_Area_Per_Shoot_m2]],2)</f>
        <v>3.42</v>
      </c>
      <c r="BG357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7" s="3">
        <f>IF(CropNorms_Sunflower[[#This Row],[Max_LAI]]&gt;=1.2, 0.85*CropNorms_Sunflower[[#This Row],[Max_LAI]], 1)</f>
        <v>2.907</v>
      </c>
      <c r="BI357" s="41">
        <f>_xlfn.XLOOKUP(CropNorms_Sunflower[[#This Row],[LAI_End_BBCH]], CropPhenology_Sunflower[Sub_Stage], CropPhenology_Sunflower[End_GDD], "Not Found")</f>
        <v>1000</v>
      </c>
      <c r="BJ357" s="3" cm="1">
        <f t="array" ref="BJ357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7" s="3" cm="1">
        <f t="array" ref="BK35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7" s="3" cm="1">
        <f t="array" ref="BL357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7" s="3" cm="1">
        <f t="array" ref="BM35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7" s="42">
        <v>0.4</v>
      </c>
      <c r="BO357" s="43">
        <v>0.15</v>
      </c>
      <c r="BP357" s="42">
        <v>2.1800000000000002</v>
      </c>
      <c r="BQ357" s="43" t="s">
        <v>1745</v>
      </c>
      <c r="BR357" s="3" t="str" cm="1">
        <f t="array" ref="BR35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7" s="3" t="str" cm="1">
        <f t="array" ref="BS35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7" s="3" t="str" cm="1">
        <f t="array" ref="BT357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7" s="3" t="str" cm="1">
        <f t="array" ref="BU357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7" s="48">
        <v>100</v>
      </c>
      <c r="BW357" s="1">
        <v>45</v>
      </c>
      <c r="BX357" s="44">
        <v>125</v>
      </c>
      <c r="BY357" s="51">
        <v>350</v>
      </c>
      <c r="BZ357" s="5">
        <v>46</v>
      </c>
      <c r="CA357" s="85">
        <v>0</v>
      </c>
      <c r="CB357" s="2">
        <v>0</v>
      </c>
      <c r="CC357" s="2">
        <v>1</v>
      </c>
      <c r="CD357" s="2">
        <v>1</v>
      </c>
      <c r="CE357" s="2">
        <v>1</v>
      </c>
      <c r="CF357" s="2">
        <v>1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P357" s="9"/>
      <c r="CQ357" s="10"/>
    </row>
    <row r="358" spans="2:95" x14ac:dyDescent="0.15">
      <c r="B358" s="67" t="s">
        <v>298</v>
      </c>
      <c r="C358" s="1" t="s">
        <v>2317</v>
      </c>
      <c r="D358" s="1" t="s">
        <v>2113</v>
      </c>
      <c r="E358" s="1" t="s">
        <v>1835</v>
      </c>
      <c r="F358" s="1">
        <v>193</v>
      </c>
      <c r="G358" s="1" t="s">
        <v>2116</v>
      </c>
      <c r="H358" s="1" t="s">
        <v>2119</v>
      </c>
      <c r="J358" s="1" t="s">
        <v>2304</v>
      </c>
      <c r="K358" s="1" t="s">
        <v>1769</v>
      </c>
      <c r="L358" s="1" t="s">
        <v>1750</v>
      </c>
      <c r="M358" s="1" t="s">
        <v>362</v>
      </c>
      <c r="N358" s="6">
        <v>12.5</v>
      </c>
      <c r="O358" s="1" t="s">
        <v>2078</v>
      </c>
      <c r="P358" s="1">
        <v>50</v>
      </c>
      <c r="Q358" s="1">
        <v>8</v>
      </c>
      <c r="R358" s="1">
        <v>10</v>
      </c>
      <c r="S358" s="1">
        <v>28</v>
      </c>
      <c r="T358" s="1">
        <v>34</v>
      </c>
      <c r="U358" s="253">
        <v>4</v>
      </c>
      <c r="V358" s="1">
        <v>100</v>
      </c>
      <c r="W358" s="44">
        <v>110</v>
      </c>
      <c r="X358" s="40">
        <f>_xlfn.XLOOKUP("Ripening", CropPhenology_Sunflower[Main_Stage], CropPhenology_Sunflower[Start_GDD], "Not Found")</f>
        <v>1001</v>
      </c>
      <c r="Y358" s="4" cm="1">
        <f t="array" ref="Y358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8" s="3">
        <f t="shared" si="191"/>
        <v>11.3</v>
      </c>
      <c r="AA358" s="41">
        <f t="shared" si="201"/>
        <v>119.46902654867256</v>
      </c>
      <c r="AB358" s="1">
        <v>8</v>
      </c>
      <c r="AC358" s="1">
        <v>13</v>
      </c>
      <c r="AD358" s="1">
        <v>4</v>
      </c>
      <c r="AE358" s="1">
        <v>65</v>
      </c>
      <c r="AF358" s="1">
        <v>10</v>
      </c>
      <c r="AG358" s="1">
        <v>5</v>
      </c>
      <c r="AH358" s="3">
        <f t="shared" si="202"/>
        <v>2.9212592592592594</v>
      </c>
      <c r="AI358" s="1">
        <v>6</v>
      </c>
      <c r="AJ358" s="1">
        <v>7.5</v>
      </c>
      <c r="AK358" s="159">
        <v>1.7</v>
      </c>
      <c r="AL358" s="150">
        <v>5.2999999999999999E-2</v>
      </c>
      <c r="AM358" s="1">
        <v>600</v>
      </c>
      <c r="AN358" s="1">
        <v>1000</v>
      </c>
      <c r="AO358" s="48">
        <v>5</v>
      </c>
      <c r="AP358" s="44">
        <v>300</v>
      </c>
      <c r="AQ358" s="42">
        <v>0.85</v>
      </c>
      <c r="AR358" s="1">
        <v>60</v>
      </c>
      <c r="AS358" s="1">
        <v>20</v>
      </c>
      <c r="AT358" s="1">
        <v>1</v>
      </c>
      <c r="AU358" s="4">
        <f t="shared" si="203"/>
        <v>8.3333333333333339</v>
      </c>
      <c r="AV358" s="3">
        <f t="shared" si="195"/>
        <v>4.17</v>
      </c>
      <c r="AW358" s="1">
        <v>90</v>
      </c>
      <c r="AX358" s="3">
        <f t="shared" si="204"/>
        <v>7.5</v>
      </c>
      <c r="AY358" s="1">
        <v>1</v>
      </c>
      <c r="AZ358" s="4">
        <f t="shared" si="205"/>
        <v>7.5</v>
      </c>
      <c r="BA358" s="49">
        <v>0.9</v>
      </c>
      <c r="BB358" s="4">
        <f t="shared" si="206"/>
        <v>6.75</v>
      </c>
      <c r="BC358" s="50">
        <v>0.50697982938910291</v>
      </c>
      <c r="BD358" s="69">
        <f>IFERROR(
  MAX(0.05, MIN(0.5, CropNorms_Sunflower[[#This Row],[Leaf_Area_Per_Shoot_m2]] * CropNorms_Sunflower[[#This Row],[Shoot_Bearing_m2]] )),
  0.2
)</f>
        <v>0.5</v>
      </c>
      <c r="BE358" s="4">
        <f>_xlfn.XLOOKUP(CropNorms_Sunflower[[#This Row],[LAI_Start_BBCH]], CropPhenology_Sunflower[Sub_Stage], CropPhenology_Sunflower[Start_GDD], "Not Found")</f>
        <v>121</v>
      </c>
      <c r="BF358" s="3">
        <f>ROUND(CropNorms_Sunflower[[#This Row],[Shoot_Bearing_m2]]*CropNorms_Sunflower[[#This Row],[Leaf_Area_Per_Shoot_m2]],2)</f>
        <v>3.42</v>
      </c>
      <c r="BG358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8" s="3">
        <f>IF(CropNorms_Sunflower[[#This Row],[Max_LAI]]&gt;=1.2, 0.85*CropNorms_Sunflower[[#This Row],[Max_LAI]], 1)</f>
        <v>2.907</v>
      </c>
      <c r="BI358" s="41">
        <f>_xlfn.XLOOKUP(CropNorms_Sunflower[[#This Row],[LAI_End_BBCH]], CropPhenology_Sunflower[Sub_Stage], CropPhenology_Sunflower[End_GDD], "Not Found")</f>
        <v>1000</v>
      </c>
      <c r="BJ358" s="3" cm="1">
        <f t="array" ref="BJ358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8" s="3" cm="1">
        <f t="array" ref="BK35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8" s="3" cm="1">
        <f t="array" ref="BL358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8" s="3" cm="1">
        <f t="array" ref="BM35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8" s="42">
        <v>0.4</v>
      </c>
      <c r="BO358" s="43">
        <v>0.15</v>
      </c>
      <c r="BP358" s="42">
        <v>2.1800000000000002</v>
      </c>
      <c r="BQ358" s="43" t="s">
        <v>1745</v>
      </c>
      <c r="BR358" s="3" t="str" cm="1">
        <f t="array" ref="BR35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8" s="3" t="str" cm="1">
        <f t="array" ref="BS35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8" s="3" t="str" cm="1">
        <f t="array" ref="BT358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8" s="3" t="str" cm="1">
        <f t="array" ref="BU358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8" s="48">
        <v>100</v>
      </c>
      <c r="BW358" s="1">
        <v>45</v>
      </c>
      <c r="BX358" s="44">
        <v>125</v>
      </c>
      <c r="BY358" s="51">
        <v>350</v>
      </c>
      <c r="BZ358" s="5">
        <v>46</v>
      </c>
      <c r="CA358" s="85">
        <v>0</v>
      </c>
      <c r="CB358" s="2">
        <v>0</v>
      </c>
      <c r="CC358" s="2">
        <v>1</v>
      </c>
      <c r="CD358" s="2">
        <v>1</v>
      </c>
      <c r="CE358" s="2">
        <v>1</v>
      </c>
      <c r="CF358" s="2">
        <v>1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P358" s="9"/>
      <c r="CQ358" s="10"/>
    </row>
    <row r="359" spans="2:95" x14ac:dyDescent="0.15">
      <c r="B359" s="67" t="s">
        <v>298</v>
      </c>
      <c r="C359" s="1" t="s">
        <v>2318</v>
      </c>
      <c r="D359" s="1" t="s">
        <v>2113</v>
      </c>
      <c r="E359" s="1" t="s">
        <v>1835</v>
      </c>
      <c r="F359" s="1">
        <v>193</v>
      </c>
      <c r="G359" s="1" t="s">
        <v>2319</v>
      </c>
      <c r="H359" s="1" t="s">
        <v>2119</v>
      </c>
      <c r="K359" s="1" t="s">
        <v>1769</v>
      </c>
      <c r="L359" s="1" t="s">
        <v>1750</v>
      </c>
      <c r="M359" s="1" t="s">
        <v>362</v>
      </c>
      <c r="N359" s="6">
        <v>12.5</v>
      </c>
      <c r="O359" s="1" t="s">
        <v>2078</v>
      </c>
      <c r="P359" s="1">
        <v>50</v>
      </c>
      <c r="Q359" s="1">
        <v>8</v>
      </c>
      <c r="R359" s="1">
        <v>10</v>
      </c>
      <c r="S359" s="1">
        <v>28</v>
      </c>
      <c r="T359" s="1">
        <v>34</v>
      </c>
      <c r="U359" s="253">
        <v>4</v>
      </c>
      <c r="V359" s="1">
        <v>100</v>
      </c>
      <c r="W359" s="44">
        <v>110</v>
      </c>
      <c r="X359" s="40">
        <f>_xlfn.XLOOKUP("Ripening", CropPhenology_Sunflower[Main_Stage], CropPhenology_Sunflower[Start_GDD], "Not Found")</f>
        <v>1001</v>
      </c>
      <c r="Y359" s="4" cm="1">
        <f t="array" ref="Y359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59" s="3">
        <f t="shared" si="191"/>
        <v>11.3</v>
      </c>
      <c r="AA359" s="41">
        <f t="shared" si="201"/>
        <v>119.46902654867256</v>
      </c>
      <c r="AB359" s="1">
        <v>8</v>
      </c>
      <c r="AC359" s="1">
        <v>13</v>
      </c>
      <c r="AD359" s="1">
        <v>4</v>
      </c>
      <c r="AE359" s="1">
        <v>65</v>
      </c>
      <c r="AF359" s="1">
        <v>10</v>
      </c>
      <c r="AG359" s="1">
        <v>5</v>
      </c>
      <c r="AH359" s="3">
        <f t="shared" si="202"/>
        <v>2.9212592592592594</v>
      </c>
      <c r="AI359" s="1">
        <v>6</v>
      </c>
      <c r="AJ359" s="1">
        <v>7.5</v>
      </c>
      <c r="AK359" s="159">
        <v>1.7</v>
      </c>
      <c r="AL359" s="150">
        <v>5.2999999999999999E-2</v>
      </c>
      <c r="AM359" s="1">
        <v>600</v>
      </c>
      <c r="AN359" s="1">
        <v>1000</v>
      </c>
      <c r="AO359" s="48">
        <v>5</v>
      </c>
      <c r="AP359" s="44">
        <v>300</v>
      </c>
      <c r="AQ359" s="42">
        <v>0.85</v>
      </c>
      <c r="AR359" s="1">
        <v>60</v>
      </c>
      <c r="AS359" s="1">
        <v>20</v>
      </c>
      <c r="AT359" s="1">
        <v>1</v>
      </c>
      <c r="AU359" s="4">
        <f t="shared" si="203"/>
        <v>8.3333333333333339</v>
      </c>
      <c r="AV359" s="3">
        <f t="shared" si="195"/>
        <v>4.17</v>
      </c>
      <c r="AW359" s="1">
        <v>90</v>
      </c>
      <c r="AX359" s="3">
        <f t="shared" si="204"/>
        <v>7.5</v>
      </c>
      <c r="AY359" s="1">
        <v>1</v>
      </c>
      <c r="AZ359" s="4">
        <f t="shared" si="205"/>
        <v>7.5</v>
      </c>
      <c r="BA359" s="49">
        <v>0.9</v>
      </c>
      <c r="BB359" s="4">
        <f t="shared" si="206"/>
        <v>6.75</v>
      </c>
      <c r="BC359" s="50">
        <v>0.50697982938910291</v>
      </c>
      <c r="BD359" s="69">
        <f>IFERROR(
  MAX(0.05, MIN(0.5, CropNorms_Sunflower[[#This Row],[Leaf_Area_Per_Shoot_m2]] * CropNorms_Sunflower[[#This Row],[Shoot_Bearing_m2]] )),
  0.2
)</f>
        <v>0.5</v>
      </c>
      <c r="BE359" s="4">
        <f>_xlfn.XLOOKUP(CropNorms_Sunflower[[#This Row],[LAI_Start_BBCH]], CropPhenology_Sunflower[Sub_Stage], CropPhenology_Sunflower[Start_GDD], "Not Found")</f>
        <v>121</v>
      </c>
      <c r="BF359" s="3">
        <f>ROUND(CropNorms_Sunflower[[#This Row],[Shoot_Bearing_m2]]*CropNorms_Sunflower[[#This Row],[Leaf_Area_Per_Shoot_m2]],2)</f>
        <v>3.42</v>
      </c>
      <c r="BG359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59" s="3">
        <f>IF(CropNorms_Sunflower[[#This Row],[Max_LAI]]&gt;=1.2, 0.85*CropNorms_Sunflower[[#This Row],[Max_LAI]], 1)</f>
        <v>2.907</v>
      </c>
      <c r="BI359" s="41">
        <f>_xlfn.XLOOKUP(CropNorms_Sunflower[[#This Row],[LAI_End_BBCH]], CropPhenology_Sunflower[Sub_Stage], CropPhenology_Sunflower[End_GDD], "Not Found")</f>
        <v>1000</v>
      </c>
      <c r="BJ359" s="3" cm="1">
        <f t="array" ref="BJ359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59" s="3" cm="1">
        <f t="array" ref="BK35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59" s="3" cm="1">
        <f t="array" ref="BL359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59" s="3" cm="1">
        <f t="array" ref="BM35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59" s="42">
        <v>0.4</v>
      </c>
      <c r="BO359" s="43">
        <v>0.15</v>
      </c>
      <c r="BP359" s="42">
        <v>2.1800000000000002</v>
      </c>
      <c r="BQ359" s="43" t="s">
        <v>1745</v>
      </c>
      <c r="BR359" s="3" t="str" cm="1">
        <f t="array" ref="BR35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59" s="3" t="str" cm="1">
        <f t="array" ref="BS35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59" s="3" t="str" cm="1">
        <f t="array" ref="BT359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59" s="3" t="str" cm="1">
        <f t="array" ref="BU359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59" s="48">
        <v>100</v>
      </c>
      <c r="BW359" s="1">
        <v>45</v>
      </c>
      <c r="BX359" s="44">
        <v>125</v>
      </c>
      <c r="BY359" s="51">
        <v>350</v>
      </c>
      <c r="BZ359" s="5">
        <v>46</v>
      </c>
      <c r="CA359" s="85">
        <v>0</v>
      </c>
      <c r="CB359" s="2">
        <v>0</v>
      </c>
      <c r="CC359" s="2">
        <v>1</v>
      </c>
      <c r="CD359" s="2">
        <v>1</v>
      </c>
      <c r="CE359" s="2">
        <v>1</v>
      </c>
      <c r="CF359" s="2">
        <v>1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P359" s="9"/>
      <c r="CQ359" s="10"/>
    </row>
    <row r="360" spans="2:95" x14ac:dyDescent="0.15">
      <c r="B360" s="67" t="s">
        <v>298</v>
      </c>
      <c r="C360" s="1" t="s">
        <v>2320</v>
      </c>
      <c r="D360" s="1" t="s">
        <v>2113</v>
      </c>
      <c r="E360" s="1" t="s">
        <v>1835</v>
      </c>
      <c r="F360" s="1">
        <v>200</v>
      </c>
      <c r="G360" s="1" t="s">
        <v>2116</v>
      </c>
      <c r="H360" s="1" t="s">
        <v>2118</v>
      </c>
      <c r="K360" s="1" t="s">
        <v>1769</v>
      </c>
      <c r="L360" s="1" t="s">
        <v>1750</v>
      </c>
      <c r="M360" s="1" t="s">
        <v>362</v>
      </c>
      <c r="N360" s="6">
        <v>12.5</v>
      </c>
      <c r="O360" s="1" t="s">
        <v>2078</v>
      </c>
      <c r="P360" s="1">
        <v>50</v>
      </c>
      <c r="Q360" s="1">
        <v>8</v>
      </c>
      <c r="R360" s="1">
        <v>10</v>
      </c>
      <c r="S360" s="1">
        <v>28</v>
      </c>
      <c r="T360" s="1">
        <v>34</v>
      </c>
      <c r="U360" s="253">
        <v>4</v>
      </c>
      <c r="V360" s="1">
        <v>100</v>
      </c>
      <c r="W360" s="44">
        <v>110</v>
      </c>
      <c r="X360" s="40">
        <f>_xlfn.XLOOKUP("Ripening", CropPhenology_Sunflower[Main_Stage], CropPhenology_Sunflower[Start_GDD], "Not Found")</f>
        <v>1001</v>
      </c>
      <c r="Y360" s="4" cm="1">
        <f t="array" ref="Y360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60" s="3">
        <f t="shared" si="191"/>
        <v>11.3</v>
      </c>
      <c r="AA360" s="41">
        <f t="shared" si="201"/>
        <v>119.46902654867256</v>
      </c>
      <c r="AB360" s="1">
        <v>8</v>
      </c>
      <c r="AC360" s="1">
        <v>13</v>
      </c>
      <c r="AD360" s="1">
        <v>4</v>
      </c>
      <c r="AE360" s="1">
        <v>65</v>
      </c>
      <c r="AF360" s="1">
        <v>10</v>
      </c>
      <c r="AG360" s="1">
        <v>5</v>
      </c>
      <c r="AH360" s="3">
        <f t="shared" si="202"/>
        <v>2.9212592592592594</v>
      </c>
      <c r="AI360" s="1">
        <v>6</v>
      </c>
      <c r="AJ360" s="1">
        <v>7.5</v>
      </c>
      <c r="AK360" s="159">
        <v>1.7</v>
      </c>
      <c r="AL360" s="150">
        <v>5.2999999999999999E-2</v>
      </c>
      <c r="AM360" s="1">
        <v>600</v>
      </c>
      <c r="AN360" s="1">
        <v>1000</v>
      </c>
      <c r="AO360" s="48">
        <v>5</v>
      </c>
      <c r="AP360" s="44">
        <v>300</v>
      </c>
      <c r="AQ360" s="42">
        <v>0.85</v>
      </c>
      <c r="AR360" s="1">
        <v>60</v>
      </c>
      <c r="AS360" s="1">
        <v>20</v>
      </c>
      <c r="AT360" s="1">
        <v>1</v>
      </c>
      <c r="AU360" s="4">
        <f t="shared" si="203"/>
        <v>8.3333333333333339</v>
      </c>
      <c r="AV360" s="3">
        <f t="shared" si="195"/>
        <v>4.17</v>
      </c>
      <c r="AW360" s="1">
        <v>90</v>
      </c>
      <c r="AX360" s="3">
        <f t="shared" si="204"/>
        <v>7.5</v>
      </c>
      <c r="AY360" s="1">
        <v>1</v>
      </c>
      <c r="AZ360" s="4">
        <f t="shared" si="205"/>
        <v>7.5</v>
      </c>
      <c r="BA360" s="49">
        <v>0.9</v>
      </c>
      <c r="BB360" s="4">
        <f t="shared" si="206"/>
        <v>6.75</v>
      </c>
      <c r="BC360" s="50">
        <v>0.50697982938910291</v>
      </c>
      <c r="BD360" s="69">
        <f>IFERROR(
  MAX(0.05, MIN(0.5, CropNorms_Sunflower[[#This Row],[Leaf_Area_Per_Shoot_m2]] * CropNorms_Sunflower[[#This Row],[Shoot_Bearing_m2]] )),
  0.2
)</f>
        <v>0.5</v>
      </c>
      <c r="BE360" s="4">
        <f>_xlfn.XLOOKUP(CropNorms_Sunflower[[#This Row],[LAI_Start_BBCH]], CropPhenology_Sunflower[Sub_Stage], CropPhenology_Sunflower[Start_GDD], "Not Found")</f>
        <v>121</v>
      </c>
      <c r="BF360" s="3">
        <f>ROUND(CropNorms_Sunflower[[#This Row],[Shoot_Bearing_m2]]*CropNorms_Sunflower[[#This Row],[Leaf_Area_Per_Shoot_m2]],2)</f>
        <v>3.42</v>
      </c>
      <c r="BG360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60" s="3">
        <f>IF(CropNorms_Sunflower[[#This Row],[Max_LAI]]&gt;=1.2, 0.85*CropNorms_Sunflower[[#This Row],[Max_LAI]], 1)</f>
        <v>2.907</v>
      </c>
      <c r="BI360" s="41">
        <f>_xlfn.XLOOKUP(CropNorms_Sunflower[[#This Row],[LAI_End_BBCH]], CropPhenology_Sunflower[Sub_Stage], CropPhenology_Sunflower[End_GDD], "Not Found")</f>
        <v>1000</v>
      </c>
      <c r="BJ360" s="3" cm="1">
        <f t="array" ref="BJ360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60" s="3" cm="1">
        <f t="array" ref="BK36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60" s="3" cm="1">
        <f t="array" ref="BL360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60" s="3" cm="1">
        <f t="array" ref="BM36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0" s="42">
        <v>0.4</v>
      </c>
      <c r="BO360" s="43">
        <v>0.15</v>
      </c>
      <c r="BP360" s="42">
        <v>2.1800000000000002</v>
      </c>
      <c r="BQ360" s="43" t="s">
        <v>1745</v>
      </c>
      <c r="BR360" s="3" t="str" cm="1">
        <f t="array" ref="BR36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0" s="3" t="str" cm="1">
        <f t="array" ref="BS36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60" s="3" t="str" cm="1">
        <f t="array" ref="BT360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60" s="3" t="str" cm="1">
        <f t="array" ref="BU360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60" s="48">
        <v>100</v>
      </c>
      <c r="BW360" s="1">
        <v>45</v>
      </c>
      <c r="BX360" s="44">
        <v>125</v>
      </c>
      <c r="BY360" s="51">
        <v>350</v>
      </c>
      <c r="BZ360" s="5">
        <v>46</v>
      </c>
      <c r="CA360" s="85">
        <v>0</v>
      </c>
      <c r="CB360" s="2">
        <v>0</v>
      </c>
      <c r="CC360" s="2">
        <v>1</v>
      </c>
      <c r="CD360" s="2">
        <v>1</v>
      </c>
      <c r="CE360" s="2">
        <v>1</v>
      </c>
      <c r="CF360" s="2">
        <v>1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P360" s="9"/>
      <c r="CQ360" s="10"/>
    </row>
    <row r="361" spans="2:95" x14ac:dyDescent="0.15">
      <c r="B361" s="67" t="s">
        <v>298</v>
      </c>
      <c r="C361" s="1" t="s">
        <v>2321</v>
      </c>
      <c r="D361" s="1" t="s">
        <v>2113</v>
      </c>
      <c r="E361" s="1" t="s">
        <v>1835</v>
      </c>
      <c r="F361" s="1">
        <v>160</v>
      </c>
      <c r="G361" s="1" t="s">
        <v>2116</v>
      </c>
      <c r="H361" s="1" t="s">
        <v>2322</v>
      </c>
      <c r="K361" s="1" t="s">
        <v>1769</v>
      </c>
      <c r="L361" s="1" t="s">
        <v>1750</v>
      </c>
      <c r="M361" s="1" t="s">
        <v>362</v>
      </c>
      <c r="N361" s="6">
        <v>12.5</v>
      </c>
      <c r="O361" s="1" t="s">
        <v>2078</v>
      </c>
      <c r="P361" s="1">
        <v>50</v>
      </c>
      <c r="Q361" s="1">
        <v>8</v>
      </c>
      <c r="R361" s="1">
        <v>10</v>
      </c>
      <c r="S361" s="1">
        <v>28</v>
      </c>
      <c r="T361" s="1">
        <v>34</v>
      </c>
      <c r="U361" s="253">
        <v>4</v>
      </c>
      <c r="V361" s="1">
        <v>105</v>
      </c>
      <c r="W361" s="44">
        <v>110</v>
      </c>
      <c r="X361" s="40">
        <f>_xlfn.XLOOKUP("Ripening", CropPhenology_Sunflower[Main_Stage], CropPhenology_Sunflower[Start_GDD], "Not Found")</f>
        <v>1001</v>
      </c>
      <c r="Y361" s="4" cm="1">
        <f t="array" ref="Y36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61" s="3">
        <f t="shared" si="191"/>
        <v>10.978571428571428</v>
      </c>
      <c r="AA361" s="41">
        <f t="shared" si="201"/>
        <v>122.96681847755369</v>
      </c>
      <c r="AB361" s="1">
        <v>8</v>
      </c>
      <c r="AC361" s="1">
        <v>13</v>
      </c>
      <c r="AD361" s="1">
        <v>4</v>
      </c>
      <c r="AE361" s="1">
        <v>65</v>
      </c>
      <c r="AF361" s="1">
        <v>10</v>
      </c>
      <c r="AG361" s="1">
        <v>5</v>
      </c>
      <c r="AH361" s="3">
        <f t="shared" si="202"/>
        <v>2.8381640211640211</v>
      </c>
      <c r="AI361" s="1">
        <v>6</v>
      </c>
      <c r="AJ361" s="1">
        <v>7.5</v>
      </c>
      <c r="AK361" s="159">
        <v>1.7</v>
      </c>
      <c r="AL361" s="150">
        <v>5.2999999999999999E-2</v>
      </c>
      <c r="AM361" s="1">
        <v>600</v>
      </c>
      <c r="AN361" s="1">
        <v>1000</v>
      </c>
      <c r="AO361" s="48">
        <v>5</v>
      </c>
      <c r="AP361" s="44">
        <v>300</v>
      </c>
      <c r="AQ361" s="42">
        <v>0.85</v>
      </c>
      <c r="AR361" s="1">
        <v>60</v>
      </c>
      <c r="AS361" s="1">
        <v>20</v>
      </c>
      <c r="AT361" s="1">
        <v>1</v>
      </c>
      <c r="AU361" s="4">
        <f t="shared" si="203"/>
        <v>8.3333333333333339</v>
      </c>
      <c r="AV361" s="3">
        <f t="shared" si="195"/>
        <v>4.17</v>
      </c>
      <c r="AW361" s="1">
        <v>90</v>
      </c>
      <c r="AX361" s="3">
        <f t="shared" si="204"/>
        <v>7.5</v>
      </c>
      <c r="AY361" s="1">
        <v>1</v>
      </c>
      <c r="AZ361" s="4">
        <f t="shared" si="205"/>
        <v>7.5</v>
      </c>
      <c r="BA361" s="49">
        <v>0.9</v>
      </c>
      <c r="BB361" s="4">
        <f t="shared" si="206"/>
        <v>6.75</v>
      </c>
      <c r="BC361" s="50">
        <v>0.50697982938910291</v>
      </c>
      <c r="BD361" s="69">
        <f>IFERROR(
  MAX(0.05, MIN(0.5, CropNorms_Sunflower[[#This Row],[Leaf_Area_Per_Shoot_m2]] * CropNorms_Sunflower[[#This Row],[Shoot_Bearing_m2]] )),
  0.2
)</f>
        <v>0.5</v>
      </c>
      <c r="BE361" s="4">
        <f>_xlfn.XLOOKUP(CropNorms_Sunflower[[#This Row],[LAI_Start_BBCH]], CropPhenology_Sunflower[Sub_Stage], CropPhenology_Sunflower[Start_GDD], "Not Found")</f>
        <v>121</v>
      </c>
      <c r="BF361" s="3">
        <f>ROUND(CropNorms_Sunflower[[#This Row],[Shoot_Bearing_m2]]*CropNorms_Sunflower[[#This Row],[Leaf_Area_Per_Shoot_m2]],2)</f>
        <v>3.42</v>
      </c>
      <c r="BG361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61" s="3">
        <f>IF(CropNorms_Sunflower[[#This Row],[Max_LAI]]&gt;=1.2, 0.85*CropNorms_Sunflower[[#This Row],[Max_LAI]], 1)</f>
        <v>2.907</v>
      </c>
      <c r="BI361" s="41">
        <f>_xlfn.XLOOKUP(CropNorms_Sunflower[[#This Row],[LAI_End_BBCH]], CropPhenology_Sunflower[Sub_Stage], CropPhenology_Sunflower[End_GDD], "Not Found")</f>
        <v>1000</v>
      </c>
      <c r="BJ361" s="3" cm="1">
        <f t="array" ref="BJ36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61" s="3" cm="1">
        <f t="array" ref="BK36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61" s="3" cm="1">
        <f t="array" ref="BL36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61" s="3" cm="1">
        <f t="array" ref="BM36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1" s="42">
        <v>0.4</v>
      </c>
      <c r="BO361" s="43">
        <v>0.15</v>
      </c>
      <c r="BP361" s="42">
        <v>2.65</v>
      </c>
      <c r="BQ361" s="43" t="s">
        <v>1745</v>
      </c>
      <c r="BR361" s="3" t="str" cm="1">
        <f t="array" ref="BR36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1" s="3" t="str" cm="1">
        <f t="array" ref="BS36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61" s="3" t="str" cm="1">
        <f t="array" ref="BT36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61" s="3" t="str" cm="1">
        <f t="array" ref="BU36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61" s="48">
        <v>100</v>
      </c>
      <c r="BW361" s="1">
        <v>45</v>
      </c>
      <c r="BX361" s="44">
        <v>125</v>
      </c>
      <c r="BY361" s="51">
        <v>350</v>
      </c>
      <c r="BZ361" s="5">
        <v>46</v>
      </c>
      <c r="CA361" s="85">
        <v>0</v>
      </c>
      <c r="CB361" s="2">
        <v>0</v>
      </c>
      <c r="CC361" s="2">
        <v>1</v>
      </c>
      <c r="CD361" s="2">
        <v>1</v>
      </c>
      <c r="CE361" s="2">
        <v>1</v>
      </c>
      <c r="CF361" s="2">
        <v>1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P361" s="9"/>
      <c r="CQ361" s="10"/>
    </row>
    <row r="362" spans="2:95" x14ac:dyDescent="0.15">
      <c r="B362" s="67" t="s">
        <v>298</v>
      </c>
      <c r="C362" s="1" t="s">
        <v>2323</v>
      </c>
      <c r="D362" s="1" t="s">
        <v>2113</v>
      </c>
      <c r="E362" s="1" t="s">
        <v>1835</v>
      </c>
      <c r="F362" s="1">
        <v>215</v>
      </c>
      <c r="G362" s="1" t="s">
        <v>2311</v>
      </c>
      <c r="H362" s="1" t="s">
        <v>2324</v>
      </c>
      <c r="J362" s="1" t="s">
        <v>2341</v>
      </c>
      <c r="K362" s="1" t="s">
        <v>1769</v>
      </c>
      <c r="L362" s="1" t="s">
        <v>1750</v>
      </c>
      <c r="M362" s="1" t="s">
        <v>362</v>
      </c>
      <c r="N362" s="6">
        <v>12.5</v>
      </c>
      <c r="O362" s="1" t="s">
        <v>2078</v>
      </c>
      <c r="P362" s="1">
        <v>55</v>
      </c>
      <c r="Q362" s="1">
        <v>8</v>
      </c>
      <c r="R362" s="1">
        <v>10</v>
      </c>
      <c r="S362" s="1">
        <v>28</v>
      </c>
      <c r="T362" s="1">
        <v>34</v>
      </c>
      <c r="U362" s="253">
        <v>4</v>
      </c>
      <c r="V362" s="1">
        <v>100</v>
      </c>
      <c r="W362" s="44">
        <v>130</v>
      </c>
      <c r="X362" s="40">
        <f>_xlfn.XLOOKUP("Ripening", CropPhenology_Sunflower[Main_Stage], CropPhenology_Sunflower[Start_GDD], "Not Found")</f>
        <v>1001</v>
      </c>
      <c r="Y362" s="4" cm="1">
        <f t="array" ref="Y362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62" s="3">
        <f t="shared" si="191"/>
        <v>10.6</v>
      </c>
      <c r="AA362" s="41">
        <f t="shared" si="201"/>
        <v>127.35849056603774</v>
      </c>
      <c r="AB362" s="1">
        <v>8</v>
      </c>
      <c r="AC362" s="1">
        <v>13</v>
      </c>
      <c r="AD362" s="1">
        <v>4</v>
      </c>
      <c r="AE362" s="1">
        <v>65</v>
      </c>
      <c r="AF362" s="1">
        <v>10</v>
      </c>
      <c r="AG362" s="1">
        <v>5</v>
      </c>
      <c r="AH362" s="3">
        <f t="shared" si="202"/>
        <v>2.7402962962962962</v>
      </c>
      <c r="AI362" s="1">
        <v>6</v>
      </c>
      <c r="AJ362" s="1">
        <v>7.5</v>
      </c>
      <c r="AK362" s="159">
        <v>1.7</v>
      </c>
      <c r="AL362" s="150">
        <v>5.2999999999999999E-2</v>
      </c>
      <c r="AM362" s="1">
        <v>600</v>
      </c>
      <c r="AN362" s="1">
        <v>1000</v>
      </c>
      <c r="AO362" s="48">
        <v>5</v>
      </c>
      <c r="AP362" s="44">
        <v>300</v>
      </c>
      <c r="AQ362" s="42">
        <v>0.85</v>
      </c>
      <c r="AR362" s="1">
        <v>60</v>
      </c>
      <c r="AS362" s="1">
        <v>20</v>
      </c>
      <c r="AT362" s="1">
        <v>1</v>
      </c>
      <c r="AU362" s="4">
        <f t="shared" si="203"/>
        <v>8.3333333333333339</v>
      </c>
      <c r="AV362" s="3">
        <f t="shared" si="195"/>
        <v>4.58</v>
      </c>
      <c r="AW362" s="1">
        <v>90</v>
      </c>
      <c r="AX362" s="3">
        <f t="shared" si="204"/>
        <v>7.5</v>
      </c>
      <c r="AY362" s="1">
        <v>1</v>
      </c>
      <c r="AZ362" s="4">
        <f t="shared" si="205"/>
        <v>7.5</v>
      </c>
      <c r="BA362" s="49">
        <v>0.9</v>
      </c>
      <c r="BB362" s="4">
        <f t="shared" si="206"/>
        <v>6.75</v>
      </c>
      <c r="BC362" s="50">
        <v>0.50697982938910291</v>
      </c>
      <c r="BD362" s="69">
        <f>IFERROR(
  MAX(0.05, MIN(0.5, CropNorms_Sunflower[[#This Row],[Leaf_Area_Per_Shoot_m2]] * CropNorms_Sunflower[[#This Row],[Shoot_Bearing_m2]] )),
  0.2
)</f>
        <v>0.5</v>
      </c>
      <c r="BE362" s="4">
        <f>_xlfn.XLOOKUP(CropNorms_Sunflower[[#This Row],[LAI_Start_BBCH]], CropPhenology_Sunflower[Sub_Stage], CropPhenology_Sunflower[Start_GDD], "Not Found")</f>
        <v>121</v>
      </c>
      <c r="BF362" s="3">
        <f>ROUND(CropNorms_Sunflower[[#This Row],[Shoot_Bearing_m2]]*CropNorms_Sunflower[[#This Row],[Leaf_Area_Per_Shoot_m2]],2)</f>
        <v>3.42</v>
      </c>
      <c r="BG362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62" s="3">
        <f>IF(CropNorms_Sunflower[[#This Row],[Max_LAI]]&gt;=1.2, 0.85*CropNorms_Sunflower[[#This Row],[Max_LAI]], 1)</f>
        <v>2.907</v>
      </c>
      <c r="BI362" s="41">
        <f>_xlfn.XLOOKUP(CropNorms_Sunflower[[#This Row],[LAI_End_BBCH]], CropPhenology_Sunflower[Sub_Stage], CropPhenology_Sunflower[End_GDD], "Not Found")</f>
        <v>1000</v>
      </c>
      <c r="BJ362" s="3" cm="1">
        <f t="array" ref="BJ362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K362" s="3" cm="1">
        <f t="array" ref="BK36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L362" s="3" cm="1">
        <f t="array" ref="BL362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M362" s="3" cm="1">
        <f t="array" ref="BM36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2" s="42">
        <v>0.4</v>
      </c>
      <c r="BO362" s="43">
        <v>0.15</v>
      </c>
      <c r="BP362" s="42">
        <v>3.04</v>
      </c>
      <c r="BQ362" s="43" t="s">
        <v>1745</v>
      </c>
      <c r="BR362" s="3" t="str" cm="1">
        <f t="array" ref="BR36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2" s="3" t="str" cm="1">
        <f t="array" ref="BS36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62" s="3" t="str" cm="1">
        <f t="array" ref="BT362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62" s="3" t="str" cm="1">
        <f t="array" ref="BU362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62" s="48">
        <v>100</v>
      </c>
      <c r="BW362" s="1">
        <v>45</v>
      </c>
      <c r="BX362" s="44">
        <v>125</v>
      </c>
      <c r="BY362" s="51">
        <v>350</v>
      </c>
      <c r="BZ362" s="5">
        <v>46</v>
      </c>
      <c r="CA362" s="85">
        <v>0</v>
      </c>
      <c r="CB362" s="2">
        <v>0</v>
      </c>
      <c r="CC362" s="2">
        <v>1</v>
      </c>
      <c r="CD362" s="2">
        <v>1</v>
      </c>
      <c r="CE362" s="2">
        <v>1</v>
      </c>
      <c r="CF362" s="2">
        <v>1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P362" s="9"/>
      <c r="CQ362" s="10"/>
    </row>
    <row r="363" spans="2:95" ht="11.25" thickBot="1" x14ac:dyDescent="0.2">
      <c r="B363" s="67" t="s">
        <v>298</v>
      </c>
      <c r="C363" s="1" t="s">
        <v>2325</v>
      </c>
      <c r="D363" s="1" t="s">
        <v>2113</v>
      </c>
      <c r="E363" s="1" t="s">
        <v>1835</v>
      </c>
      <c r="F363" s="1">
        <v>160</v>
      </c>
      <c r="G363" s="1" t="s">
        <v>2116</v>
      </c>
      <c r="H363" s="1" t="s">
        <v>2324</v>
      </c>
      <c r="K363" s="1" t="s">
        <v>1769</v>
      </c>
      <c r="L363" s="1" t="s">
        <v>1750</v>
      </c>
      <c r="M363" s="1" t="s">
        <v>362</v>
      </c>
      <c r="N363" s="6">
        <v>12.5</v>
      </c>
      <c r="O363" s="1" t="s">
        <v>2078</v>
      </c>
      <c r="P363" s="1">
        <v>55</v>
      </c>
      <c r="Q363" s="1">
        <v>8</v>
      </c>
      <c r="R363" s="1">
        <v>10</v>
      </c>
      <c r="S363" s="1">
        <v>28</v>
      </c>
      <c r="T363" s="1">
        <v>34</v>
      </c>
      <c r="U363" s="254">
        <v>4</v>
      </c>
      <c r="V363" s="1">
        <v>100</v>
      </c>
      <c r="W363" s="44">
        <v>110</v>
      </c>
      <c r="X363" s="40">
        <f>_xlfn.XLOOKUP("Ripening", CropPhenology_Sunflower[Main_Stage], CropPhenology_Sunflower[Start_GDD], "Not Found")</f>
        <v>1001</v>
      </c>
      <c r="Y363" s="4" cm="1">
        <f t="array" ref="Y363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Z363" s="3">
        <f t="shared" si="191"/>
        <v>11.3</v>
      </c>
      <c r="AA363" s="41">
        <f t="shared" si="201"/>
        <v>119.46902654867256</v>
      </c>
      <c r="AB363" s="1">
        <v>8</v>
      </c>
      <c r="AC363" s="1">
        <v>13</v>
      </c>
      <c r="AD363" s="1">
        <v>4</v>
      </c>
      <c r="AE363" s="1">
        <v>65</v>
      </c>
      <c r="AF363" s="1">
        <v>10</v>
      </c>
      <c r="AG363" s="1">
        <v>5</v>
      </c>
      <c r="AH363" s="3">
        <f t="shared" si="202"/>
        <v>2.9212592592592594</v>
      </c>
      <c r="AI363" s="1">
        <v>6</v>
      </c>
      <c r="AJ363" s="1">
        <v>7.5</v>
      </c>
      <c r="AK363" s="160">
        <v>1.7</v>
      </c>
      <c r="AL363" s="161">
        <v>5.2999999999999999E-2</v>
      </c>
      <c r="AM363" s="1">
        <v>600</v>
      </c>
      <c r="AN363" s="1">
        <v>1000</v>
      </c>
      <c r="AO363" s="48">
        <v>5</v>
      </c>
      <c r="AP363" s="44">
        <v>300</v>
      </c>
      <c r="AQ363" s="42">
        <v>0.85</v>
      </c>
      <c r="AR363" s="1">
        <v>75</v>
      </c>
      <c r="AS363" s="1">
        <v>30</v>
      </c>
      <c r="AT363" s="1">
        <v>1</v>
      </c>
      <c r="AU363" s="4">
        <f t="shared" si="203"/>
        <v>4.4444444444444446</v>
      </c>
      <c r="AV363" s="3">
        <f t="shared" si="195"/>
        <v>2.44</v>
      </c>
      <c r="AW363" s="1">
        <v>90</v>
      </c>
      <c r="AX363" s="3">
        <f t="shared" si="204"/>
        <v>4</v>
      </c>
      <c r="AY363" s="1">
        <v>1</v>
      </c>
      <c r="AZ363" s="4">
        <f t="shared" si="205"/>
        <v>4</v>
      </c>
      <c r="BA363" s="49">
        <v>0.9</v>
      </c>
      <c r="BB363" s="4">
        <f t="shared" si="206"/>
        <v>3.6</v>
      </c>
      <c r="BC363" s="50">
        <v>0.50697982938910291</v>
      </c>
      <c r="BD363" s="69">
        <f>IFERROR(
  MAX(0.05, MIN(0.5, CropNorms_Sunflower[[#This Row],[Leaf_Area_Per_Shoot_m2]] * CropNorms_Sunflower[[#This Row],[Shoot_Bearing_m2]] )),
  0.2
)</f>
        <v>0.5</v>
      </c>
      <c r="BE363" s="4">
        <f>_xlfn.XLOOKUP(CropNorms_Sunflower[[#This Row],[LAI_Start_BBCH]], CropPhenology_Sunflower[Sub_Stage], CropPhenology_Sunflower[Start_GDD], "Not Found")</f>
        <v>121</v>
      </c>
      <c r="BF363" s="3">
        <f>ROUND(CropNorms_Sunflower[[#This Row],[Shoot_Bearing_m2]]*CropNorms_Sunflower[[#This Row],[Leaf_Area_Per_Shoot_m2]],2)</f>
        <v>1.83</v>
      </c>
      <c r="BG363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H363" s="3">
        <f>IF(CropNorms_Sunflower[[#This Row],[Max_LAI]]&gt;=1.2, 0.85*CropNorms_Sunflower[[#This Row],[Max_LAI]], 1)</f>
        <v>1.5555000000000001</v>
      </c>
      <c r="BI363" s="41">
        <f>_xlfn.XLOOKUP(CropNorms_Sunflower[[#This Row],[LAI_End_BBCH]], CropPhenology_Sunflower[Sub_Stage], CropPhenology_Sunflower[End_GDD], "Not Found")</f>
        <v>1000</v>
      </c>
      <c r="BJ363" s="3" cm="1">
        <f t="array" ref="BJ363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1.9901934562837922</v>
      </c>
      <c r="BK363" s="3" cm="1">
        <f t="array" ref="BK36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0.93461997339588587</v>
      </c>
      <c r="BL363" s="3" cm="1">
        <f t="array" ref="BL363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0.8788880393403895</v>
      </c>
      <c r="BM363" s="3" cm="1">
        <f t="array" ref="BM36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3" s="42">
        <v>0.4</v>
      </c>
      <c r="BO363" s="43">
        <v>0.15</v>
      </c>
      <c r="BP363" s="42">
        <v>3.75</v>
      </c>
      <c r="BQ363" s="43" t="s">
        <v>1745</v>
      </c>
      <c r="BR363" s="3" t="str" cm="1">
        <f t="array" ref="BR36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3" s="3" t="str" cm="1">
        <f t="array" ref="BS36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T363" s="3" t="str" cm="1">
        <f t="array" ref="BT363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U363" s="3" t="str" cm="1">
        <f t="array" ref="BU363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V363" s="48">
        <v>100</v>
      </c>
      <c r="BW363" s="1">
        <v>45</v>
      </c>
      <c r="BX363" s="44">
        <v>125</v>
      </c>
      <c r="BY363" s="51">
        <v>350</v>
      </c>
      <c r="BZ363" s="5">
        <v>46</v>
      </c>
      <c r="CA363" s="85">
        <v>0</v>
      </c>
      <c r="CB363" s="2">
        <v>0</v>
      </c>
      <c r="CC363" s="2">
        <v>1</v>
      </c>
      <c r="CD363" s="2">
        <v>1</v>
      </c>
      <c r="CE363" s="2">
        <v>1</v>
      </c>
      <c r="CF363" s="2">
        <v>1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P363" s="9"/>
      <c r="CQ363" s="10"/>
    </row>
    <row r="364" spans="2:95" ht="11.25" thickBot="1" x14ac:dyDescent="0.2">
      <c r="B364" s="67"/>
      <c r="Y364" s="3"/>
      <c r="Z364" s="4"/>
      <c r="AG364" s="3"/>
      <c r="AR364" s="4"/>
      <c r="AS364" s="3"/>
      <c r="AU364" s="3"/>
      <c r="AW364" s="4"/>
      <c r="AX364" s="49"/>
      <c r="AY364" s="4"/>
      <c r="BV364" s="51"/>
      <c r="BW364" s="51"/>
      <c r="CP364" s="9"/>
      <c r="CQ364" s="10"/>
    </row>
    <row r="365" spans="2:95" ht="11.25" thickBot="1" x14ac:dyDescent="0.2">
      <c r="B365" s="54" t="s">
        <v>1753</v>
      </c>
      <c r="C365" s="53" t="s">
        <v>1754</v>
      </c>
      <c r="D365" s="53" t="s">
        <v>1804</v>
      </c>
      <c r="E365" s="53" t="s">
        <v>1805</v>
      </c>
      <c r="F365" s="53" t="s">
        <v>1806</v>
      </c>
      <c r="G365" s="53" t="s">
        <v>1807</v>
      </c>
      <c r="H365" s="53" t="s">
        <v>1808</v>
      </c>
      <c r="I365" s="53" t="s">
        <v>1809</v>
      </c>
      <c r="J365" s="53" t="s">
        <v>1810</v>
      </c>
      <c r="K365" s="53" t="s">
        <v>1747</v>
      </c>
      <c r="L365" s="54" t="s">
        <v>1749</v>
      </c>
      <c r="M365" s="53" t="s">
        <v>357</v>
      </c>
      <c r="N365" s="55" t="s">
        <v>692</v>
      </c>
      <c r="O365" s="53" t="s">
        <v>325</v>
      </c>
      <c r="P365" s="53" t="s">
        <v>356</v>
      </c>
      <c r="Q365" s="53" t="s">
        <v>326</v>
      </c>
      <c r="R365" s="53" t="s">
        <v>327</v>
      </c>
      <c r="S365" s="53" t="s">
        <v>328</v>
      </c>
      <c r="T365" s="53" t="s">
        <v>329</v>
      </c>
      <c r="U365" s="250" t="s">
        <v>2349</v>
      </c>
      <c r="V365" s="53" t="s">
        <v>330</v>
      </c>
      <c r="W365" s="53" t="s">
        <v>331</v>
      </c>
      <c r="X365" s="56" t="s">
        <v>354</v>
      </c>
      <c r="Y365" s="57" t="s">
        <v>355</v>
      </c>
      <c r="Z365" s="58" t="s">
        <v>413</v>
      </c>
      <c r="AA365" s="59" t="s">
        <v>583</v>
      </c>
      <c r="AB365" s="53" t="s">
        <v>324</v>
      </c>
      <c r="AC365" s="53" t="s">
        <v>332</v>
      </c>
      <c r="AD365" s="53" t="s">
        <v>333</v>
      </c>
      <c r="AE365" s="53" t="s">
        <v>334</v>
      </c>
      <c r="AF365" s="53" t="s">
        <v>335</v>
      </c>
      <c r="AG365" s="53" t="s">
        <v>336</v>
      </c>
      <c r="AH365" s="60" t="s">
        <v>337</v>
      </c>
      <c r="AI365" s="53" t="s">
        <v>338</v>
      </c>
      <c r="AJ365" s="53" t="s">
        <v>339</v>
      </c>
      <c r="AK365" s="157" t="s">
        <v>2346</v>
      </c>
      <c r="AL365" s="158" t="s">
        <v>2347</v>
      </c>
      <c r="AM365" s="53" t="s">
        <v>340</v>
      </c>
      <c r="AN365" s="53" t="s">
        <v>341</v>
      </c>
      <c r="AO365" s="61" t="s">
        <v>342</v>
      </c>
      <c r="AP365" s="62" t="s">
        <v>343</v>
      </c>
      <c r="AQ365" s="55" t="s">
        <v>344</v>
      </c>
      <c r="AR365" s="53" t="s">
        <v>345</v>
      </c>
      <c r="AS365" s="53" t="s">
        <v>346</v>
      </c>
      <c r="AT365" s="53" t="s">
        <v>364</v>
      </c>
      <c r="AU365" s="60" t="s">
        <v>347</v>
      </c>
      <c r="AV365" s="58" t="s">
        <v>363</v>
      </c>
      <c r="AW365" s="53" t="s">
        <v>348</v>
      </c>
      <c r="AX365" s="58" t="s">
        <v>349</v>
      </c>
      <c r="AY365" s="53" t="s">
        <v>366</v>
      </c>
      <c r="AZ365" s="60" t="s">
        <v>350</v>
      </c>
      <c r="BA365" s="53" t="s">
        <v>365</v>
      </c>
      <c r="BB365" s="60" t="s">
        <v>1827</v>
      </c>
      <c r="BC365" s="63" t="s">
        <v>351</v>
      </c>
      <c r="BD365" s="71" t="s">
        <v>1811</v>
      </c>
      <c r="BE365" s="57" t="s">
        <v>352</v>
      </c>
      <c r="BF365" s="58" t="s">
        <v>1812</v>
      </c>
      <c r="BG365" s="57" t="s">
        <v>1752</v>
      </c>
      <c r="BH365" s="60" t="s">
        <v>1813</v>
      </c>
      <c r="BI365" s="59" t="s">
        <v>353</v>
      </c>
      <c r="BJ365" s="71" t="s">
        <v>1828</v>
      </c>
      <c r="BK365" s="58" t="s">
        <v>1829</v>
      </c>
      <c r="BL365" s="58" t="s">
        <v>1830</v>
      </c>
      <c r="BM365" s="72" t="s">
        <v>1831</v>
      </c>
      <c r="BN365" s="64" t="s">
        <v>1154</v>
      </c>
      <c r="BO365" s="65" t="s">
        <v>1742</v>
      </c>
      <c r="BP365" s="64" t="s">
        <v>1155</v>
      </c>
      <c r="BQ365" s="65" t="s">
        <v>1755</v>
      </c>
      <c r="BR365" s="58" t="s">
        <v>367</v>
      </c>
      <c r="BS365" s="58" t="s">
        <v>1751</v>
      </c>
      <c r="BT365" s="58" t="s">
        <v>368</v>
      </c>
      <c r="BU365" s="60" t="s">
        <v>1814</v>
      </c>
      <c r="BV365" s="61" t="s">
        <v>369</v>
      </c>
      <c r="BW365" s="53" t="s">
        <v>370</v>
      </c>
      <c r="BX365" s="62" t="s">
        <v>371</v>
      </c>
      <c r="BY365" s="53" t="s">
        <v>359</v>
      </c>
      <c r="BZ365" s="53" t="s">
        <v>361</v>
      </c>
      <c r="CA365" s="61" t="s">
        <v>1815</v>
      </c>
      <c r="CB365" s="53" t="s">
        <v>1816</v>
      </c>
      <c r="CC365" s="53" t="s">
        <v>1817</v>
      </c>
      <c r="CD365" s="53" t="s">
        <v>1818</v>
      </c>
      <c r="CE365" s="53" t="s">
        <v>1819</v>
      </c>
      <c r="CF365" s="53" t="s">
        <v>1820</v>
      </c>
      <c r="CG365" s="53" t="s">
        <v>1821</v>
      </c>
      <c r="CH365" s="53" t="s">
        <v>1822</v>
      </c>
      <c r="CI365" s="53" t="s">
        <v>1823</v>
      </c>
      <c r="CJ365" s="53" t="s">
        <v>1824</v>
      </c>
      <c r="CK365" s="53" t="s">
        <v>1825</v>
      </c>
      <c r="CL365" s="53" t="s">
        <v>1826</v>
      </c>
      <c r="CP365" s="9"/>
      <c r="CQ365" s="10"/>
    </row>
    <row r="366" spans="2:95" x14ac:dyDescent="0.15">
      <c r="B366" s="67" t="s">
        <v>305</v>
      </c>
      <c r="C366" s="1" t="s">
        <v>306</v>
      </c>
      <c r="K366" s="1" t="s">
        <v>1763</v>
      </c>
      <c r="L366" s="1" t="s">
        <v>1750</v>
      </c>
      <c r="M366" s="1" t="s">
        <v>362</v>
      </c>
      <c r="N366" s="6">
        <v>14</v>
      </c>
      <c r="O366" s="1" t="s">
        <v>4</v>
      </c>
      <c r="P366" s="1">
        <v>18</v>
      </c>
      <c r="Q366" s="1">
        <v>15</v>
      </c>
      <c r="R366" s="1">
        <v>10</v>
      </c>
      <c r="S366" s="1">
        <v>30</v>
      </c>
      <c r="T366" s="1">
        <v>38</v>
      </c>
      <c r="U366" s="253">
        <v>4</v>
      </c>
      <c r="V366" s="1">
        <v>40</v>
      </c>
      <c r="W366" s="44">
        <v>75</v>
      </c>
      <c r="X366" s="40">
        <f>_xlfn.XLOOKUP("Ripening", CropPhenology_TindaGourd[Main_Stage], CropPhenology_TindaGourd[Start_GDD], "Not Found")</f>
        <v>841</v>
      </c>
      <c r="Y366" s="4" cm="1">
        <f t="array" ref="Y366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Z366" s="3">
        <f>MIN(Y366/V366,MAX(X366/W366,R366,(X366/W366+Y366/V366)/2))</f>
        <v>19.106666666666666</v>
      </c>
      <c r="AA366" s="41">
        <f t="shared" ref="AA366:AA368" si="207">Y366/Z366</f>
        <v>56.524773203070488</v>
      </c>
      <c r="AB366" s="1">
        <v>8</v>
      </c>
      <c r="AC366" s="1">
        <v>18</v>
      </c>
      <c r="AD366" s="1">
        <v>4</v>
      </c>
      <c r="AE366" s="1">
        <v>85</v>
      </c>
      <c r="AF366" s="1">
        <v>12</v>
      </c>
      <c r="AG366" s="1">
        <v>4</v>
      </c>
      <c r="AH366" s="3">
        <f t="shared" si="174"/>
        <v>4.2282345679012341</v>
      </c>
      <c r="AI366" s="1">
        <v>6</v>
      </c>
      <c r="AJ366" s="1">
        <v>7.5</v>
      </c>
      <c r="AK366" s="159">
        <v>2.5</v>
      </c>
      <c r="AL366" s="150">
        <v>0.09</v>
      </c>
      <c r="AM366" s="1">
        <v>350</v>
      </c>
      <c r="AN366" s="1">
        <v>500</v>
      </c>
      <c r="AO366" s="48">
        <v>2</v>
      </c>
      <c r="AP366" s="44">
        <v>50</v>
      </c>
      <c r="AQ366" s="42">
        <v>0.78</v>
      </c>
      <c r="AR366" s="1">
        <v>60</v>
      </c>
      <c r="AS366" s="1">
        <v>30</v>
      </c>
      <c r="AT366" s="1">
        <v>1</v>
      </c>
      <c r="AU366" s="4">
        <f t="shared" si="166"/>
        <v>5.5555555555555554</v>
      </c>
      <c r="AV366" s="3">
        <f>ROUND((P366/1000000)*AU366*10000,2)</f>
        <v>1</v>
      </c>
      <c r="AW366" s="1">
        <v>85</v>
      </c>
      <c r="AX366" s="3">
        <f t="shared" ref="AX366" si="208">IFERROR((AU366*AW366/100),0)</f>
        <v>4.7222222222222223</v>
      </c>
      <c r="AY366" s="1">
        <v>1</v>
      </c>
      <c r="AZ366" s="4">
        <f t="shared" ref="AZ366" si="209">IFERROR(AX366*AY366,0)</f>
        <v>4.7222222222222223</v>
      </c>
      <c r="BA366" s="49">
        <v>0.8</v>
      </c>
      <c r="BB366" s="4">
        <f t="shared" si="167"/>
        <v>3.7777777777777781</v>
      </c>
      <c r="BC366" s="50">
        <v>1.0581946360153258</v>
      </c>
      <c r="BD366" s="69">
        <f>IFERROR(
  MAX(0.05, MIN(0.5, CropNorms_TindaGroud[[#This Row],[Leaf_Area_Per_Shoot_m2]] * CropNorms_TindaGroud[[#This Row],[Shoot_Bearing_m2]] )),
  0.2
)</f>
        <v>0.5</v>
      </c>
      <c r="BE366" s="4">
        <f>_xlfn.XLOOKUP(CropNorms_TindaGroud[[#This Row],[LAI_Start_BBCH]], CropPhenology_TindaGourd[Sub_Stage], CropPhenology_TindaGourd[Start_GDD], "Not Found")</f>
        <v>121</v>
      </c>
      <c r="BF366" s="3">
        <f>ROUND(CropNorms_TindaGroud[[#This Row],[Shoot_Bearing_m2]]*CropNorms_TindaGroud[[#This Row],[Leaf_Area_Per_Shoot_m2]],2)</f>
        <v>4</v>
      </c>
      <c r="BG366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H366" s="3">
        <f>IF(CropNorms_TindaGroud[[#This Row],[Max_LAI]]&gt;=1.2, 0.85*CropNorms_TindaGroud[[#This Row],[Max_LAI]], 1)</f>
        <v>3.4</v>
      </c>
      <c r="BI366" s="41">
        <f>_xlfn.XLOOKUP(CropNorms_TindaGroud[[#This Row],[LAI_End_BBCH]], CropPhenology_TindaGourd[Sub_Stage], CropPhenology_TindaGourd[End_GDD], "Not Found")</f>
        <v>840</v>
      </c>
      <c r="BJ366" s="3" cm="1">
        <f t="array" ref="BJ366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K366" s="3" cm="1">
        <f t="array" ref="BK366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0.93890705019473508</v>
      </c>
      <c r="BL366" s="3" cm="1">
        <f t="array" ref="BL366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1.9501862762773348</v>
      </c>
      <c r="BM366" s="3" cm="1">
        <f t="array" ref="BM366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6" s="42">
        <v>0.55000000000000004</v>
      </c>
      <c r="BO366" s="43">
        <v>0.75</v>
      </c>
      <c r="BP366" s="42">
        <v>11.47</v>
      </c>
      <c r="BQ366" s="43" t="s">
        <v>1741</v>
      </c>
      <c r="BR366" s="3" t="str" cm="1">
        <f t="array" ref="BR366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6" s="3" t="str" cm="1">
        <f t="array" ref="BS366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66" s="3" t="str" cm="1">
        <f t="array" ref="BT366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66" s="3" t="str" cm="1">
        <f t="array" ref="BU366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66" s="48">
        <v>40</v>
      </c>
      <c r="BW366" s="1">
        <v>20</v>
      </c>
      <c r="BX366" s="44">
        <v>30</v>
      </c>
      <c r="BY366" s="51">
        <v>45731</v>
      </c>
      <c r="BZ366" s="5">
        <v>45762</v>
      </c>
      <c r="CA366" s="85">
        <v>0</v>
      </c>
      <c r="CB366" s="2">
        <v>0</v>
      </c>
      <c r="CC366" s="2">
        <v>1</v>
      </c>
      <c r="CD366" s="2">
        <v>1</v>
      </c>
      <c r="CE366" s="2">
        <v>1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P366" s="9"/>
      <c r="CQ366" s="10"/>
    </row>
    <row r="367" spans="2:95" x14ac:dyDescent="0.15">
      <c r="B367" s="67" t="s">
        <v>305</v>
      </c>
      <c r="C367" s="1" t="s">
        <v>307</v>
      </c>
      <c r="K367" s="1" t="s">
        <v>1763</v>
      </c>
      <c r="L367" s="1" t="s">
        <v>1750</v>
      </c>
      <c r="M367" s="1" t="s">
        <v>362</v>
      </c>
      <c r="N367" s="6">
        <v>14</v>
      </c>
      <c r="O367" s="1" t="s">
        <v>4</v>
      </c>
      <c r="P367" s="1">
        <v>18</v>
      </c>
      <c r="Q367" s="1">
        <v>15</v>
      </c>
      <c r="R367" s="1">
        <v>10</v>
      </c>
      <c r="S367" s="1">
        <v>30</v>
      </c>
      <c r="T367" s="1">
        <v>38</v>
      </c>
      <c r="U367" s="253">
        <v>4</v>
      </c>
      <c r="V367" s="1">
        <v>40</v>
      </c>
      <c r="W367" s="44">
        <v>75</v>
      </c>
      <c r="X367" s="40">
        <f>_xlfn.XLOOKUP("Ripening", CropPhenology_TindaGourd[Main_Stage], CropPhenology_TindaGourd[Start_GDD], "Not Found")</f>
        <v>841</v>
      </c>
      <c r="Y367" s="4" cm="1">
        <f t="array" ref="Y367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Z367" s="3">
        <f>MIN(Y367/V367,MAX(X367/W367,R367,(X367/W367+Y367/V367)/2))</f>
        <v>19.106666666666666</v>
      </c>
      <c r="AA367" s="41">
        <f t="shared" si="207"/>
        <v>56.524773203070488</v>
      </c>
      <c r="AB367" s="1">
        <v>8</v>
      </c>
      <c r="AC367" s="1">
        <v>18</v>
      </c>
      <c r="AD367" s="1">
        <v>4</v>
      </c>
      <c r="AE367" s="1">
        <v>85</v>
      </c>
      <c r="AF367" s="1">
        <v>12</v>
      </c>
      <c r="AG367" s="1">
        <v>4</v>
      </c>
      <c r="AH367" s="3">
        <f t="shared" si="174"/>
        <v>4.2282345679012341</v>
      </c>
      <c r="AI367" s="1">
        <v>6</v>
      </c>
      <c r="AJ367" s="1">
        <v>7.5</v>
      </c>
      <c r="AK367" s="159">
        <v>2.5</v>
      </c>
      <c r="AL367" s="150">
        <v>0.09</v>
      </c>
      <c r="AM367" s="1">
        <v>350</v>
      </c>
      <c r="AN367" s="1">
        <v>500</v>
      </c>
      <c r="AO367" s="48">
        <v>2</v>
      </c>
      <c r="AP367" s="44">
        <v>50</v>
      </c>
      <c r="AQ367" s="42">
        <v>0.78</v>
      </c>
      <c r="AR367" s="1">
        <v>60</v>
      </c>
      <c r="AS367" s="1">
        <v>30</v>
      </c>
      <c r="AT367" s="1">
        <v>1</v>
      </c>
      <c r="AU367" s="4">
        <f t="shared" si="166"/>
        <v>5.5555555555555554</v>
      </c>
      <c r="AV367" s="3">
        <f>ROUND((P367/1000000)*AU367*10000,2)</f>
        <v>1</v>
      </c>
      <c r="AW367" s="1">
        <v>85</v>
      </c>
      <c r="AX367" s="3">
        <f t="shared" ref="AX367:AX371" si="210">IFERROR((AU367*AW367/100),0)</f>
        <v>4.7222222222222223</v>
      </c>
      <c r="AY367" s="1">
        <v>1</v>
      </c>
      <c r="AZ367" s="4">
        <f t="shared" ref="AZ367:AZ368" si="211">IFERROR(AX367*AY367,0)</f>
        <v>4.7222222222222223</v>
      </c>
      <c r="BA367" s="49">
        <v>0.8</v>
      </c>
      <c r="BB367" s="4">
        <f t="shared" si="167"/>
        <v>3.7777777777777781</v>
      </c>
      <c r="BC367" s="50">
        <v>1.0581946360153258</v>
      </c>
      <c r="BD367" s="69">
        <f>IFERROR(
  MAX(0.05, MIN(0.5, CropNorms_TindaGroud[[#This Row],[Leaf_Area_Per_Shoot_m2]] * CropNorms_TindaGroud[[#This Row],[Shoot_Bearing_m2]] )),
  0.2
)</f>
        <v>0.5</v>
      </c>
      <c r="BE367" s="4">
        <f>_xlfn.XLOOKUP(CropNorms_TindaGroud[[#This Row],[LAI_Start_BBCH]], CropPhenology_TindaGourd[Sub_Stage], CropPhenology_TindaGourd[Start_GDD], "Not Found")</f>
        <v>121</v>
      </c>
      <c r="BF367" s="3">
        <f>ROUND(CropNorms_TindaGroud[[#This Row],[Shoot_Bearing_m2]]*CropNorms_TindaGroud[[#This Row],[Leaf_Area_Per_Shoot_m2]],2)</f>
        <v>4</v>
      </c>
      <c r="BG367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H367" s="3">
        <f>IF(CropNorms_TindaGroud[[#This Row],[Max_LAI]]&gt;=1.2, 0.85*CropNorms_TindaGroud[[#This Row],[Max_LAI]], 1)</f>
        <v>3.4</v>
      </c>
      <c r="BI367" s="41">
        <f>_xlfn.XLOOKUP(CropNorms_TindaGroud[[#This Row],[LAI_End_BBCH]], CropPhenology_TindaGourd[Sub_Stage], CropPhenology_TindaGourd[End_GDD], "Not Found")</f>
        <v>840</v>
      </c>
      <c r="BJ367" s="3" cm="1">
        <f t="array" ref="BJ367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K367" s="3" cm="1">
        <f t="array" ref="BK367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0.93890705019473508</v>
      </c>
      <c r="BL367" s="3" cm="1">
        <f t="array" ref="BL367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1.9501862762773348</v>
      </c>
      <c r="BM367" s="3" cm="1">
        <f t="array" ref="BM367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7" s="42">
        <v>0.55000000000000004</v>
      </c>
      <c r="BO367" s="43">
        <v>0.75</v>
      </c>
      <c r="BP367" s="42">
        <v>11.47</v>
      </c>
      <c r="BQ367" s="43" t="s">
        <v>1741</v>
      </c>
      <c r="BR367" s="3" t="str" cm="1">
        <f t="array" ref="BR367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7" s="3" t="str" cm="1">
        <f t="array" ref="BS367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67" s="3" t="str" cm="1">
        <f t="array" ref="BT367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67" s="3" t="str" cm="1">
        <f t="array" ref="BU367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67" s="48">
        <v>40</v>
      </c>
      <c r="BW367" s="1">
        <v>20</v>
      </c>
      <c r="BX367" s="44">
        <v>30</v>
      </c>
      <c r="BY367" s="51">
        <v>45731</v>
      </c>
      <c r="BZ367" s="5">
        <v>45762</v>
      </c>
      <c r="CA367" s="85">
        <v>0</v>
      </c>
      <c r="CB367" s="2">
        <v>0</v>
      </c>
      <c r="CC367" s="2">
        <v>1</v>
      </c>
      <c r="CD367" s="2">
        <v>1</v>
      </c>
      <c r="CE367" s="2">
        <v>1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P367" s="9"/>
      <c r="CQ367" s="10"/>
    </row>
    <row r="368" spans="2:95" ht="11.25" thickBot="1" x14ac:dyDescent="0.2">
      <c r="B368" s="67" t="s">
        <v>305</v>
      </c>
      <c r="C368" s="1" t="s">
        <v>308</v>
      </c>
      <c r="K368" s="1" t="s">
        <v>1763</v>
      </c>
      <c r="L368" s="1" t="s">
        <v>1750</v>
      </c>
      <c r="M368" s="1" t="s">
        <v>362</v>
      </c>
      <c r="N368" s="6">
        <v>14</v>
      </c>
      <c r="O368" s="1" t="s">
        <v>4</v>
      </c>
      <c r="P368" s="1">
        <v>18</v>
      </c>
      <c r="Q368" s="1">
        <v>15</v>
      </c>
      <c r="R368" s="1">
        <v>10</v>
      </c>
      <c r="S368" s="1">
        <v>30</v>
      </c>
      <c r="T368" s="1">
        <v>38</v>
      </c>
      <c r="U368" s="254">
        <v>4</v>
      </c>
      <c r="V368" s="1">
        <v>40</v>
      </c>
      <c r="W368" s="44">
        <v>75</v>
      </c>
      <c r="X368" s="40">
        <f>_xlfn.XLOOKUP("Ripening", CropPhenology_TindaGourd[Main_Stage], CropPhenology_TindaGourd[Start_GDD], "Not Found")</f>
        <v>841</v>
      </c>
      <c r="Y368" s="4" cm="1">
        <f t="array" ref="Y368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Z368" s="3">
        <f>MIN(Y368/V368,MAX(X368/W368,R368,(X368/W368+Y368/V368)/2))</f>
        <v>19.106666666666666</v>
      </c>
      <c r="AA368" s="41">
        <f t="shared" si="207"/>
        <v>56.524773203070488</v>
      </c>
      <c r="AB368" s="1">
        <v>8</v>
      </c>
      <c r="AC368" s="1">
        <v>18</v>
      </c>
      <c r="AD368" s="1">
        <v>4</v>
      </c>
      <c r="AE368" s="1">
        <v>85</v>
      </c>
      <c r="AF368" s="1">
        <v>12</v>
      </c>
      <c r="AG368" s="1">
        <v>4</v>
      </c>
      <c r="AH368" s="3">
        <f t="shared" si="174"/>
        <v>4.2282345679012341</v>
      </c>
      <c r="AI368" s="1">
        <v>6</v>
      </c>
      <c r="AJ368" s="1">
        <v>7.5</v>
      </c>
      <c r="AK368" s="160">
        <v>2.5</v>
      </c>
      <c r="AL368" s="161">
        <v>0.09</v>
      </c>
      <c r="AM368" s="1">
        <v>350</v>
      </c>
      <c r="AN368" s="1">
        <v>500</v>
      </c>
      <c r="AO368" s="48">
        <v>2</v>
      </c>
      <c r="AP368" s="44">
        <v>50</v>
      </c>
      <c r="AQ368" s="42">
        <v>0.78</v>
      </c>
      <c r="AR368" s="1">
        <v>60</v>
      </c>
      <c r="AS368" s="1">
        <v>30</v>
      </c>
      <c r="AT368" s="1">
        <v>1</v>
      </c>
      <c r="AU368" s="4">
        <f t="shared" si="166"/>
        <v>5.5555555555555554</v>
      </c>
      <c r="AV368" s="3">
        <f>ROUND((P368/1000000)*AU368*10000,2)</f>
        <v>1</v>
      </c>
      <c r="AW368" s="1">
        <v>85</v>
      </c>
      <c r="AX368" s="3">
        <f t="shared" si="210"/>
        <v>4.7222222222222223</v>
      </c>
      <c r="AY368" s="1">
        <v>1</v>
      </c>
      <c r="AZ368" s="4">
        <f t="shared" si="211"/>
        <v>4.7222222222222223</v>
      </c>
      <c r="BA368" s="49">
        <v>0.8</v>
      </c>
      <c r="BB368" s="4">
        <f t="shared" si="167"/>
        <v>3.7777777777777781</v>
      </c>
      <c r="BC368" s="50">
        <v>1.0581946360153258</v>
      </c>
      <c r="BD368" s="69">
        <f>IFERROR(
  MAX(0.05, MIN(0.5, CropNorms_TindaGroud[[#This Row],[Leaf_Area_Per_Shoot_m2]] * CropNorms_TindaGroud[[#This Row],[Shoot_Bearing_m2]] )),
  0.2
)</f>
        <v>0.5</v>
      </c>
      <c r="BE368" s="4">
        <f>_xlfn.XLOOKUP(CropNorms_TindaGroud[[#This Row],[LAI_Start_BBCH]], CropPhenology_TindaGourd[Sub_Stage], CropPhenology_TindaGourd[Start_GDD], "Not Found")</f>
        <v>121</v>
      </c>
      <c r="BF368" s="3">
        <f>ROUND(CropNorms_TindaGroud[[#This Row],[Shoot_Bearing_m2]]*CropNorms_TindaGroud[[#This Row],[Leaf_Area_Per_Shoot_m2]],2)</f>
        <v>4</v>
      </c>
      <c r="BG368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H368" s="3">
        <f>IF(CropNorms_TindaGroud[[#This Row],[Max_LAI]]&gt;=1.2, 0.85*CropNorms_TindaGroud[[#This Row],[Max_LAI]], 1)</f>
        <v>3.4</v>
      </c>
      <c r="BI368" s="41">
        <f>_xlfn.XLOOKUP(CropNorms_TindaGroud[[#This Row],[LAI_End_BBCH]], CropPhenology_TindaGourd[Sub_Stage], CropPhenology_TindaGourd[End_GDD], "Not Found")</f>
        <v>840</v>
      </c>
      <c r="BJ368" s="3" cm="1">
        <f t="array" ref="BJ368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K368" s="3" cm="1">
        <f t="array" ref="BK368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0.93890705019473508</v>
      </c>
      <c r="BL368" s="3" cm="1">
        <f t="array" ref="BL368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1.9501862762773348</v>
      </c>
      <c r="BM368" s="3" cm="1">
        <f t="array" ref="BM368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68" s="42">
        <v>0.55000000000000004</v>
      </c>
      <c r="BO368" s="43">
        <v>0.75</v>
      </c>
      <c r="BP368" s="42">
        <v>11.47</v>
      </c>
      <c r="BQ368" s="43" t="s">
        <v>1741</v>
      </c>
      <c r="BR368" s="3" t="str" cm="1">
        <f t="array" ref="BR368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68" s="3" t="str" cm="1">
        <f t="array" ref="BS368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368" s="3" t="str" cm="1">
        <f t="array" ref="BT368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368" s="3" t="str" cm="1">
        <f t="array" ref="BU368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68" s="48">
        <v>40</v>
      </c>
      <c r="BW368" s="1">
        <v>20</v>
      </c>
      <c r="BX368" s="44">
        <v>30</v>
      </c>
      <c r="BY368" s="51">
        <v>45731</v>
      </c>
      <c r="BZ368" s="5">
        <v>45762</v>
      </c>
      <c r="CA368" s="85">
        <v>0</v>
      </c>
      <c r="CB368" s="2">
        <v>0</v>
      </c>
      <c r="CC368" s="2">
        <v>1</v>
      </c>
      <c r="CD368" s="2">
        <v>1</v>
      </c>
      <c r="CE368" s="2">
        <v>1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P368" s="9"/>
      <c r="CQ368" s="10"/>
    </row>
    <row r="369" spans="2:95" ht="11.25" thickBot="1" x14ac:dyDescent="0.2">
      <c r="B369" s="67"/>
      <c r="Y369" s="3"/>
      <c r="Z369" s="4"/>
      <c r="AG369" s="3"/>
      <c r="AR369" s="4"/>
      <c r="AS369" s="3"/>
      <c r="AU369" s="3"/>
      <c r="AW369" s="4"/>
      <c r="AX369" s="49"/>
      <c r="AY369" s="4"/>
      <c r="BV369" s="51"/>
      <c r="BW369" s="51"/>
      <c r="CP369" s="9"/>
      <c r="CQ369" s="10"/>
    </row>
    <row r="370" spans="2:95" ht="11.25" thickBot="1" x14ac:dyDescent="0.2">
      <c r="B370" s="147" t="s">
        <v>1753</v>
      </c>
      <c r="C370" s="53" t="s">
        <v>1754</v>
      </c>
      <c r="D370" s="53" t="s">
        <v>1804</v>
      </c>
      <c r="E370" s="53" t="s">
        <v>1805</v>
      </c>
      <c r="F370" s="53" t="s">
        <v>1806</v>
      </c>
      <c r="G370" s="53" t="s">
        <v>1807</v>
      </c>
      <c r="H370" s="53" t="s">
        <v>1808</v>
      </c>
      <c r="I370" s="53" t="s">
        <v>1809</v>
      </c>
      <c r="J370" s="53" t="s">
        <v>1810</v>
      </c>
      <c r="K370" s="53" t="s">
        <v>1747</v>
      </c>
      <c r="L370" s="54" t="s">
        <v>1749</v>
      </c>
      <c r="M370" s="53" t="s">
        <v>357</v>
      </c>
      <c r="N370" s="55" t="s">
        <v>692</v>
      </c>
      <c r="O370" s="53" t="s">
        <v>325</v>
      </c>
      <c r="P370" s="53" t="s">
        <v>356</v>
      </c>
      <c r="Q370" s="53" t="s">
        <v>326</v>
      </c>
      <c r="R370" s="53" t="s">
        <v>327</v>
      </c>
      <c r="S370" s="53" t="s">
        <v>328</v>
      </c>
      <c r="T370" s="53" t="s">
        <v>329</v>
      </c>
      <c r="U370" s="250" t="s">
        <v>2349</v>
      </c>
      <c r="V370" s="53" t="s">
        <v>330</v>
      </c>
      <c r="W370" s="53" t="s">
        <v>331</v>
      </c>
      <c r="X370" s="56" t="s">
        <v>354</v>
      </c>
      <c r="Y370" s="57" t="s">
        <v>355</v>
      </c>
      <c r="Z370" s="58" t="s">
        <v>413</v>
      </c>
      <c r="AA370" s="59" t="s">
        <v>583</v>
      </c>
      <c r="AB370" s="53" t="s">
        <v>324</v>
      </c>
      <c r="AC370" s="53" t="s">
        <v>332</v>
      </c>
      <c r="AD370" s="53" t="s">
        <v>333</v>
      </c>
      <c r="AE370" s="53" t="s">
        <v>334</v>
      </c>
      <c r="AF370" s="53" t="s">
        <v>335</v>
      </c>
      <c r="AG370" s="53" t="s">
        <v>336</v>
      </c>
      <c r="AH370" s="60" t="s">
        <v>337</v>
      </c>
      <c r="AI370" s="53" t="s">
        <v>338</v>
      </c>
      <c r="AJ370" s="53" t="s">
        <v>339</v>
      </c>
      <c r="AK370" s="157" t="s">
        <v>2346</v>
      </c>
      <c r="AL370" s="158" t="s">
        <v>2347</v>
      </c>
      <c r="AM370" s="53" t="s">
        <v>340</v>
      </c>
      <c r="AN370" s="53" t="s">
        <v>341</v>
      </c>
      <c r="AO370" s="61" t="s">
        <v>342</v>
      </c>
      <c r="AP370" s="62" t="s">
        <v>343</v>
      </c>
      <c r="AQ370" s="55" t="s">
        <v>344</v>
      </c>
      <c r="AR370" s="53" t="s">
        <v>345</v>
      </c>
      <c r="AS370" s="53" t="s">
        <v>346</v>
      </c>
      <c r="AT370" s="53" t="s">
        <v>364</v>
      </c>
      <c r="AU370" s="60" t="s">
        <v>347</v>
      </c>
      <c r="AV370" s="58" t="s">
        <v>363</v>
      </c>
      <c r="AW370" s="53" t="s">
        <v>348</v>
      </c>
      <c r="AX370" s="58" t="s">
        <v>349</v>
      </c>
      <c r="AY370" s="53" t="s">
        <v>366</v>
      </c>
      <c r="AZ370" s="60" t="s">
        <v>350</v>
      </c>
      <c r="BA370" s="53" t="s">
        <v>365</v>
      </c>
      <c r="BB370" s="60" t="s">
        <v>1827</v>
      </c>
      <c r="BC370" s="63" t="s">
        <v>351</v>
      </c>
      <c r="BD370" s="71" t="s">
        <v>1811</v>
      </c>
      <c r="BE370" s="57" t="s">
        <v>352</v>
      </c>
      <c r="BF370" s="58" t="s">
        <v>1812</v>
      </c>
      <c r="BG370" s="57" t="s">
        <v>1752</v>
      </c>
      <c r="BH370" s="60" t="s">
        <v>1813</v>
      </c>
      <c r="BI370" s="59" t="s">
        <v>353</v>
      </c>
      <c r="BJ370" s="71" t="s">
        <v>1828</v>
      </c>
      <c r="BK370" s="58" t="s">
        <v>1829</v>
      </c>
      <c r="BL370" s="58" t="s">
        <v>1830</v>
      </c>
      <c r="BM370" s="72" t="s">
        <v>1831</v>
      </c>
      <c r="BN370" s="64" t="s">
        <v>1154</v>
      </c>
      <c r="BO370" s="65" t="s">
        <v>1742</v>
      </c>
      <c r="BP370" s="64" t="s">
        <v>1155</v>
      </c>
      <c r="BQ370" s="65" t="s">
        <v>1755</v>
      </c>
      <c r="BR370" s="58" t="s">
        <v>367</v>
      </c>
      <c r="BS370" s="58" t="s">
        <v>1751</v>
      </c>
      <c r="BT370" s="58" t="s">
        <v>368</v>
      </c>
      <c r="BU370" s="60" t="s">
        <v>1814</v>
      </c>
      <c r="BV370" s="61" t="s">
        <v>369</v>
      </c>
      <c r="BW370" s="53" t="s">
        <v>370</v>
      </c>
      <c r="BX370" s="62" t="s">
        <v>371</v>
      </c>
      <c r="BY370" s="53" t="s">
        <v>359</v>
      </c>
      <c r="BZ370" s="53" t="s">
        <v>361</v>
      </c>
      <c r="CA370" s="61" t="s">
        <v>1815</v>
      </c>
      <c r="CB370" s="53" t="s">
        <v>1816</v>
      </c>
      <c r="CC370" s="53" t="s">
        <v>1817</v>
      </c>
      <c r="CD370" s="53" t="s">
        <v>1818</v>
      </c>
      <c r="CE370" s="53" t="s">
        <v>1819</v>
      </c>
      <c r="CF370" s="53" t="s">
        <v>1820</v>
      </c>
      <c r="CG370" s="53" t="s">
        <v>1821</v>
      </c>
      <c r="CH370" s="53" t="s">
        <v>1822</v>
      </c>
      <c r="CI370" s="53" t="s">
        <v>1823</v>
      </c>
      <c r="CJ370" s="53" t="s">
        <v>1824</v>
      </c>
      <c r="CK370" s="53" t="s">
        <v>1825</v>
      </c>
      <c r="CL370" s="53" t="s">
        <v>1826</v>
      </c>
      <c r="CP370" s="9"/>
      <c r="CQ370" s="10"/>
    </row>
    <row r="371" spans="2:95" x14ac:dyDescent="0.15">
      <c r="B371" s="27" t="s">
        <v>309</v>
      </c>
      <c r="C371" s="1" t="s">
        <v>2350</v>
      </c>
      <c r="D371" s="1" t="s">
        <v>2113</v>
      </c>
      <c r="E371" s="1" t="s">
        <v>2076</v>
      </c>
      <c r="F371" s="1">
        <v>265</v>
      </c>
      <c r="H371" s="1" t="s">
        <v>2372</v>
      </c>
      <c r="K371" s="1" t="s">
        <v>1763</v>
      </c>
      <c r="L371" s="1" t="s">
        <v>1750</v>
      </c>
      <c r="M371" s="1" t="s">
        <v>362</v>
      </c>
      <c r="N371" s="6">
        <v>9.15</v>
      </c>
      <c r="O371" s="1" t="s">
        <v>4</v>
      </c>
      <c r="P371" s="1">
        <v>3</v>
      </c>
      <c r="Q371" s="1">
        <v>10</v>
      </c>
      <c r="R371" s="1">
        <v>10</v>
      </c>
      <c r="S371" s="1">
        <v>23</v>
      </c>
      <c r="T371" s="1">
        <v>35</v>
      </c>
      <c r="U371" s="253">
        <v>4</v>
      </c>
      <c r="V371" s="1">
        <v>80</v>
      </c>
      <c r="W371" s="44">
        <v>120</v>
      </c>
      <c r="X371" s="40">
        <f>_xlfn.XLOOKUP("Ripening", CropPhenology_Tomato[Main_Stage], CropPhenology_Tomato[Start_GDD], "Not Found")</f>
        <v>1226</v>
      </c>
      <c r="Y371" s="4" cm="1">
        <f t="array" ref="Y371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1" s="3">
        <f>MIN(Y371/V371,MAX(X371/W371,R371,(X371/W371+Y371/V371)/2))</f>
        <v>14.333333333333332</v>
      </c>
      <c r="AA371" s="41">
        <f t="shared" ref="AA371:AA387" si="212">Y371/Z371</f>
        <v>102.97674418604652</v>
      </c>
      <c r="AB371" s="1">
        <v>8</v>
      </c>
      <c r="AC371" s="1">
        <v>15</v>
      </c>
      <c r="AD371" s="1">
        <v>4</v>
      </c>
      <c r="AE371" s="1">
        <v>85</v>
      </c>
      <c r="AF371" s="1">
        <v>10</v>
      </c>
      <c r="AG371" s="1">
        <v>5</v>
      </c>
      <c r="AH371" s="3">
        <f t="shared" si="174"/>
        <v>2.4277326106594397</v>
      </c>
      <c r="AI371" s="1">
        <v>5</v>
      </c>
      <c r="AJ371" s="1">
        <v>7</v>
      </c>
      <c r="AK371" s="159">
        <v>2.5</v>
      </c>
      <c r="AL371" s="150">
        <v>9.9000000000000005E-2</v>
      </c>
      <c r="AM371" s="1">
        <v>400</v>
      </c>
      <c r="AN371" s="1">
        <v>600</v>
      </c>
      <c r="AO371" s="48">
        <v>2</v>
      </c>
      <c r="AP371" s="44">
        <v>150</v>
      </c>
      <c r="AQ371" s="42">
        <v>0.76</v>
      </c>
      <c r="AR371" s="1">
        <v>50</v>
      </c>
      <c r="AS371" s="1">
        <v>30</v>
      </c>
      <c r="AT371" s="1">
        <v>1</v>
      </c>
      <c r="AU371" s="4">
        <f t="shared" ref="AU371:AU387" si="213">IFERROR(10000/(AS371*AR371),0)*AT371</f>
        <v>6.666666666666667</v>
      </c>
      <c r="AV371" s="3">
        <f>ROUND((P371/1000000)*AU371*10000,2)</f>
        <v>0.2</v>
      </c>
      <c r="AW371" s="1">
        <v>85</v>
      </c>
      <c r="AX371" s="3">
        <f t="shared" si="210"/>
        <v>5.6666666666666679</v>
      </c>
      <c r="AY371" s="1">
        <v>1</v>
      </c>
      <c r="AZ371" s="4">
        <f t="shared" ref="AZ371" si="214">IFERROR(AX371*AY371,0)</f>
        <v>5.6666666666666679</v>
      </c>
      <c r="BA371" s="49">
        <v>0.83</v>
      </c>
      <c r="BB371" s="4">
        <f t="shared" si="167"/>
        <v>4.703333333333334</v>
      </c>
      <c r="BC371" s="50">
        <v>0.95775104427735991</v>
      </c>
      <c r="BD371" s="69">
        <f>IFERROR(
  MAX(0.05, MIN(0.5, CropNorms_Tomato[[#This Row],[Leaf_Area_Per_Shoot_m2]] * CropNorms_Tomato[[#This Row],[Shoot_Bearing_m2]] )),
  0.2
)</f>
        <v>0.5</v>
      </c>
      <c r="BE371" s="4">
        <f>_xlfn.XLOOKUP(CropNorms_Tomato[[#This Row],[LAI_Start_BBCH]], CropPhenology_Tomato[Sub_Stage], CropPhenology_Tomato[Start_GDD], "Not Found")</f>
        <v>118</v>
      </c>
      <c r="BF371" s="3">
        <f>ROUND(CropNorms_Tomato[[#This Row],[Shoot_Bearing_m2]]*CropNorms_Tomato[[#This Row],[Leaf_Area_Per_Shoot_m2]],2)</f>
        <v>4.5</v>
      </c>
      <c r="BG371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1" s="3">
        <f>IF(CropNorms_Tomato[[#This Row],[Max_LAI]]&gt;=1.2, 0.85*CropNorms_Tomato[[#This Row],[Max_LAI]], 1)</f>
        <v>3.8249999999999997</v>
      </c>
      <c r="BI371" s="41">
        <f>_xlfn.XLOOKUP(CropNorms_Tomato[[#This Row],[LAI_End_BBCH]], CropPhenology_Tomato[Sub_Stage], CropPhenology_Tomato[End_GDD], "Not Found")</f>
        <v>1225</v>
      </c>
      <c r="BJ371" s="3" cm="1">
        <f t="array" ref="BJ371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1" s="3" cm="1">
        <f t="array" ref="BK37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1" s="3" cm="1">
        <f t="array" ref="BL371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1" s="3" cm="1">
        <f t="array" ref="BM37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1" s="42">
        <v>0.55000000000000004</v>
      </c>
      <c r="BO371" s="43">
        <v>0.85</v>
      </c>
      <c r="BP371" s="42">
        <v>13.19</v>
      </c>
      <c r="BQ371" s="43" t="s">
        <v>1741</v>
      </c>
      <c r="BR371" s="3" t="str" cm="1">
        <f t="array" ref="BR37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1" s="3" t="str" cm="1">
        <f t="array" ref="BS37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1" s="3" t="str" cm="1">
        <f t="array" ref="BT371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1" s="3" t="str" cm="1">
        <f t="array" ref="BU371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1" s="48">
        <v>150</v>
      </c>
      <c r="BW371" s="1">
        <v>110</v>
      </c>
      <c r="BX371" s="44">
        <v>160</v>
      </c>
      <c r="BY371" s="51">
        <v>44941</v>
      </c>
      <c r="BZ371" s="5">
        <v>45000</v>
      </c>
      <c r="CA371" s="85">
        <v>0</v>
      </c>
      <c r="CB371" s="2">
        <v>0</v>
      </c>
      <c r="CC371" s="2">
        <v>1</v>
      </c>
      <c r="CD371" s="2">
        <v>1</v>
      </c>
      <c r="CE371" s="2">
        <v>1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P371" s="9"/>
      <c r="CQ371" s="10"/>
    </row>
    <row r="372" spans="2:95" x14ac:dyDescent="0.15">
      <c r="B372" s="27" t="s">
        <v>309</v>
      </c>
      <c r="C372" s="1" t="s">
        <v>2351</v>
      </c>
      <c r="D372" s="1" t="s">
        <v>2113</v>
      </c>
      <c r="E372" s="1" t="s">
        <v>1835</v>
      </c>
      <c r="F372" s="1">
        <v>100</v>
      </c>
      <c r="I372" s="1" t="s">
        <v>2378</v>
      </c>
      <c r="J372" s="1" t="s">
        <v>2381</v>
      </c>
      <c r="K372" s="1" t="s">
        <v>1763</v>
      </c>
      <c r="L372" s="1" t="s">
        <v>1750</v>
      </c>
      <c r="M372" s="1" t="s">
        <v>362</v>
      </c>
      <c r="N372" s="6">
        <v>9.15</v>
      </c>
      <c r="O372" s="1" t="s">
        <v>4</v>
      </c>
      <c r="P372" s="1">
        <v>3</v>
      </c>
      <c r="Q372" s="1">
        <v>10</v>
      </c>
      <c r="R372" s="1">
        <v>10</v>
      </c>
      <c r="S372" s="1">
        <v>23</v>
      </c>
      <c r="T372" s="1">
        <v>35</v>
      </c>
      <c r="U372" s="253">
        <v>4</v>
      </c>
      <c r="V372" s="1">
        <v>80</v>
      </c>
      <c r="W372" s="44">
        <v>110</v>
      </c>
      <c r="X372" s="40">
        <f>_xlfn.XLOOKUP("Ripening", CropPhenology_Tomato[Main_Stage], CropPhenology_Tomato[Start_GDD], "Not Found")</f>
        <v>1226</v>
      </c>
      <c r="Y372" s="4" cm="1">
        <f t="array" ref="Y372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2" s="3">
        <f>MIN(Y372/V372,MAX(X372/W372,R372,(X372/W372+Y372/V372)/2))</f>
        <v>14.797727272727272</v>
      </c>
      <c r="AA372" s="41">
        <f t="shared" si="212"/>
        <v>99.745046843802797</v>
      </c>
      <c r="AB372" s="1">
        <v>8</v>
      </c>
      <c r="AC372" s="1">
        <v>15</v>
      </c>
      <c r="AD372" s="1">
        <v>4</v>
      </c>
      <c r="AE372" s="1">
        <v>85</v>
      </c>
      <c r="AF372" s="1">
        <v>10</v>
      </c>
      <c r="AG372" s="1">
        <v>5</v>
      </c>
      <c r="AH372" s="3">
        <f t="shared" si="174"/>
        <v>2.5063901207193888</v>
      </c>
      <c r="AI372" s="1">
        <v>5</v>
      </c>
      <c r="AJ372" s="1">
        <v>7</v>
      </c>
      <c r="AK372" s="159">
        <v>2.5</v>
      </c>
      <c r="AL372" s="150">
        <v>9.9000000000000005E-2</v>
      </c>
      <c r="AM372" s="1">
        <v>400</v>
      </c>
      <c r="AN372" s="1">
        <v>600</v>
      </c>
      <c r="AO372" s="48">
        <v>2</v>
      </c>
      <c r="AP372" s="44">
        <v>150</v>
      </c>
      <c r="AQ372" s="42">
        <v>0.82</v>
      </c>
      <c r="AR372" s="1">
        <v>50</v>
      </c>
      <c r="AS372" s="1">
        <v>30</v>
      </c>
      <c r="AT372" s="1">
        <v>1</v>
      </c>
      <c r="AU372" s="4">
        <f t="shared" si="213"/>
        <v>6.666666666666667</v>
      </c>
      <c r="AV372" s="3">
        <f>ROUND((P372/1000000)*AU372*10000,2)</f>
        <v>0.2</v>
      </c>
      <c r="AW372" s="1">
        <v>90</v>
      </c>
      <c r="AX372" s="3">
        <f t="shared" ref="AX372:AX390" si="215">IFERROR((AU372*AW372/100),0)</f>
        <v>6</v>
      </c>
      <c r="AY372" s="1">
        <v>1</v>
      </c>
      <c r="AZ372" s="4">
        <f t="shared" ref="AZ372:AZ387" si="216">IFERROR(AX372*AY372,0)</f>
        <v>6</v>
      </c>
      <c r="BA372" s="49">
        <v>0.83</v>
      </c>
      <c r="BB372" s="4">
        <f t="shared" si="167"/>
        <v>4.9799999999999995</v>
      </c>
      <c r="BC372" s="50">
        <v>0.95775104427735991</v>
      </c>
      <c r="BD372" s="69">
        <f>IFERROR(
  MAX(0.05, MIN(0.5, CropNorms_Tomato[[#This Row],[Leaf_Area_Per_Shoot_m2]] * CropNorms_Tomato[[#This Row],[Shoot_Bearing_m2]] )),
  0.2
)</f>
        <v>0.5</v>
      </c>
      <c r="BE372" s="4">
        <f>_xlfn.XLOOKUP(CropNorms_Tomato[[#This Row],[LAI_Start_BBCH]], CropPhenology_Tomato[Sub_Stage], CropPhenology_Tomato[Start_GDD], "Not Found")</f>
        <v>118</v>
      </c>
      <c r="BF372" s="3">
        <f>ROUND(CropNorms_Tomato[[#This Row],[Shoot_Bearing_m2]]*CropNorms_Tomato[[#This Row],[Leaf_Area_Per_Shoot_m2]],2)</f>
        <v>4.7699999999999996</v>
      </c>
      <c r="BG372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2" s="3">
        <f>IF(CropNorms_Tomato[[#This Row],[Max_LAI]]&gt;=1.2, 0.85*CropNorms_Tomato[[#This Row],[Max_LAI]], 1)</f>
        <v>4.0544999999999991</v>
      </c>
      <c r="BI372" s="41">
        <f>_xlfn.XLOOKUP(CropNorms_Tomato[[#This Row],[LAI_End_BBCH]], CropPhenology_Tomato[Sub_Stage], CropPhenology_Tomato[End_GDD], "Not Found")</f>
        <v>1225</v>
      </c>
      <c r="BJ372" s="3" cm="1">
        <f t="array" ref="BJ372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2.8588405183198144</v>
      </c>
      <c r="BK372" s="3" cm="1">
        <f t="array" ref="BK372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0.93881962929218721</v>
      </c>
      <c r="BL372" s="3" cm="1">
        <f t="array" ref="BL372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2.33659784226551</v>
      </c>
      <c r="BM372" s="3" cm="1">
        <f t="array" ref="BM372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2" s="42">
        <v>0.55000000000000004</v>
      </c>
      <c r="BO372" s="43">
        <v>0.85</v>
      </c>
      <c r="BP372" s="42">
        <v>13.19</v>
      </c>
      <c r="BQ372" s="43" t="s">
        <v>1741</v>
      </c>
      <c r="BR372" s="3" t="str" cm="1">
        <f t="array" ref="BR372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2" s="3" t="str" cm="1">
        <f t="array" ref="BS372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2" s="3" t="str" cm="1">
        <f t="array" ref="BT372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2" s="3" t="str" cm="1">
        <f t="array" ref="BU372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2" s="48">
        <v>150</v>
      </c>
      <c r="BW372" s="1">
        <v>110</v>
      </c>
      <c r="BX372" s="44">
        <v>160</v>
      </c>
      <c r="BY372" s="51">
        <v>44941</v>
      </c>
      <c r="BZ372" s="5">
        <v>45000</v>
      </c>
      <c r="CA372" s="85">
        <v>0</v>
      </c>
      <c r="CB372" s="2">
        <v>0</v>
      </c>
      <c r="CC372" s="2">
        <v>1</v>
      </c>
      <c r="CD372" s="2">
        <v>1</v>
      </c>
      <c r="CE372" s="2">
        <v>1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P372" s="9"/>
      <c r="CQ372" s="10"/>
    </row>
    <row r="373" spans="2:95" x14ac:dyDescent="0.15">
      <c r="B373" s="27" t="s">
        <v>309</v>
      </c>
      <c r="C373" s="1" t="s">
        <v>2352</v>
      </c>
      <c r="D373" s="1" t="s">
        <v>2353</v>
      </c>
      <c r="E373" s="1" t="s">
        <v>1835</v>
      </c>
      <c r="F373" s="1">
        <v>100</v>
      </c>
      <c r="H373" s="1" t="s">
        <v>2373</v>
      </c>
      <c r="K373" s="1" t="s">
        <v>1763</v>
      </c>
      <c r="L373" s="1" t="s">
        <v>1750</v>
      </c>
      <c r="M373" s="1" t="s">
        <v>362</v>
      </c>
      <c r="N373" s="6">
        <v>9.15</v>
      </c>
      <c r="O373" s="1" t="s">
        <v>4</v>
      </c>
      <c r="P373" s="1">
        <v>3</v>
      </c>
      <c r="Q373" s="1">
        <v>10</v>
      </c>
      <c r="R373" s="1">
        <v>10</v>
      </c>
      <c r="S373" s="1">
        <v>23</v>
      </c>
      <c r="T373" s="1">
        <v>35</v>
      </c>
      <c r="U373" s="253">
        <v>4</v>
      </c>
      <c r="V373" s="1">
        <v>80</v>
      </c>
      <c r="W373" s="44">
        <v>110</v>
      </c>
      <c r="X373" s="40">
        <f>_xlfn.XLOOKUP("Ripening", CropPhenology_Tomato[Main_Stage], CropPhenology_Tomato[Start_GDD], "Not Found")</f>
        <v>1226</v>
      </c>
      <c r="Y373" s="4" cm="1">
        <f t="array" ref="Y373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3" s="3">
        <f t="shared" ref="Z373:Z374" si="217">MIN(Y373/V373,MAX(X373/W373,R373,(X373/W373+Y373/V373)/2))</f>
        <v>14.797727272727272</v>
      </c>
      <c r="AA373" s="41">
        <f t="shared" ref="AA373:AA374" si="218">Y373/Z373</f>
        <v>99.745046843802797</v>
      </c>
      <c r="AB373" s="1">
        <v>8</v>
      </c>
      <c r="AC373" s="1">
        <v>15</v>
      </c>
      <c r="AD373" s="1">
        <v>4</v>
      </c>
      <c r="AE373" s="1">
        <v>85</v>
      </c>
      <c r="AF373" s="1">
        <v>10</v>
      </c>
      <c r="AG373" s="1">
        <v>5</v>
      </c>
      <c r="AH373" s="3">
        <f t="shared" ref="AH373:AH374" si="219">IFERROR((Y373-X373)/AA373,0)</f>
        <v>2.5063901207193888</v>
      </c>
      <c r="AI373" s="1">
        <v>5</v>
      </c>
      <c r="AJ373" s="1">
        <v>7</v>
      </c>
      <c r="AK373" s="159">
        <v>2.5</v>
      </c>
      <c r="AL373" s="150">
        <v>9.9000000000000005E-2</v>
      </c>
      <c r="AM373" s="1">
        <v>400</v>
      </c>
      <c r="AN373" s="1">
        <v>600</v>
      </c>
      <c r="AO373" s="48">
        <v>2</v>
      </c>
      <c r="AP373" s="44">
        <v>150</v>
      </c>
      <c r="AQ373" s="42">
        <v>0.82</v>
      </c>
      <c r="AR373" s="1">
        <v>50</v>
      </c>
      <c r="AS373" s="1">
        <v>30</v>
      </c>
      <c r="AT373" s="1">
        <v>1</v>
      </c>
      <c r="AU373" s="4">
        <f t="shared" ref="AU373:AU374" si="220">IFERROR(10000/(AS373*AR373),0)*AT373</f>
        <v>6.666666666666667</v>
      </c>
      <c r="AV373" s="3">
        <f t="shared" ref="AV373:AV374" si="221">ROUND((P373/1000000)*AU373*10000,2)</f>
        <v>0.2</v>
      </c>
      <c r="AW373" s="1">
        <v>85</v>
      </c>
      <c r="AX373" s="3">
        <f t="shared" ref="AX373:AX374" si="222">IFERROR((AU373*AW373/100),0)</f>
        <v>5.6666666666666679</v>
      </c>
      <c r="AY373" s="1">
        <v>1</v>
      </c>
      <c r="AZ373" s="4">
        <f t="shared" ref="AZ373:AZ374" si="223">IFERROR(AX373*AY373,0)</f>
        <v>5.6666666666666679</v>
      </c>
      <c r="BA373" s="49">
        <v>0.83</v>
      </c>
      <c r="BB373" s="4">
        <f t="shared" ref="BB373:BB374" si="224">IFERROR(AZ373*BA373,0)</f>
        <v>4.703333333333334</v>
      </c>
      <c r="BC373" s="50">
        <v>0.95775104427735991</v>
      </c>
      <c r="BD373" s="69">
        <f>IFERROR(
  MAX(0.05, MIN(0.5, CropNorms_Tomato[[#This Row],[Leaf_Area_Per_Shoot_m2]] * CropNorms_Tomato[[#This Row],[Shoot_Bearing_m2]] )),
  0.2
)</f>
        <v>0.5</v>
      </c>
      <c r="BE373" s="4">
        <f>_xlfn.XLOOKUP(CropNorms_Tomato[[#This Row],[LAI_Start_BBCH]], CropPhenology_Tomato[Sub_Stage], CropPhenology_Tomato[Start_GDD], "Not Found")</f>
        <v>118</v>
      </c>
      <c r="BF373" s="3">
        <f>ROUND(CropNorms_Tomato[[#This Row],[Shoot_Bearing_m2]]*CropNorms_Tomato[[#This Row],[Leaf_Area_Per_Shoot_m2]],2)</f>
        <v>4.5</v>
      </c>
      <c r="BG373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3" s="3">
        <f>IF(CropNorms_Tomato[[#This Row],[Max_LAI]]&gt;=1.2, 0.85*CropNorms_Tomato[[#This Row],[Max_LAI]], 1)</f>
        <v>3.8249999999999997</v>
      </c>
      <c r="BI373" s="41">
        <f>_xlfn.XLOOKUP(CropNorms_Tomato[[#This Row],[LAI_End_BBCH]], CropPhenology_Tomato[Sub_Stage], CropPhenology_Tomato[End_GDD], "Not Found")</f>
        <v>1225</v>
      </c>
      <c r="BJ373" s="3" cm="1">
        <f t="array" ref="BJ373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3" s="3" cm="1">
        <f t="array" ref="BK37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3" s="3" cm="1">
        <f t="array" ref="BL373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3" s="3" cm="1">
        <f t="array" ref="BM37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3" s="42">
        <v>0.55000000000000004</v>
      </c>
      <c r="BO373" s="43">
        <v>0.85</v>
      </c>
      <c r="BP373" s="42">
        <v>9.21875</v>
      </c>
      <c r="BQ373" s="43" t="s">
        <v>1741</v>
      </c>
      <c r="BR373" s="3" t="str" cm="1">
        <f t="array" ref="BR37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3" s="3" t="str" cm="1">
        <f t="array" ref="BS37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3" s="3" t="str" cm="1">
        <f t="array" ref="BT373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3" s="3" t="str" cm="1">
        <f t="array" ref="BU373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3" s="48">
        <v>150</v>
      </c>
      <c r="BW373" s="1">
        <v>110</v>
      </c>
      <c r="BX373" s="44">
        <v>160</v>
      </c>
      <c r="BY373" s="51">
        <v>45687</v>
      </c>
      <c r="BZ373" s="5">
        <v>45748</v>
      </c>
      <c r="CA373" s="85">
        <v>0</v>
      </c>
      <c r="CB373" s="2">
        <v>0</v>
      </c>
      <c r="CC373" s="2">
        <v>1</v>
      </c>
      <c r="CD373" s="2">
        <v>1</v>
      </c>
      <c r="CE373" s="2">
        <v>1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P373" s="9"/>
      <c r="CQ373" s="10"/>
    </row>
    <row r="374" spans="2:95" x14ac:dyDescent="0.15">
      <c r="B374" s="27" t="s">
        <v>309</v>
      </c>
      <c r="C374" s="1" t="s">
        <v>2354</v>
      </c>
      <c r="D374" s="1" t="s">
        <v>2113</v>
      </c>
      <c r="E374" s="1" t="s">
        <v>1835</v>
      </c>
      <c r="F374" s="1">
        <v>73</v>
      </c>
      <c r="H374" s="1" t="s">
        <v>2369</v>
      </c>
      <c r="K374" s="1" t="s">
        <v>1763</v>
      </c>
      <c r="L374" s="1" t="s">
        <v>1750</v>
      </c>
      <c r="M374" s="1" t="s">
        <v>362</v>
      </c>
      <c r="N374" s="6">
        <v>9.15</v>
      </c>
      <c r="O374" s="1" t="s">
        <v>4</v>
      </c>
      <c r="P374" s="1">
        <v>3</v>
      </c>
      <c r="Q374" s="1">
        <v>10</v>
      </c>
      <c r="R374" s="1">
        <v>10</v>
      </c>
      <c r="S374" s="1">
        <v>23</v>
      </c>
      <c r="T374" s="1">
        <v>35</v>
      </c>
      <c r="U374" s="253">
        <v>4</v>
      </c>
      <c r="V374" s="1">
        <v>80</v>
      </c>
      <c r="W374" s="44">
        <v>120</v>
      </c>
      <c r="X374" s="40">
        <f>_xlfn.XLOOKUP("Ripening", CropPhenology_Tomato[Main_Stage], CropPhenology_Tomato[Start_GDD], "Not Found")</f>
        <v>1226</v>
      </c>
      <c r="Y374" s="4" cm="1">
        <f t="array" ref="Y374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4" s="3">
        <f t="shared" si="217"/>
        <v>14.333333333333332</v>
      </c>
      <c r="AA374" s="41">
        <f t="shared" si="218"/>
        <v>102.97674418604652</v>
      </c>
      <c r="AB374" s="1">
        <v>8</v>
      </c>
      <c r="AC374" s="1">
        <v>15</v>
      </c>
      <c r="AD374" s="1">
        <v>4</v>
      </c>
      <c r="AE374" s="1">
        <v>85</v>
      </c>
      <c r="AF374" s="1">
        <v>10</v>
      </c>
      <c r="AG374" s="1">
        <v>5</v>
      </c>
      <c r="AH374" s="3">
        <f t="shared" si="219"/>
        <v>2.4277326106594397</v>
      </c>
      <c r="AI374" s="1">
        <v>5</v>
      </c>
      <c r="AJ374" s="1">
        <v>7</v>
      </c>
      <c r="AK374" s="159">
        <v>2.5</v>
      </c>
      <c r="AL374" s="150">
        <v>9.9000000000000005E-2</v>
      </c>
      <c r="AM374" s="1">
        <v>400</v>
      </c>
      <c r="AN374" s="1">
        <v>600</v>
      </c>
      <c r="AO374" s="48">
        <v>2</v>
      </c>
      <c r="AP374" s="44">
        <v>150</v>
      </c>
      <c r="AQ374" s="42">
        <v>0.85</v>
      </c>
      <c r="AR374" s="1">
        <v>50</v>
      </c>
      <c r="AS374" s="1">
        <v>30</v>
      </c>
      <c r="AT374" s="1">
        <v>1</v>
      </c>
      <c r="AU374" s="4">
        <f t="shared" si="220"/>
        <v>6.666666666666667</v>
      </c>
      <c r="AV374" s="3">
        <f t="shared" si="221"/>
        <v>0.2</v>
      </c>
      <c r="AW374" s="1">
        <v>85</v>
      </c>
      <c r="AX374" s="3">
        <f t="shared" si="222"/>
        <v>5.6666666666666679</v>
      </c>
      <c r="AY374" s="1">
        <v>1</v>
      </c>
      <c r="AZ374" s="4">
        <f t="shared" si="223"/>
        <v>5.6666666666666679</v>
      </c>
      <c r="BA374" s="49">
        <v>0.83</v>
      </c>
      <c r="BB374" s="4">
        <f t="shared" si="224"/>
        <v>4.703333333333334</v>
      </c>
      <c r="BC374" s="50">
        <v>0.95775104427735991</v>
      </c>
      <c r="BD374" s="69">
        <f>IFERROR(
  MAX(0.05, MIN(0.5, CropNorms_Tomato[[#This Row],[Leaf_Area_Per_Shoot_m2]] * CropNorms_Tomato[[#This Row],[Shoot_Bearing_m2]] )),
  0.2
)</f>
        <v>0.5</v>
      </c>
      <c r="BE374" s="4">
        <f>_xlfn.XLOOKUP(CropNorms_Tomato[[#This Row],[LAI_Start_BBCH]], CropPhenology_Tomato[Sub_Stage], CropPhenology_Tomato[Start_GDD], "Not Found")</f>
        <v>118</v>
      </c>
      <c r="BF374" s="3">
        <f>ROUND(CropNorms_Tomato[[#This Row],[Shoot_Bearing_m2]]*CropNorms_Tomato[[#This Row],[Leaf_Area_Per_Shoot_m2]],2)</f>
        <v>4.5</v>
      </c>
      <c r="BG374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4" s="3">
        <f>IF(CropNorms_Tomato[[#This Row],[Max_LAI]]&gt;=1.2, 0.85*CropNorms_Tomato[[#This Row],[Max_LAI]], 1)</f>
        <v>3.8249999999999997</v>
      </c>
      <c r="BI374" s="41">
        <f>_xlfn.XLOOKUP(CropNorms_Tomato[[#This Row],[LAI_End_BBCH]], CropPhenology_Tomato[Sub_Stage], CropPhenology_Tomato[End_GDD], "Not Found")</f>
        <v>1225</v>
      </c>
      <c r="BJ374" s="3" cm="1">
        <f t="array" ref="BJ374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4" s="3" cm="1">
        <f t="array" ref="BK37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4" s="3" cm="1">
        <f t="array" ref="BL374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4" s="3" cm="1">
        <f t="array" ref="BM37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4" s="42">
        <v>0.55000000000000004</v>
      </c>
      <c r="BO374" s="43">
        <v>0.85</v>
      </c>
      <c r="BP374" s="42">
        <v>13.19</v>
      </c>
      <c r="BQ374" s="43" t="s">
        <v>1741</v>
      </c>
      <c r="BR374" s="3" t="str" cm="1">
        <f t="array" ref="BR37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4" s="3" t="str" cm="1">
        <f t="array" ref="BS37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4" s="3" t="str" cm="1">
        <f t="array" ref="BT374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4" s="3" t="str" cm="1">
        <f t="array" ref="BU374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4" s="48">
        <v>150</v>
      </c>
      <c r="BW374" s="1">
        <v>110</v>
      </c>
      <c r="BX374" s="44">
        <v>160</v>
      </c>
      <c r="BY374" s="51">
        <v>44941</v>
      </c>
      <c r="BZ374" s="5">
        <v>45000</v>
      </c>
      <c r="CA374" s="85">
        <v>0</v>
      </c>
      <c r="CB374" s="2">
        <v>0</v>
      </c>
      <c r="CC374" s="2">
        <v>1</v>
      </c>
      <c r="CD374" s="2">
        <v>1</v>
      </c>
      <c r="CE374" s="2">
        <v>1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P374" s="9"/>
      <c r="CQ374" s="10"/>
    </row>
    <row r="375" spans="2:95" x14ac:dyDescent="0.15">
      <c r="B375" s="27" t="s">
        <v>309</v>
      </c>
      <c r="C375" s="1" t="s">
        <v>2355</v>
      </c>
      <c r="D375" s="1" t="s">
        <v>1870</v>
      </c>
      <c r="E375" s="1" t="s">
        <v>2076</v>
      </c>
      <c r="F375" s="1">
        <v>270</v>
      </c>
      <c r="K375" s="1" t="s">
        <v>1763</v>
      </c>
      <c r="L375" s="1" t="s">
        <v>1750</v>
      </c>
      <c r="M375" s="1" t="s">
        <v>362</v>
      </c>
      <c r="N375" s="6">
        <v>9.15</v>
      </c>
      <c r="O375" s="1" t="s">
        <v>4</v>
      </c>
      <c r="P375" s="1">
        <v>3</v>
      </c>
      <c r="Q375" s="1">
        <v>10</v>
      </c>
      <c r="R375" s="1">
        <v>10</v>
      </c>
      <c r="S375" s="1">
        <v>23</v>
      </c>
      <c r="T375" s="1">
        <v>35</v>
      </c>
      <c r="U375" s="253">
        <v>4</v>
      </c>
      <c r="V375" s="1">
        <v>80</v>
      </c>
      <c r="W375" s="44">
        <v>120</v>
      </c>
      <c r="X375" s="40">
        <f>_xlfn.XLOOKUP("Ripening", CropPhenology_Tomato[Main_Stage], CropPhenology_Tomato[Start_GDD], "Not Found")</f>
        <v>1226</v>
      </c>
      <c r="Y375" s="4" cm="1">
        <f t="array" ref="Y375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5" s="3">
        <f t="shared" ref="Z375:Z379" si="225">MIN(Y375/V375,MAX(X375/W375,R375,(X375/W375+Y375/V375)/2))</f>
        <v>14.333333333333332</v>
      </c>
      <c r="AA375" s="41">
        <f t="shared" ref="AA375:AA379" si="226">Y375/Z375</f>
        <v>102.97674418604652</v>
      </c>
      <c r="AB375" s="1">
        <v>8</v>
      </c>
      <c r="AC375" s="1">
        <v>15</v>
      </c>
      <c r="AD375" s="1">
        <v>4</v>
      </c>
      <c r="AE375" s="1">
        <v>85</v>
      </c>
      <c r="AF375" s="1">
        <v>10</v>
      </c>
      <c r="AG375" s="1">
        <v>5</v>
      </c>
      <c r="AH375" s="3">
        <f t="shared" ref="AH375:AH379" si="227">IFERROR((Y375-X375)/AA375,0)</f>
        <v>2.4277326106594397</v>
      </c>
      <c r="AI375" s="1">
        <v>5</v>
      </c>
      <c r="AJ375" s="1">
        <v>7</v>
      </c>
      <c r="AK375" s="159">
        <v>2.5</v>
      </c>
      <c r="AL375" s="150">
        <v>9.9000000000000005E-2</v>
      </c>
      <c r="AM375" s="1">
        <v>400</v>
      </c>
      <c r="AN375" s="1">
        <v>600</v>
      </c>
      <c r="AO375" s="48">
        <v>2</v>
      </c>
      <c r="AP375" s="44">
        <v>150</v>
      </c>
      <c r="AQ375" s="42">
        <v>0.85</v>
      </c>
      <c r="AR375" s="1">
        <v>50</v>
      </c>
      <c r="AS375" s="1">
        <v>30</v>
      </c>
      <c r="AT375" s="1">
        <v>1</v>
      </c>
      <c r="AU375" s="4">
        <f t="shared" ref="AU375:AU379" si="228">IFERROR(10000/(AS375*AR375),0)*AT375</f>
        <v>6.666666666666667</v>
      </c>
      <c r="AV375" s="3">
        <f t="shared" ref="AV375:AV379" si="229">ROUND((P375/1000000)*AU375*10000,2)</f>
        <v>0.2</v>
      </c>
      <c r="AW375" s="1">
        <v>85</v>
      </c>
      <c r="AX375" s="3">
        <f t="shared" ref="AX375:AX379" si="230">IFERROR((AU375*AW375/100),0)</f>
        <v>5.6666666666666679</v>
      </c>
      <c r="AY375" s="1">
        <v>1</v>
      </c>
      <c r="AZ375" s="4">
        <f t="shared" ref="AZ375:AZ379" si="231">IFERROR(AX375*AY375,0)</f>
        <v>5.6666666666666679</v>
      </c>
      <c r="BA375" s="49">
        <v>0.83</v>
      </c>
      <c r="BB375" s="4">
        <f t="shared" ref="BB375:BB379" si="232">IFERROR(AZ375*BA375,0)</f>
        <v>4.703333333333334</v>
      </c>
      <c r="BC375" s="50">
        <v>0.95775104427735991</v>
      </c>
      <c r="BD375" s="69">
        <f>IFERROR(
  MAX(0.05, MIN(0.5, CropNorms_Tomato[[#This Row],[Leaf_Area_Per_Shoot_m2]] * CropNorms_Tomato[[#This Row],[Shoot_Bearing_m2]] )),
  0.2
)</f>
        <v>0.5</v>
      </c>
      <c r="BE375" s="4">
        <f>_xlfn.XLOOKUP(CropNorms_Tomato[[#This Row],[LAI_Start_BBCH]], CropPhenology_Tomato[Sub_Stage], CropPhenology_Tomato[Start_GDD], "Not Found")</f>
        <v>118</v>
      </c>
      <c r="BF375" s="3">
        <f>ROUND(CropNorms_Tomato[[#This Row],[Shoot_Bearing_m2]]*CropNorms_Tomato[[#This Row],[Leaf_Area_Per_Shoot_m2]],2)</f>
        <v>4.5</v>
      </c>
      <c r="BG375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5" s="3">
        <f>IF(CropNorms_Tomato[[#This Row],[Max_LAI]]&gt;=1.2, 0.85*CropNorms_Tomato[[#This Row],[Max_LAI]], 1)</f>
        <v>3.8249999999999997</v>
      </c>
      <c r="BI375" s="41">
        <f>_xlfn.XLOOKUP(CropNorms_Tomato[[#This Row],[LAI_End_BBCH]], CropPhenology_Tomato[Sub_Stage], CropPhenology_Tomato[End_GDD], "Not Found")</f>
        <v>1225</v>
      </c>
      <c r="BJ375" s="3" cm="1">
        <f t="array" ref="BJ375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5" s="3" cm="1">
        <f t="array" ref="BK37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5" s="3" cm="1">
        <f t="array" ref="BL375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5" s="3" cm="1">
        <f t="array" ref="BM37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5" s="42">
        <v>0.55000000000000004</v>
      </c>
      <c r="BO375" s="43">
        <v>0.85</v>
      </c>
      <c r="BP375" s="42">
        <v>13.19</v>
      </c>
      <c r="BQ375" s="43" t="s">
        <v>1741</v>
      </c>
      <c r="BR375" s="3" t="str" cm="1">
        <f t="array" ref="BR37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5" s="3" t="str" cm="1">
        <f t="array" ref="BS37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5" s="3" t="str" cm="1">
        <f t="array" ref="BT375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5" s="3" t="str" cm="1">
        <f t="array" ref="BU375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5" s="48">
        <v>150</v>
      </c>
      <c r="BW375" s="1">
        <v>110</v>
      </c>
      <c r="BX375" s="44">
        <v>160</v>
      </c>
      <c r="BY375" s="51">
        <v>44941</v>
      </c>
      <c r="BZ375" s="5">
        <v>45000</v>
      </c>
      <c r="CA375" s="85">
        <v>0</v>
      </c>
      <c r="CB375" s="2">
        <v>0</v>
      </c>
      <c r="CC375" s="2">
        <v>1</v>
      </c>
      <c r="CD375" s="2">
        <v>1</v>
      </c>
      <c r="CE375" s="2">
        <v>1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P375" s="9"/>
      <c r="CQ375" s="10"/>
    </row>
    <row r="376" spans="2:95" x14ac:dyDescent="0.15">
      <c r="B376" s="27" t="s">
        <v>309</v>
      </c>
      <c r="C376" s="1" t="s">
        <v>2356</v>
      </c>
      <c r="D376" s="1" t="s">
        <v>2357</v>
      </c>
      <c r="E376" s="1" t="s">
        <v>1835</v>
      </c>
      <c r="F376" s="1">
        <v>75</v>
      </c>
      <c r="K376" s="1" t="s">
        <v>1763</v>
      </c>
      <c r="L376" s="1" t="s">
        <v>1750</v>
      </c>
      <c r="M376" s="1" t="s">
        <v>362</v>
      </c>
      <c r="N376" s="6">
        <v>9.15</v>
      </c>
      <c r="O376" s="1" t="s">
        <v>4</v>
      </c>
      <c r="P376" s="1">
        <v>3</v>
      </c>
      <c r="Q376" s="1">
        <v>10</v>
      </c>
      <c r="R376" s="1">
        <v>10</v>
      </c>
      <c r="S376" s="1">
        <v>23</v>
      </c>
      <c r="T376" s="1">
        <v>35</v>
      </c>
      <c r="U376" s="253">
        <v>4</v>
      </c>
      <c r="V376" s="1">
        <v>80</v>
      </c>
      <c r="W376" s="44">
        <v>120</v>
      </c>
      <c r="X376" s="40">
        <f>_xlfn.XLOOKUP("Ripening", CropPhenology_Tomato[Main_Stage], CropPhenology_Tomato[Start_GDD], "Not Found")</f>
        <v>1226</v>
      </c>
      <c r="Y376" s="4" cm="1">
        <f t="array" ref="Y376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6" s="3">
        <f t="shared" si="225"/>
        <v>14.333333333333332</v>
      </c>
      <c r="AA376" s="41">
        <f t="shared" si="226"/>
        <v>102.97674418604652</v>
      </c>
      <c r="AB376" s="1">
        <v>8</v>
      </c>
      <c r="AC376" s="1">
        <v>15</v>
      </c>
      <c r="AD376" s="1">
        <v>4</v>
      </c>
      <c r="AE376" s="1">
        <v>85</v>
      </c>
      <c r="AF376" s="1">
        <v>10</v>
      </c>
      <c r="AG376" s="1">
        <v>5</v>
      </c>
      <c r="AH376" s="3">
        <f t="shared" si="227"/>
        <v>2.4277326106594397</v>
      </c>
      <c r="AI376" s="1">
        <v>5</v>
      </c>
      <c r="AJ376" s="1">
        <v>7</v>
      </c>
      <c r="AK376" s="159">
        <v>2.5</v>
      </c>
      <c r="AL376" s="150">
        <v>9.9000000000000005E-2</v>
      </c>
      <c r="AM376" s="1">
        <v>400</v>
      </c>
      <c r="AN376" s="1">
        <v>600</v>
      </c>
      <c r="AO376" s="48">
        <v>2</v>
      </c>
      <c r="AP376" s="44">
        <v>150</v>
      </c>
      <c r="AQ376" s="42">
        <v>0.85</v>
      </c>
      <c r="AR376" s="1">
        <v>50</v>
      </c>
      <c r="AS376" s="1">
        <v>30</v>
      </c>
      <c r="AT376" s="1">
        <v>1</v>
      </c>
      <c r="AU376" s="4">
        <f t="shared" si="228"/>
        <v>6.666666666666667</v>
      </c>
      <c r="AV376" s="3">
        <f t="shared" si="229"/>
        <v>0.2</v>
      </c>
      <c r="AW376" s="1">
        <v>85</v>
      </c>
      <c r="AX376" s="3">
        <f t="shared" si="230"/>
        <v>5.6666666666666679</v>
      </c>
      <c r="AY376" s="1">
        <v>1</v>
      </c>
      <c r="AZ376" s="4">
        <f t="shared" si="231"/>
        <v>5.6666666666666679</v>
      </c>
      <c r="BA376" s="49">
        <v>0.83</v>
      </c>
      <c r="BB376" s="4">
        <f t="shared" si="232"/>
        <v>4.703333333333334</v>
      </c>
      <c r="BC376" s="50">
        <v>0.95775104427735991</v>
      </c>
      <c r="BD376" s="69">
        <f>IFERROR(
  MAX(0.05, MIN(0.5, CropNorms_Tomato[[#This Row],[Leaf_Area_Per_Shoot_m2]] * CropNorms_Tomato[[#This Row],[Shoot_Bearing_m2]] )),
  0.2
)</f>
        <v>0.5</v>
      </c>
      <c r="BE376" s="4">
        <f>_xlfn.XLOOKUP(CropNorms_Tomato[[#This Row],[LAI_Start_BBCH]], CropPhenology_Tomato[Sub_Stage], CropPhenology_Tomato[Start_GDD], "Not Found")</f>
        <v>118</v>
      </c>
      <c r="BF376" s="3">
        <f>ROUND(CropNorms_Tomato[[#This Row],[Shoot_Bearing_m2]]*CropNorms_Tomato[[#This Row],[Leaf_Area_Per_Shoot_m2]],2)</f>
        <v>4.5</v>
      </c>
      <c r="BG376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6" s="3">
        <f>IF(CropNorms_Tomato[[#This Row],[Max_LAI]]&gt;=1.2, 0.85*CropNorms_Tomato[[#This Row],[Max_LAI]], 1)</f>
        <v>3.8249999999999997</v>
      </c>
      <c r="BI376" s="41">
        <f>_xlfn.XLOOKUP(CropNorms_Tomato[[#This Row],[LAI_End_BBCH]], CropPhenology_Tomato[Sub_Stage], CropPhenology_Tomato[End_GDD], "Not Found")</f>
        <v>1225</v>
      </c>
      <c r="BJ376" s="3" cm="1">
        <f t="array" ref="BJ376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6" s="3" cm="1">
        <f t="array" ref="BK376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6" s="3" cm="1">
        <f t="array" ref="BL376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6" s="3" cm="1">
        <f t="array" ref="BM376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6" s="42">
        <v>0.55000000000000004</v>
      </c>
      <c r="BO376" s="43">
        <v>0.85</v>
      </c>
      <c r="BP376" s="42">
        <v>13.19</v>
      </c>
      <c r="BQ376" s="43" t="s">
        <v>1741</v>
      </c>
      <c r="BR376" s="3" t="str" cm="1">
        <f t="array" ref="BR376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6" s="3" t="str" cm="1">
        <f t="array" ref="BS376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6" s="3" t="str" cm="1">
        <f t="array" ref="BT376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6" s="3" t="str" cm="1">
        <f t="array" ref="BU376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6" s="48">
        <v>150</v>
      </c>
      <c r="BW376" s="1">
        <v>110</v>
      </c>
      <c r="BX376" s="44">
        <v>160</v>
      </c>
      <c r="BY376" s="51">
        <v>44941</v>
      </c>
      <c r="BZ376" s="5">
        <v>45000</v>
      </c>
      <c r="CA376" s="85">
        <v>0</v>
      </c>
      <c r="CB376" s="2">
        <v>0</v>
      </c>
      <c r="CC376" s="2">
        <v>1</v>
      </c>
      <c r="CD376" s="2">
        <v>1</v>
      </c>
      <c r="CE376" s="2">
        <v>1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P376" s="9"/>
      <c r="CQ376" s="10"/>
    </row>
    <row r="377" spans="2:95" x14ac:dyDescent="0.15">
      <c r="B377" s="27" t="s">
        <v>309</v>
      </c>
      <c r="C377" s="1" t="s">
        <v>2358</v>
      </c>
      <c r="D377" s="1" t="s">
        <v>2113</v>
      </c>
      <c r="E377" s="1" t="s">
        <v>1835</v>
      </c>
      <c r="F377" s="1">
        <v>95</v>
      </c>
      <c r="H377" s="1" t="s">
        <v>2370</v>
      </c>
      <c r="K377" s="1" t="s">
        <v>1763</v>
      </c>
      <c r="L377" s="1" t="s">
        <v>1750</v>
      </c>
      <c r="M377" s="1" t="s">
        <v>362</v>
      </c>
      <c r="N377" s="6">
        <v>9.15</v>
      </c>
      <c r="O377" s="1" t="s">
        <v>4</v>
      </c>
      <c r="P377" s="1">
        <v>3</v>
      </c>
      <c r="Q377" s="1">
        <v>10</v>
      </c>
      <c r="R377" s="1">
        <v>10</v>
      </c>
      <c r="S377" s="1">
        <v>23</v>
      </c>
      <c r="T377" s="1">
        <v>35</v>
      </c>
      <c r="U377" s="253">
        <v>4</v>
      </c>
      <c r="V377" s="1">
        <v>80</v>
      </c>
      <c r="W377" s="44">
        <v>120</v>
      </c>
      <c r="X377" s="40">
        <f>_xlfn.XLOOKUP("Ripening", CropPhenology_Tomato[Main_Stage], CropPhenology_Tomato[Start_GDD], "Not Found")</f>
        <v>1226</v>
      </c>
      <c r="Y377" s="4" cm="1">
        <f t="array" ref="Y377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7" s="3">
        <f t="shared" si="225"/>
        <v>14.333333333333332</v>
      </c>
      <c r="AA377" s="41">
        <f t="shared" si="226"/>
        <v>102.97674418604652</v>
      </c>
      <c r="AB377" s="1">
        <v>8</v>
      </c>
      <c r="AC377" s="1">
        <v>15</v>
      </c>
      <c r="AD377" s="1">
        <v>4</v>
      </c>
      <c r="AE377" s="1">
        <v>85</v>
      </c>
      <c r="AF377" s="1">
        <v>10</v>
      </c>
      <c r="AG377" s="1">
        <v>5</v>
      </c>
      <c r="AH377" s="3">
        <f t="shared" si="227"/>
        <v>2.4277326106594397</v>
      </c>
      <c r="AI377" s="1">
        <v>5</v>
      </c>
      <c r="AJ377" s="1">
        <v>7</v>
      </c>
      <c r="AK377" s="159">
        <v>2.5</v>
      </c>
      <c r="AL377" s="150">
        <v>9.9000000000000005E-2</v>
      </c>
      <c r="AM377" s="1">
        <v>400</v>
      </c>
      <c r="AN377" s="1">
        <v>600</v>
      </c>
      <c r="AO377" s="48">
        <v>2</v>
      </c>
      <c r="AP377" s="44">
        <v>150</v>
      </c>
      <c r="AQ377" s="42">
        <v>0.85</v>
      </c>
      <c r="AR377" s="1">
        <v>50</v>
      </c>
      <c r="AS377" s="1">
        <v>30</v>
      </c>
      <c r="AT377" s="1">
        <v>1</v>
      </c>
      <c r="AU377" s="4">
        <f t="shared" si="228"/>
        <v>6.666666666666667</v>
      </c>
      <c r="AV377" s="3">
        <f t="shared" si="229"/>
        <v>0.2</v>
      </c>
      <c r="AW377" s="1">
        <v>85</v>
      </c>
      <c r="AX377" s="3">
        <f t="shared" si="230"/>
        <v>5.6666666666666679</v>
      </c>
      <c r="AY377" s="1">
        <v>1</v>
      </c>
      <c r="AZ377" s="4">
        <f t="shared" si="231"/>
        <v>5.6666666666666679</v>
      </c>
      <c r="BA377" s="49">
        <v>0.83</v>
      </c>
      <c r="BB377" s="4">
        <f t="shared" si="232"/>
        <v>4.703333333333334</v>
      </c>
      <c r="BC377" s="50">
        <v>0.95775104427735991</v>
      </c>
      <c r="BD377" s="69">
        <f>IFERROR(
  MAX(0.05, MIN(0.5, CropNorms_Tomato[[#This Row],[Leaf_Area_Per_Shoot_m2]] * CropNorms_Tomato[[#This Row],[Shoot_Bearing_m2]] )),
  0.2
)</f>
        <v>0.5</v>
      </c>
      <c r="BE377" s="4">
        <f>_xlfn.XLOOKUP(CropNorms_Tomato[[#This Row],[LAI_Start_BBCH]], CropPhenology_Tomato[Sub_Stage], CropPhenology_Tomato[Start_GDD], "Not Found")</f>
        <v>118</v>
      </c>
      <c r="BF377" s="3">
        <f>ROUND(CropNorms_Tomato[[#This Row],[Shoot_Bearing_m2]]*CropNorms_Tomato[[#This Row],[Leaf_Area_Per_Shoot_m2]],2)</f>
        <v>4.5</v>
      </c>
      <c r="BG377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7" s="3">
        <f>IF(CropNorms_Tomato[[#This Row],[Max_LAI]]&gt;=1.2, 0.85*CropNorms_Tomato[[#This Row],[Max_LAI]], 1)</f>
        <v>3.8249999999999997</v>
      </c>
      <c r="BI377" s="41">
        <f>_xlfn.XLOOKUP(CropNorms_Tomato[[#This Row],[LAI_End_BBCH]], CropPhenology_Tomato[Sub_Stage], CropPhenology_Tomato[End_GDD], "Not Found")</f>
        <v>1225</v>
      </c>
      <c r="BJ377" s="3" cm="1">
        <f t="array" ref="BJ377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7" s="3" cm="1">
        <f t="array" ref="BK377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7" s="3" cm="1">
        <f t="array" ref="BL377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7" s="3" cm="1">
        <f t="array" ref="BM377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7" s="42">
        <v>0.55000000000000004</v>
      </c>
      <c r="BO377" s="43">
        <v>0.85</v>
      </c>
      <c r="BP377" s="42">
        <v>25.57</v>
      </c>
      <c r="BQ377" s="43" t="s">
        <v>1741</v>
      </c>
      <c r="BR377" s="3" t="str" cm="1">
        <f t="array" ref="BR377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7" s="3" t="str" cm="1">
        <f t="array" ref="BS377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7" s="3" t="str" cm="1">
        <f t="array" ref="BT377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7" s="3" t="str" cm="1">
        <f t="array" ref="BU377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7" s="48">
        <v>150</v>
      </c>
      <c r="BW377" s="1">
        <v>110</v>
      </c>
      <c r="BX377" s="44">
        <v>160</v>
      </c>
      <c r="BY377" s="51">
        <v>44941</v>
      </c>
      <c r="BZ377" s="5">
        <v>45000</v>
      </c>
      <c r="CA377" s="85">
        <v>0</v>
      </c>
      <c r="CB377" s="2">
        <v>0</v>
      </c>
      <c r="CC377" s="2">
        <v>1</v>
      </c>
      <c r="CD377" s="2">
        <v>1</v>
      </c>
      <c r="CE377" s="2">
        <v>1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P377" s="9"/>
      <c r="CQ377" s="10"/>
    </row>
    <row r="378" spans="2:95" x14ac:dyDescent="0.15">
      <c r="B378" s="27" t="s">
        <v>309</v>
      </c>
      <c r="C378" s="1" t="s">
        <v>2359</v>
      </c>
      <c r="D378" s="1" t="s">
        <v>2113</v>
      </c>
      <c r="E378" s="1" t="s">
        <v>2076</v>
      </c>
      <c r="F378" s="1">
        <v>280</v>
      </c>
      <c r="K378" s="1" t="s">
        <v>1763</v>
      </c>
      <c r="L378" s="1" t="s">
        <v>1750</v>
      </c>
      <c r="M378" s="1" t="s">
        <v>362</v>
      </c>
      <c r="N378" s="6">
        <v>9.15</v>
      </c>
      <c r="O378" s="1" t="s">
        <v>4</v>
      </c>
      <c r="P378" s="1">
        <v>3</v>
      </c>
      <c r="Q378" s="1">
        <v>10</v>
      </c>
      <c r="R378" s="1">
        <v>10</v>
      </c>
      <c r="S378" s="1">
        <v>23</v>
      </c>
      <c r="T378" s="1">
        <v>35</v>
      </c>
      <c r="U378" s="253">
        <v>4</v>
      </c>
      <c r="V378" s="1">
        <v>80</v>
      </c>
      <c r="W378" s="44">
        <v>120</v>
      </c>
      <c r="X378" s="40">
        <f>_xlfn.XLOOKUP("Ripening", CropPhenology_Tomato[Main_Stage], CropPhenology_Tomato[Start_GDD], "Not Found")</f>
        <v>1226</v>
      </c>
      <c r="Y378" s="4" cm="1">
        <f t="array" ref="Y378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8" s="3">
        <f t="shared" si="225"/>
        <v>14.333333333333332</v>
      </c>
      <c r="AA378" s="41">
        <f t="shared" si="226"/>
        <v>102.97674418604652</v>
      </c>
      <c r="AB378" s="1">
        <v>8</v>
      </c>
      <c r="AC378" s="1">
        <v>15</v>
      </c>
      <c r="AD378" s="1">
        <v>4</v>
      </c>
      <c r="AE378" s="1">
        <v>85</v>
      </c>
      <c r="AF378" s="1">
        <v>10</v>
      </c>
      <c r="AG378" s="1">
        <v>5</v>
      </c>
      <c r="AH378" s="3">
        <f t="shared" si="227"/>
        <v>2.4277326106594397</v>
      </c>
      <c r="AI378" s="1">
        <v>5</v>
      </c>
      <c r="AJ378" s="1">
        <v>7</v>
      </c>
      <c r="AK378" s="159">
        <v>2.5</v>
      </c>
      <c r="AL378" s="150">
        <v>9.9000000000000005E-2</v>
      </c>
      <c r="AM378" s="1">
        <v>400</v>
      </c>
      <c r="AN378" s="1">
        <v>600</v>
      </c>
      <c r="AO378" s="48">
        <v>2</v>
      </c>
      <c r="AP378" s="44">
        <v>150</v>
      </c>
      <c r="AQ378" s="42">
        <v>0.85</v>
      </c>
      <c r="AR378" s="1">
        <v>50</v>
      </c>
      <c r="AS378" s="1">
        <v>30</v>
      </c>
      <c r="AT378" s="1">
        <v>1</v>
      </c>
      <c r="AU378" s="4">
        <f t="shared" si="228"/>
        <v>6.666666666666667</v>
      </c>
      <c r="AV378" s="3">
        <f t="shared" si="229"/>
        <v>0.2</v>
      </c>
      <c r="AW378" s="1">
        <v>85</v>
      </c>
      <c r="AX378" s="3">
        <f t="shared" si="230"/>
        <v>5.6666666666666679</v>
      </c>
      <c r="AY378" s="1">
        <v>1</v>
      </c>
      <c r="AZ378" s="4">
        <f t="shared" si="231"/>
        <v>5.6666666666666679</v>
      </c>
      <c r="BA378" s="49">
        <v>0.83</v>
      </c>
      <c r="BB378" s="4">
        <f t="shared" si="232"/>
        <v>4.703333333333334</v>
      </c>
      <c r="BC378" s="50">
        <v>0.95775104427735991</v>
      </c>
      <c r="BD378" s="69">
        <f>IFERROR(
  MAX(0.05, MIN(0.5, CropNorms_Tomato[[#This Row],[Leaf_Area_Per_Shoot_m2]] * CropNorms_Tomato[[#This Row],[Shoot_Bearing_m2]] )),
  0.2
)</f>
        <v>0.5</v>
      </c>
      <c r="BE378" s="4">
        <f>_xlfn.XLOOKUP(CropNorms_Tomato[[#This Row],[LAI_Start_BBCH]], CropPhenology_Tomato[Sub_Stage], CropPhenology_Tomato[Start_GDD], "Not Found")</f>
        <v>118</v>
      </c>
      <c r="BF378" s="3">
        <f>ROUND(CropNorms_Tomato[[#This Row],[Shoot_Bearing_m2]]*CropNorms_Tomato[[#This Row],[Leaf_Area_Per_Shoot_m2]],2)</f>
        <v>4.5</v>
      </c>
      <c r="BG378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8" s="3">
        <f>IF(CropNorms_Tomato[[#This Row],[Max_LAI]]&gt;=1.2, 0.85*CropNorms_Tomato[[#This Row],[Max_LAI]], 1)</f>
        <v>3.8249999999999997</v>
      </c>
      <c r="BI378" s="41">
        <f>_xlfn.XLOOKUP(CropNorms_Tomato[[#This Row],[LAI_End_BBCH]], CropPhenology_Tomato[Sub_Stage], CropPhenology_Tomato[End_GDD], "Not Found")</f>
        <v>1225</v>
      </c>
      <c r="BJ378" s="3" cm="1">
        <f t="array" ref="BJ378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8" s="3" cm="1">
        <f t="array" ref="BK378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8" s="3" cm="1">
        <f t="array" ref="BL378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8" s="3" cm="1">
        <f t="array" ref="BM378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8" s="42">
        <v>0.55000000000000004</v>
      </c>
      <c r="BO378" s="43">
        <v>0.85</v>
      </c>
      <c r="BP378" s="42">
        <v>13.19</v>
      </c>
      <c r="BQ378" s="43" t="s">
        <v>1741</v>
      </c>
      <c r="BR378" s="3" t="str" cm="1">
        <f t="array" ref="BR378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8" s="3" t="str" cm="1">
        <f t="array" ref="BS378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8" s="3" t="str" cm="1">
        <f t="array" ref="BT378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8" s="3" t="str" cm="1">
        <f t="array" ref="BU378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8" s="48">
        <v>150</v>
      </c>
      <c r="BW378" s="1">
        <v>110</v>
      </c>
      <c r="BX378" s="44">
        <v>160</v>
      </c>
      <c r="BY378" s="51">
        <v>44941</v>
      </c>
      <c r="BZ378" s="5">
        <v>45000</v>
      </c>
      <c r="CA378" s="85">
        <v>0</v>
      </c>
      <c r="CB378" s="2">
        <v>0</v>
      </c>
      <c r="CC378" s="2">
        <v>1</v>
      </c>
      <c r="CD378" s="2">
        <v>1</v>
      </c>
      <c r="CE378" s="2">
        <v>1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P378" s="9"/>
      <c r="CQ378" s="10"/>
    </row>
    <row r="379" spans="2:95" x14ac:dyDescent="0.15">
      <c r="B379" s="27" t="s">
        <v>309</v>
      </c>
      <c r="C379" s="1" t="s">
        <v>2360</v>
      </c>
      <c r="D379" s="1" t="s">
        <v>2113</v>
      </c>
      <c r="E379" s="1" t="s">
        <v>2076</v>
      </c>
      <c r="F379" s="1">
        <v>300</v>
      </c>
      <c r="H379" s="1" t="s">
        <v>2374</v>
      </c>
      <c r="K379" s="1" t="s">
        <v>1763</v>
      </c>
      <c r="L379" s="1" t="s">
        <v>1750</v>
      </c>
      <c r="M379" s="1" t="s">
        <v>362</v>
      </c>
      <c r="N379" s="6">
        <v>9.15</v>
      </c>
      <c r="O379" s="1" t="s">
        <v>4</v>
      </c>
      <c r="P379" s="1">
        <v>3</v>
      </c>
      <c r="Q379" s="1">
        <v>10</v>
      </c>
      <c r="R379" s="1">
        <v>10</v>
      </c>
      <c r="S379" s="1">
        <v>23</v>
      </c>
      <c r="T379" s="1">
        <v>35</v>
      </c>
      <c r="U379" s="253">
        <v>4</v>
      </c>
      <c r="V379" s="1">
        <v>90</v>
      </c>
      <c r="W379" s="44">
        <v>110</v>
      </c>
      <c r="X379" s="40">
        <f>_xlfn.XLOOKUP("Ripening", CropPhenology_Tomato[Main_Stage], CropPhenology_Tomato[Start_GDD], "Not Found")</f>
        <v>1226</v>
      </c>
      <c r="Y379" s="4" cm="1">
        <f t="array" ref="Y379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79" s="3">
        <f t="shared" si="225"/>
        <v>13.772727272727272</v>
      </c>
      <c r="AA379" s="41">
        <f t="shared" si="226"/>
        <v>107.16831683168317</v>
      </c>
      <c r="AB379" s="1">
        <v>8</v>
      </c>
      <c r="AC379" s="1">
        <v>15</v>
      </c>
      <c r="AD379" s="1">
        <v>4</v>
      </c>
      <c r="AE379" s="1">
        <v>85</v>
      </c>
      <c r="AF379" s="1">
        <v>10</v>
      </c>
      <c r="AG379" s="1">
        <v>5</v>
      </c>
      <c r="AH379" s="3">
        <f t="shared" si="227"/>
        <v>2.3327790096082777</v>
      </c>
      <c r="AI379" s="1">
        <v>5</v>
      </c>
      <c r="AJ379" s="1">
        <v>7</v>
      </c>
      <c r="AK379" s="159">
        <v>2.5</v>
      </c>
      <c r="AL379" s="150">
        <v>9.9000000000000005E-2</v>
      </c>
      <c r="AM379" s="1">
        <v>400</v>
      </c>
      <c r="AN379" s="1">
        <v>600</v>
      </c>
      <c r="AO379" s="48">
        <v>2</v>
      </c>
      <c r="AP379" s="44">
        <v>150</v>
      </c>
      <c r="AQ379" s="42">
        <v>0.85</v>
      </c>
      <c r="AR379" s="1">
        <v>50</v>
      </c>
      <c r="AS379" s="1">
        <v>30</v>
      </c>
      <c r="AT379" s="1">
        <v>1</v>
      </c>
      <c r="AU379" s="4">
        <f t="shared" si="228"/>
        <v>6.666666666666667</v>
      </c>
      <c r="AV379" s="3">
        <f t="shared" si="229"/>
        <v>0.2</v>
      </c>
      <c r="AW379" s="1">
        <v>85</v>
      </c>
      <c r="AX379" s="3">
        <f t="shared" si="230"/>
        <v>5.6666666666666679</v>
      </c>
      <c r="AY379" s="1">
        <v>1</v>
      </c>
      <c r="AZ379" s="4">
        <f t="shared" si="231"/>
        <v>5.6666666666666679</v>
      </c>
      <c r="BA379" s="49">
        <v>0.83</v>
      </c>
      <c r="BB379" s="4">
        <f t="shared" si="232"/>
        <v>4.703333333333334</v>
      </c>
      <c r="BC379" s="50">
        <v>0.95775104427735991</v>
      </c>
      <c r="BD379" s="69">
        <f>IFERROR(
  MAX(0.05, MIN(0.5, CropNorms_Tomato[[#This Row],[Leaf_Area_Per_Shoot_m2]] * CropNorms_Tomato[[#This Row],[Shoot_Bearing_m2]] )),
  0.2
)</f>
        <v>0.5</v>
      </c>
      <c r="BE379" s="4">
        <f>_xlfn.XLOOKUP(CropNorms_Tomato[[#This Row],[LAI_Start_BBCH]], CropPhenology_Tomato[Sub_Stage], CropPhenology_Tomato[Start_GDD], "Not Found")</f>
        <v>118</v>
      </c>
      <c r="BF379" s="3">
        <f>ROUND(CropNorms_Tomato[[#This Row],[Shoot_Bearing_m2]]*CropNorms_Tomato[[#This Row],[Leaf_Area_Per_Shoot_m2]],2)</f>
        <v>4.5</v>
      </c>
      <c r="BG379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79" s="3">
        <f>IF(CropNorms_Tomato[[#This Row],[Max_LAI]]&gt;=1.2, 0.85*CropNorms_Tomato[[#This Row],[Max_LAI]], 1)</f>
        <v>3.8249999999999997</v>
      </c>
      <c r="BI379" s="41">
        <f>_xlfn.XLOOKUP(CropNorms_Tomato[[#This Row],[LAI_End_BBCH]], CropPhenology_Tomato[Sub_Stage], CropPhenology_Tomato[End_GDD], "Not Found")</f>
        <v>1225</v>
      </c>
      <c r="BJ379" s="3" cm="1">
        <f t="array" ref="BJ379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79" s="3" cm="1">
        <f t="array" ref="BK379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79" s="3" cm="1">
        <f t="array" ref="BL379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79" s="3" cm="1">
        <f t="array" ref="BM379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79" s="42">
        <v>0.55000000000000004</v>
      </c>
      <c r="BO379" s="43">
        <v>0.85</v>
      </c>
      <c r="BP379" s="42">
        <v>13.19</v>
      </c>
      <c r="BQ379" s="43" t="s">
        <v>1741</v>
      </c>
      <c r="BR379" s="3" t="str" cm="1">
        <f t="array" ref="BR379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79" s="3" t="str" cm="1">
        <f t="array" ref="BS379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79" s="3" t="str" cm="1">
        <f t="array" ref="BT379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79" s="3" t="str" cm="1">
        <f t="array" ref="BU379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79" s="48">
        <v>150</v>
      </c>
      <c r="BW379" s="1">
        <v>110</v>
      </c>
      <c r="BX379" s="44">
        <v>160</v>
      </c>
      <c r="BY379" s="51">
        <v>44941</v>
      </c>
      <c r="BZ379" s="5">
        <v>45000</v>
      </c>
      <c r="CA379" s="85">
        <v>0</v>
      </c>
      <c r="CB379" s="2">
        <v>0</v>
      </c>
      <c r="CC379" s="2">
        <v>1</v>
      </c>
      <c r="CD379" s="2">
        <v>1</v>
      </c>
      <c r="CE379" s="2">
        <v>1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P379" s="9"/>
      <c r="CQ379" s="10"/>
    </row>
    <row r="380" spans="2:95" x14ac:dyDescent="0.15">
      <c r="B380" s="27" t="s">
        <v>309</v>
      </c>
      <c r="C380" s="1" t="s">
        <v>2361</v>
      </c>
      <c r="D380" s="1" t="s">
        <v>2353</v>
      </c>
      <c r="E380" s="1" t="s">
        <v>2076</v>
      </c>
      <c r="F380" s="1">
        <v>200</v>
      </c>
      <c r="H380" s="1" t="s">
        <v>2371</v>
      </c>
      <c r="J380" s="1" t="s">
        <v>2382</v>
      </c>
      <c r="K380" s="1" t="s">
        <v>1763</v>
      </c>
      <c r="L380" s="1" t="s">
        <v>1750</v>
      </c>
      <c r="M380" s="1" t="s">
        <v>362</v>
      </c>
      <c r="N380" s="6">
        <v>9.15</v>
      </c>
      <c r="O380" s="1" t="s">
        <v>4</v>
      </c>
      <c r="P380" s="1">
        <v>3</v>
      </c>
      <c r="Q380" s="1">
        <v>10</v>
      </c>
      <c r="R380" s="1">
        <v>10</v>
      </c>
      <c r="S380" s="1">
        <v>23</v>
      </c>
      <c r="T380" s="1">
        <v>35</v>
      </c>
      <c r="U380" s="253">
        <v>4</v>
      </c>
      <c r="V380" s="1">
        <v>80</v>
      </c>
      <c r="W380" s="44">
        <v>110</v>
      </c>
      <c r="X380" s="40">
        <f>_xlfn.XLOOKUP("Ripening", CropPhenology_Tomato[Main_Stage], CropPhenology_Tomato[Start_GDD], "Not Found")</f>
        <v>1226</v>
      </c>
      <c r="Y380" s="4" cm="1">
        <f t="array" ref="Y380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0" s="3">
        <f t="shared" ref="Z380:Z387" si="233">MIN(Y380/V380,MAX(X380/W380,R380,(X380/W380+Y380/V380)/2))</f>
        <v>14.797727272727272</v>
      </c>
      <c r="AA380" s="41">
        <f>Y380/Z380</f>
        <v>99.745046843802797</v>
      </c>
      <c r="AB380" s="1">
        <v>8</v>
      </c>
      <c r="AC380" s="1">
        <v>15</v>
      </c>
      <c r="AD380" s="1">
        <v>4</v>
      </c>
      <c r="AE380" s="1">
        <v>85</v>
      </c>
      <c r="AF380" s="1">
        <v>10</v>
      </c>
      <c r="AG380" s="1">
        <v>5</v>
      </c>
      <c r="AH380" s="3">
        <f>IFERROR((Y380-X380)/AA380,0)</f>
        <v>2.5063901207193888</v>
      </c>
      <c r="AI380" s="1">
        <v>5.5</v>
      </c>
      <c r="AJ380" s="1">
        <v>7</v>
      </c>
      <c r="AK380" s="159">
        <v>2.5</v>
      </c>
      <c r="AL380" s="150">
        <v>9.9000000000000005E-2</v>
      </c>
      <c r="AM380" s="1">
        <v>400</v>
      </c>
      <c r="AN380" s="1">
        <v>600</v>
      </c>
      <c r="AO380" s="48">
        <v>2</v>
      </c>
      <c r="AP380" s="44">
        <v>150</v>
      </c>
      <c r="AQ380" s="42">
        <v>0.85</v>
      </c>
      <c r="AR380" s="1">
        <v>50</v>
      </c>
      <c r="AS380" s="1">
        <v>30</v>
      </c>
      <c r="AT380" s="1">
        <v>1</v>
      </c>
      <c r="AU380" s="4">
        <f>IFERROR(10000/(AS380*AR380),0)*AT380</f>
        <v>6.666666666666667</v>
      </c>
      <c r="AV380" s="3">
        <f t="shared" ref="AV380:AV387" si="234">ROUND((P380/1000000)*AU380*10000,2)</f>
        <v>0.2</v>
      </c>
      <c r="AW380" s="1">
        <v>85</v>
      </c>
      <c r="AX380" s="3">
        <f>IFERROR((AU380*AW380/100),0)</f>
        <v>5.6666666666666679</v>
      </c>
      <c r="AY380" s="1">
        <v>1</v>
      </c>
      <c r="AZ380" s="4">
        <f>IFERROR(AX380*AY380,0)</f>
        <v>5.6666666666666679</v>
      </c>
      <c r="BA380" s="49">
        <v>0.83</v>
      </c>
      <c r="BB380" s="4">
        <f>IFERROR(AZ380*BA380,0)</f>
        <v>4.703333333333334</v>
      </c>
      <c r="BC380" s="50">
        <v>0.95775104427735991</v>
      </c>
      <c r="BD380" s="69">
        <f>IFERROR(
  MAX(0.05, MIN(0.5, CropNorms_Tomato[[#This Row],[Leaf_Area_Per_Shoot_m2]] * CropNorms_Tomato[[#This Row],[Shoot_Bearing_m2]] )),
  0.2
)</f>
        <v>0.5</v>
      </c>
      <c r="BE380" s="4">
        <f>_xlfn.XLOOKUP(CropNorms_Tomato[[#This Row],[LAI_Start_BBCH]], CropPhenology_Tomato[Sub_Stage], CropPhenology_Tomato[Start_GDD], "Not Found")</f>
        <v>118</v>
      </c>
      <c r="BF380" s="3">
        <f>ROUND(CropNorms_Tomato[[#This Row],[Shoot_Bearing_m2]]*CropNorms_Tomato[[#This Row],[Leaf_Area_Per_Shoot_m2]],2)</f>
        <v>4.5</v>
      </c>
      <c r="BG380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0" s="3">
        <f>IF(CropNorms_Tomato[[#This Row],[Max_LAI]]&gt;=1.2, 0.85*CropNorms_Tomato[[#This Row],[Max_LAI]], 1)</f>
        <v>3.8249999999999997</v>
      </c>
      <c r="BI380" s="41">
        <f>_xlfn.XLOOKUP(CropNorms_Tomato[[#This Row],[LAI_End_BBCH]], CropPhenology_Tomato[Sub_Stage], CropPhenology_Tomato[End_GDD], "Not Found")</f>
        <v>1225</v>
      </c>
      <c r="BJ380" s="3" cm="1">
        <f t="array" ref="BJ380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80" s="3" cm="1">
        <f t="array" ref="BK380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80" s="3" cm="1">
        <f t="array" ref="BL380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80" s="3" cm="1">
        <f t="array" ref="BM380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0" s="42">
        <v>0.55000000000000004</v>
      </c>
      <c r="BO380" s="43">
        <v>0.85</v>
      </c>
      <c r="BP380" s="42">
        <v>17.98</v>
      </c>
      <c r="BQ380" s="43" t="s">
        <v>1741</v>
      </c>
      <c r="BR380" s="3" t="str" cm="1">
        <f t="array" ref="BR380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0" s="3" t="str" cm="1">
        <f t="array" ref="BS380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0" s="3" t="str" cm="1">
        <f t="array" ref="BT380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0" s="3" t="str" cm="1">
        <f t="array" ref="BU380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0" s="48">
        <v>150</v>
      </c>
      <c r="BW380" s="1">
        <v>110</v>
      </c>
      <c r="BX380" s="44">
        <v>160</v>
      </c>
      <c r="BY380" s="51">
        <v>44941</v>
      </c>
      <c r="BZ380" s="5">
        <v>45000</v>
      </c>
      <c r="CA380" s="85">
        <v>0</v>
      </c>
      <c r="CB380" s="2">
        <v>0</v>
      </c>
      <c r="CC380" s="2">
        <v>1</v>
      </c>
      <c r="CD380" s="2">
        <v>1</v>
      </c>
      <c r="CE380" s="2">
        <v>1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P380" s="9"/>
      <c r="CQ380" s="10"/>
    </row>
    <row r="381" spans="2:95" x14ac:dyDescent="0.15">
      <c r="B381" s="27" t="s">
        <v>309</v>
      </c>
      <c r="C381" s="1" t="s">
        <v>2362</v>
      </c>
      <c r="D381" s="1" t="s">
        <v>2353</v>
      </c>
      <c r="E381" s="1" t="s">
        <v>2076</v>
      </c>
      <c r="F381" s="1">
        <v>182</v>
      </c>
      <c r="H381" s="1" t="s">
        <v>2375</v>
      </c>
      <c r="J381" s="1" t="s">
        <v>2381</v>
      </c>
      <c r="K381" s="1" t="s">
        <v>1763</v>
      </c>
      <c r="L381" s="1" t="s">
        <v>1750</v>
      </c>
      <c r="M381" s="1" t="s">
        <v>362</v>
      </c>
      <c r="N381" s="6">
        <v>9.15</v>
      </c>
      <c r="O381" s="1" t="s">
        <v>4</v>
      </c>
      <c r="P381" s="1">
        <v>3</v>
      </c>
      <c r="Q381" s="1">
        <v>10</v>
      </c>
      <c r="R381" s="1">
        <v>10</v>
      </c>
      <c r="S381" s="1">
        <v>23</v>
      </c>
      <c r="T381" s="1">
        <v>35</v>
      </c>
      <c r="U381" s="253">
        <v>4</v>
      </c>
      <c r="V381" s="1">
        <v>80</v>
      </c>
      <c r="W381" s="44">
        <v>110</v>
      </c>
      <c r="X381" s="40">
        <f>_xlfn.XLOOKUP("Ripening", CropPhenology_Tomato[Main_Stage], CropPhenology_Tomato[Start_GDD], "Not Found")</f>
        <v>1226</v>
      </c>
      <c r="Y381" s="4" cm="1">
        <f t="array" ref="Y381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1" s="3">
        <f t="shared" si="233"/>
        <v>14.797727272727272</v>
      </c>
      <c r="AA381" s="41">
        <f>Y381/Z381</f>
        <v>99.745046843802797</v>
      </c>
      <c r="AB381" s="1">
        <v>8</v>
      </c>
      <c r="AC381" s="1">
        <v>15</v>
      </c>
      <c r="AD381" s="1">
        <v>4</v>
      </c>
      <c r="AE381" s="1">
        <v>85</v>
      </c>
      <c r="AF381" s="1">
        <v>10</v>
      </c>
      <c r="AG381" s="1">
        <v>5</v>
      </c>
      <c r="AH381" s="3">
        <f>IFERROR((Y381-X381)/AA381,0)</f>
        <v>2.5063901207193888</v>
      </c>
      <c r="AI381" s="1">
        <v>5</v>
      </c>
      <c r="AJ381" s="1">
        <v>7</v>
      </c>
      <c r="AK381" s="159">
        <v>2.5</v>
      </c>
      <c r="AL381" s="150">
        <v>9.9000000000000005E-2</v>
      </c>
      <c r="AM381" s="1">
        <v>400</v>
      </c>
      <c r="AN381" s="1">
        <v>600</v>
      </c>
      <c r="AO381" s="48">
        <v>2</v>
      </c>
      <c r="AP381" s="44">
        <v>150</v>
      </c>
      <c r="AQ381" s="42">
        <v>0.85</v>
      </c>
      <c r="AR381" s="1">
        <v>60</v>
      </c>
      <c r="AS381" s="1">
        <v>45</v>
      </c>
      <c r="AT381" s="1">
        <v>1</v>
      </c>
      <c r="AU381" s="4">
        <f>IFERROR(10000/(AS381*AR381),0)*AT381</f>
        <v>3.7037037037037037</v>
      </c>
      <c r="AV381" s="3">
        <f t="shared" si="234"/>
        <v>0.11</v>
      </c>
      <c r="AW381" s="1">
        <v>95</v>
      </c>
      <c r="AX381" s="3">
        <f>IFERROR((AU381*AW381/100),0)</f>
        <v>3.5185185185185186</v>
      </c>
      <c r="AY381" s="1">
        <v>1</v>
      </c>
      <c r="AZ381" s="4">
        <f>IFERROR(AX381*AY381,0)</f>
        <v>3.5185185185185186</v>
      </c>
      <c r="BA381" s="49">
        <v>0.83</v>
      </c>
      <c r="BB381" s="4">
        <f>IFERROR(AZ381*BA381,0)</f>
        <v>2.9203703703703705</v>
      </c>
      <c r="BC381" s="50">
        <v>0.95775104427735991</v>
      </c>
      <c r="BD381" s="69">
        <f>IFERROR(
  MAX(0.05, MIN(0.5, CropNorms_Tomato[[#This Row],[Leaf_Area_Per_Shoot_m2]] * CropNorms_Tomato[[#This Row],[Shoot_Bearing_m2]] )),
  0.2
)</f>
        <v>0.5</v>
      </c>
      <c r="BE381" s="4">
        <f>_xlfn.XLOOKUP(CropNorms_Tomato[[#This Row],[LAI_Start_BBCH]], CropPhenology_Tomato[Sub_Stage], CropPhenology_Tomato[Start_GDD], "Not Found")</f>
        <v>118</v>
      </c>
      <c r="BF381" s="3">
        <f>ROUND(CropNorms_Tomato[[#This Row],[Shoot_Bearing_m2]]*CropNorms_Tomato[[#This Row],[Leaf_Area_Per_Shoot_m2]],2)</f>
        <v>2.8</v>
      </c>
      <c r="BG381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1" s="3">
        <f>IF(CropNorms_Tomato[[#This Row],[Max_LAI]]&gt;=1.2, 0.85*CropNorms_Tomato[[#This Row],[Max_LAI]], 1)</f>
        <v>2.38</v>
      </c>
      <c r="BI381" s="41">
        <f>_xlfn.XLOOKUP(CropNorms_Tomato[[#This Row],[LAI_End_BBCH]], CropPhenology_Tomato[Sub_Stage], CropPhenology_Tomato[End_GDD], "Not Found")</f>
        <v>1225</v>
      </c>
      <c r="BJ381" s="3" cm="1">
        <f t="array" ref="BJ381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2.6327201632266624</v>
      </c>
      <c r="BK381" s="3" cm="1">
        <f t="array" ref="BK38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0.93914780780841023</v>
      </c>
      <c r="BL381" s="3" cm="1">
        <f t="array" ref="BL381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1.3462288715803838</v>
      </c>
      <c r="BM381" s="3" cm="1">
        <f t="array" ref="BM38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1" s="42">
        <v>0.55000000000000004</v>
      </c>
      <c r="BO381" s="43">
        <v>0.85</v>
      </c>
      <c r="BP381" s="42">
        <v>39.57</v>
      </c>
      <c r="BQ381" s="43" t="s">
        <v>1741</v>
      </c>
      <c r="BR381" s="3" t="str" cm="1">
        <f t="array" ref="BR38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1" s="3" t="str" cm="1">
        <f t="array" ref="BS38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1" s="3" t="str" cm="1">
        <f t="array" ref="BT381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1" s="3" t="str" cm="1">
        <f t="array" ref="BU381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1" s="48">
        <v>150</v>
      </c>
      <c r="BW381" s="1">
        <v>110</v>
      </c>
      <c r="BX381" s="44">
        <v>160</v>
      </c>
      <c r="BY381" s="51">
        <v>45672</v>
      </c>
      <c r="BZ381" s="5">
        <v>45748</v>
      </c>
      <c r="CA381" s="85">
        <v>0</v>
      </c>
      <c r="CB381" s="2">
        <v>0</v>
      </c>
      <c r="CC381" s="2">
        <v>1</v>
      </c>
      <c r="CD381" s="2">
        <v>1</v>
      </c>
      <c r="CE381" s="2">
        <v>1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P381" s="9"/>
      <c r="CQ381" s="10"/>
    </row>
    <row r="382" spans="2:95" x14ac:dyDescent="0.15">
      <c r="B382" s="27" t="s">
        <v>309</v>
      </c>
      <c r="C382" s="1" t="s">
        <v>2363</v>
      </c>
      <c r="D382" s="1" t="s">
        <v>2113</v>
      </c>
      <c r="E382" s="1" t="s">
        <v>2076</v>
      </c>
      <c r="F382" s="1">
        <v>120</v>
      </c>
      <c r="H382" s="1" t="s">
        <v>2376</v>
      </c>
      <c r="I382" s="1" t="s">
        <v>2379</v>
      </c>
      <c r="K382" s="1" t="s">
        <v>1763</v>
      </c>
      <c r="L382" s="1" t="s">
        <v>1750</v>
      </c>
      <c r="M382" s="1" t="s">
        <v>362</v>
      </c>
      <c r="N382" s="6">
        <v>9.15</v>
      </c>
      <c r="O382" s="1" t="s">
        <v>4</v>
      </c>
      <c r="P382" s="1">
        <v>3</v>
      </c>
      <c r="Q382" s="1">
        <v>10</v>
      </c>
      <c r="R382" s="1">
        <v>10</v>
      </c>
      <c r="S382" s="1">
        <v>23</v>
      </c>
      <c r="T382" s="1">
        <v>35</v>
      </c>
      <c r="U382" s="253">
        <v>4</v>
      </c>
      <c r="V382" s="1">
        <v>80</v>
      </c>
      <c r="W382" s="44">
        <v>120</v>
      </c>
      <c r="X382" s="40">
        <f>_xlfn.XLOOKUP("Ripening", CropPhenology_Tomato[Main_Stage], CropPhenology_Tomato[Start_GDD], "Not Found")</f>
        <v>1226</v>
      </c>
      <c r="Y382" s="4" cm="1">
        <f t="array" ref="Y382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2" s="3">
        <f t="shared" si="233"/>
        <v>14.333333333333332</v>
      </c>
      <c r="AA382" s="41">
        <f>Y382/Z382</f>
        <v>102.97674418604652</v>
      </c>
      <c r="AB382" s="1">
        <v>8</v>
      </c>
      <c r="AC382" s="1">
        <v>15</v>
      </c>
      <c r="AD382" s="1">
        <v>4</v>
      </c>
      <c r="AE382" s="1">
        <v>85</v>
      </c>
      <c r="AF382" s="1">
        <v>10</v>
      </c>
      <c r="AG382" s="1">
        <v>5</v>
      </c>
      <c r="AH382" s="3">
        <f>IFERROR((Y382-X382)/AA382,0)</f>
        <v>2.4277326106594397</v>
      </c>
      <c r="AI382" s="1">
        <v>5</v>
      </c>
      <c r="AJ382" s="1">
        <v>7</v>
      </c>
      <c r="AK382" s="159">
        <v>2.5</v>
      </c>
      <c r="AL382" s="150">
        <v>9.9000000000000005E-2</v>
      </c>
      <c r="AM382" s="1">
        <v>400</v>
      </c>
      <c r="AN382" s="1">
        <v>600</v>
      </c>
      <c r="AO382" s="48">
        <v>2</v>
      </c>
      <c r="AP382" s="44">
        <v>150</v>
      </c>
      <c r="AQ382" s="42">
        <v>0.85</v>
      </c>
      <c r="AR382" s="1">
        <v>50</v>
      </c>
      <c r="AS382" s="1">
        <v>30</v>
      </c>
      <c r="AT382" s="1">
        <v>1</v>
      </c>
      <c r="AU382" s="4">
        <f>IFERROR(10000/(AS382*AR382),0)*AT382</f>
        <v>6.666666666666667</v>
      </c>
      <c r="AV382" s="3">
        <f t="shared" si="234"/>
        <v>0.2</v>
      </c>
      <c r="AW382" s="1">
        <v>85</v>
      </c>
      <c r="AX382" s="3">
        <f>IFERROR((AU382*AW382/100),0)</f>
        <v>5.6666666666666679</v>
      </c>
      <c r="AY382" s="1">
        <v>1</v>
      </c>
      <c r="AZ382" s="4">
        <f>IFERROR(AX382*AY382,0)</f>
        <v>5.6666666666666679</v>
      </c>
      <c r="BA382" s="49">
        <v>0.83</v>
      </c>
      <c r="BB382" s="4">
        <f>IFERROR(AZ382*BA382,0)</f>
        <v>4.703333333333334</v>
      </c>
      <c r="BC382" s="50">
        <v>0.95775104427735991</v>
      </c>
      <c r="BD382" s="69">
        <f>IFERROR(
  MAX(0.05, MIN(0.5, CropNorms_Tomato[[#This Row],[Leaf_Area_Per_Shoot_m2]] * CropNorms_Tomato[[#This Row],[Shoot_Bearing_m2]] )),
  0.2
)</f>
        <v>0.5</v>
      </c>
      <c r="BE382" s="4">
        <f>_xlfn.XLOOKUP(CropNorms_Tomato[[#This Row],[LAI_Start_BBCH]], CropPhenology_Tomato[Sub_Stage], CropPhenology_Tomato[Start_GDD], "Not Found")</f>
        <v>118</v>
      </c>
      <c r="BF382" s="3">
        <f>ROUND(CropNorms_Tomato[[#This Row],[Shoot_Bearing_m2]]*CropNorms_Tomato[[#This Row],[Leaf_Area_Per_Shoot_m2]],2)</f>
        <v>4.5</v>
      </c>
      <c r="BG382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2" s="3">
        <f>IF(CropNorms_Tomato[[#This Row],[Max_LAI]]&gt;=1.2, 0.85*CropNorms_Tomato[[#This Row],[Max_LAI]], 1)</f>
        <v>3.8249999999999997</v>
      </c>
      <c r="BI382" s="41">
        <f>_xlfn.XLOOKUP(CropNorms_Tomato[[#This Row],[LAI_End_BBCH]], CropPhenology_Tomato[Sub_Stage], CropPhenology_Tomato[End_GDD], "Not Found")</f>
        <v>1225</v>
      </c>
      <c r="BJ382" s="3" cm="1">
        <f t="array" ref="BJ382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82" s="3" cm="1">
        <f t="array" ref="BK382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82" s="3" cm="1">
        <f t="array" ref="BL382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82" s="3" cm="1">
        <f t="array" ref="BM382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2" s="42">
        <v>0.55000000000000004</v>
      </c>
      <c r="BO382" s="43">
        <v>0.85</v>
      </c>
      <c r="BP382" s="42">
        <v>33.340000000000003</v>
      </c>
      <c r="BQ382" s="43" t="s">
        <v>1741</v>
      </c>
      <c r="BR382" s="3" t="str" cm="1">
        <f t="array" ref="BR382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2" s="3" t="str" cm="1">
        <f t="array" ref="BS382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2" s="3" t="str" cm="1">
        <f t="array" ref="BT382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2" s="3" t="str" cm="1">
        <f t="array" ref="BU382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2" s="48">
        <v>150</v>
      </c>
      <c r="BW382" s="1">
        <v>110</v>
      </c>
      <c r="BX382" s="44">
        <v>160</v>
      </c>
      <c r="BY382" s="51">
        <v>45672</v>
      </c>
      <c r="BZ382" s="5">
        <v>45748</v>
      </c>
      <c r="CA382" s="85">
        <v>0</v>
      </c>
      <c r="CB382" s="2">
        <v>0</v>
      </c>
      <c r="CC382" s="2">
        <v>1</v>
      </c>
      <c r="CD382" s="2">
        <v>1</v>
      </c>
      <c r="CE382" s="2">
        <v>1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P382" s="9"/>
      <c r="CQ382" s="10"/>
    </row>
    <row r="383" spans="2:95" x14ac:dyDescent="0.15">
      <c r="B383" s="27" t="s">
        <v>309</v>
      </c>
      <c r="C383" s="1" t="s">
        <v>2364</v>
      </c>
      <c r="D383" s="1" t="s">
        <v>2113</v>
      </c>
      <c r="E383" s="1" t="s">
        <v>2076</v>
      </c>
      <c r="F383" s="1">
        <v>172</v>
      </c>
      <c r="K383" s="1" t="s">
        <v>1763</v>
      </c>
      <c r="L383" s="1" t="s">
        <v>1750</v>
      </c>
      <c r="M383" s="1" t="s">
        <v>362</v>
      </c>
      <c r="N383" s="6">
        <v>9.15</v>
      </c>
      <c r="O383" s="1" t="s">
        <v>4</v>
      </c>
      <c r="P383" s="1">
        <v>3</v>
      </c>
      <c r="Q383" s="1">
        <v>10</v>
      </c>
      <c r="R383" s="1">
        <v>10</v>
      </c>
      <c r="S383" s="1">
        <v>23</v>
      </c>
      <c r="T383" s="1">
        <v>35</v>
      </c>
      <c r="U383" s="253">
        <v>4</v>
      </c>
      <c r="V383" s="1">
        <v>80</v>
      </c>
      <c r="W383" s="44">
        <v>100</v>
      </c>
      <c r="X383" s="40">
        <f>_xlfn.XLOOKUP("Ripening", CropPhenology_Tomato[Main_Stage], CropPhenology_Tomato[Start_GDD], "Not Found")</f>
        <v>1226</v>
      </c>
      <c r="Y383" s="4" cm="1">
        <f t="array" ref="Y383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3" s="3">
        <f t="shared" si="233"/>
        <v>15.355</v>
      </c>
      <c r="AA383" s="41">
        <f>Y383/Z383</f>
        <v>96.12504070335396</v>
      </c>
      <c r="AB383" s="1">
        <v>8</v>
      </c>
      <c r="AC383" s="1">
        <v>15</v>
      </c>
      <c r="AD383" s="1">
        <v>4</v>
      </c>
      <c r="AE383" s="1">
        <v>85</v>
      </c>
      <c r="AF383" s="1">
        <v>10</v>
      </c>
      <c r="AG383" s="1">
        <v>5</v>
      </c>
      <c r="AH383" s="3">
        <f>IFERROR((Y383-X383)/AA383,0)</f>
        <v>2.6007791327913279</v>
      </c>
      <c r="AI383" s="1">
        <v>5</v>
      </c>
      <c r="AJ383" s="1">
        <v>7</v>
      </c>
      <c r="AK383" s="159">
        <v>2.5</v>
      </c>
      <c r="AL383" s="150">
        <v>9.9000000000000005E-2</v>
      </c>
      <c r="AM383" s="1">
        <v>400</v>
      </c>
      <c r="AN383" s="1">
        <v>600</v>
      </c>
      <c r="AO383" s="48">
        <v>2</v>
      </c>
      <c r="AP383" s="44">
        <v>150</v>
      </c>
      <c r="AQ383" s="42">
        <v>0.85</v>
      </c>
      <c r="AR383" s="1">
        <v>50</v>
      </c>
      <c r="AS383" s="1">
        <v>30</v>
      </c>
      <c r="AT383" s="1">
        <v>1</v>
      </c>
      <c r="AU383" s="4">
        <f>IFERROR(10000/(AS383*AR383),0)*AT383</f>
        <v>6.666666666666667</v>
      </c>
      <c r="AV383" s="3">
        <f t="shared" si="234"/>
        <v>0.2</v>
      </c>
      <c r="AW383" s="1">
        <v>95</v>
      </c>
      <c r="AX383" s="3">
        <f>IFERROR((AU383*AW383/100),0)</f>
        <v>6.3333333333333339</v>
      </c>
      <c r="AY383" s="1">
        <v>1</v>
      </c>
      <c r="AZ383" s="4">
        <f>IFERROR(AX383*AY383,0)</f>
        <v>6.3333333333333339</v>
      </c>
      <c r="BA383" s="49">
        <v>0.83</v>
      </c>
      <c r="BB383" s="4">
        <f>IFERROR(AZ383*BA383,0)</f>
        <v>5.2566666666666668</v>
      </c>
      <c r="BC383" s="50">
        <v>0.95775104427735991</v>
      </c>
      <c r="BD383" s="69">
        <f>IFERROR(
  MAX(0.05, MIN(0.5, CropNorms_Tomato[[#This Row],[Leaf_Area_Per_Shoot_m2]] * CropNorms_Tomato[[#This Row],[Shoot_Bearing_m2]] )),
  0.2
)</f>
        <v>0.5</v>
      </c>
      <c r="BE383" s="4">
        <f>_xlfn.XLOOKUP(CropNorms_Tomato[[#This Row],[LAI_Start_BBCH]], CropPhenology_Tomato[Sub_Stage], CropPhenology_Tomato[Start_GDD], "Not Found")</f>
        <v>118</v>
      </c>
      <c r="BF383" s="3">
        <f>ROUND(CropNorms_Tomato[[#This Row],[Shoot_Bearing_m2]]*CropNorms_Tomato[[#This Row],[Leaf_Area_Per_Shoot_m2]],2)</f>
        <v>5.03</v>
      </c>
      <c r="BG383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3" s="3">
        <f>IF(CropNorms_Tomato[[#This Row],[Max_LAI]]&gt;=1.2, 0.85*CropNorms_Tomato[[#This Row],[Max_LAI]], 1)</f>
        <v>4.2755000000000001</v>
      </c>
      <c r="BI383" s="41">
        <f>_xlfn.XLOOKUP(CropNorms_Tomato[[#This Row],[LAI_End_BBCH]], CropPhenology_Tomato[Sub_Stage], CropPhenology_Tomato[End_GDD], "Not Found")</f>
        <v>1225</v>
      </c>
      <c r="BJ383" s="3" cm="1">
        <f t="array" ref="BJ383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2.8757498353328361</v>
      </c>
      <c r="BK383" s="3" cm="1">
        <f t="array" ref="BK38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0.93880815681834562</v>
      </c>
      <c r="BL383" s="3" cm="1">
        <f t="array" ref="BL383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2.4667820997658758</v>
      </c>
      <c r="BM383" s="3" cm="1">
        <f t="array" ref="BM38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3" s="42">
        <v>0.55000000000000004</v>
      </c>
      <c r="BO383" s="43">
        <v>0.85</v>
      </c>
      <c r="BP383" s="42">
        <v>13.19</v>
      </c>
      <c r="BQ383" s="43" t="s">
        <v>1741</v>
      </c>
      <c r="BR383" s="3" t="str" cm="1">
        <f t="array" ref="BR38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3" s="3" t="str" cm="1">
        <f t="array" ref="BS38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3" s="3" t="str" cm="1">
        <f t="array" ref="BT383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3" s="3" t="str" cm="1">
        <f t="array" ref="BU383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3" s="48">
        <v>150</v>
      </c>
      <c r="BW383" s="1">
        <v>110</v>
      </c>
      <c r="BX383" s="44">
        <v>160</v>
      </c>
      <c r="BY383" s="51">
        <v>45945</v>
      </c>
      <c r="BZ383" s="5">
        <v>45672</v>
      </c>
      <c r="CA383" s="85">
        <v>0</v>
      </c>
      <c r="CB383" s="2">
        <v>0</v>
      </c>
      <c r="CC383" s="2">
        <v>1</v>
      </c>
      <c r="CD383" s="2">
        <v>1</v>
      </c>
      <c r="CE383" s="2">
        <v>1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P383" s="9"/>
      <c r="CQ383" s="10"/>
    </row>
    <row r="384" spans="2:95" x14ac:dyDescent="0.15">
      <c r="B384" s="27" t="s">
        <v>309</v>
      </c>
      <c r="C384" s="1" t="s">
        <v>2365</v>
      </c>
      <c r="D384" s="1" t="s">
        <v>2113</v>
      </c>
      <c r="I384" s="1" t="s">
        <v>2380</v>
      </c>
      <c r="K384" s="1" t="s">
        <v>1763</v>
      </c>
      <c r="L384" s="1" t="s">
        <v>1750</v>
      </c>
      <c r="M384" s="1" t="s">
        <v>362</v>
      </c>
      <c r="N384" s="6">
        <v>9.15</v>
      </c>
      <c r="O384" s="1" t="s">
        <v>4</v>
      </c>
      <c r="P384" s="1">
        <v>3</v>
      </c>
      <c r="Q384" s="1">
        <v>10</v>
      </c>
      <c r="R384" s="1">
        <v>10</v>
      </c>
      <c r="S384" s="1">
        <v>23</v>
      </c>
      <c r="T384" s="1">
        <v>35</v>
      </c>
      <c r="U384" s="253">
        <v>4</v>
      </c>
      <c r="V384" s="1">
        <v>80</v>
      </c>
      <c r="W384" s="44">
        <v>100</v>
      </c>
      <c r="X384" s="40">
        <f>_xlfn.XLOOKUP("Ripening", CropPhenology_Tomato[Main_Stage], CropPhenology_Tomato[Start_GDD], "Not Found")</f>
        <v>1226</v>
      </c>
      <c r="Y384" s="4" cm="1">
        <f t="array" ref="Y384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4" s="3">
        <f t="shared" si="233"/>
        <v>15.355</v>
      </c>
      <c r="AA384" s="41">
        <f>Y384/Z384</f>
        <v>96.12504070335396</v>
      </c>
      <c r="AB384" s="1">
        <v>8</v>
      </c>
      <c r="AC384" s="1">
        <v>15</v>
      </c>
      <c r="AD384" s="1">
        <v>4</v>
      </c>
      <c r="AE384" s="1">
        <v>85</v>
      </c>
      <c r="AF384" s="1">
        <v>10</v>
      </c>
      <c r="AG384" s="1">
        <v>5</v>
      </c>
      <c r="AH384" s="3">
        <f>IFERROR((Y384-X384)/AA384,0)</f>
        <v>2.6007791327913279</v>
      </c>
      <c r="AI384" s="1">
        <v>5</v>
      </c>
      <c r="AJ384" s="1">
        <v>7</v>
      </c>
      <c r="AK384" s="159">
        <v>2.5</v>
      </c>
      <c r="AL384" s="150">
        <v>9.9000000000000005E-2</v>
      </c>
      <c r="AM384" s="1">
        <v>400</v>
      </c>
      <c r="AN384" s="1">
        <v>600</v>
      </c>
      <c r="AO384" s="48">
        <v>2</v>
      </c>
      <c r="AP384" s="44">
        <v>150</v>
      </c>
      <c r="AQ384" s="42">
        <v>0.85</v>
      </c>
      <c r="AR384" s="1">
        <v>50</v>
      </c>
      <c r="AS384" s="1">
        <v>30</v>
      </c>
      <c r="AT384" s="1">
        <v>1</v>
      </c>
      <c r="AU384" s="4">
        <f>IFERROR(10000/(AS384*AR384),0)*AT384</f>
        <v>6.666666666666667</v>
      </c>
      <c r="AV384" s="3">
        <f t="shared" si="234"/>
        <v>0.2</v>
      </c>
      <c r="AW384" s="1">
        <v>85</v>
      </c>
      <c r="AX384" s="3">
        <f>IFERROR((AU384*AW384/100),0)</f>
        <v>5.6666666666666679</v>
      </c>
      <c r="AY384" s="1">
        <v>1</v>
      </c>
      <c r="AZ384" s="4">
        <f>IFERROR(AX384*AY384,0)</f>
        <v>5.6666666666666679</v>
      </c>
      <c r="BA384" s="49">
        <v>0.83</v>
      </c>
      <c r="BB384" s="4">
        <f>IFERROR(AZ384*BA384,0)</f>
        <v>4.703333333333334</v>
      </c>
      <c r="BC384" s="50">
        <v>0.95775104427735991</v>
      </c>
      <c r="BD384" s="69">
        <f>IFERROR(
  MAX(0.05, MIN(0.5, CropNorms_Tomato[[#This Row],[Leaf_Area_Per_Shoot_m2]] * CropNorms_Tomato[[#This Row],[Shoot_Bearing_m2]] )),
  0.2
)</f>
        <v>0.5</v>
      </c>
      <c r="BE384" s="4">
        <f>_xlfn.XLOOKUP(CropNorms_Tomato[[#This Row],[LAI_Start_BBCH]], CropPhenology_Tomato[Sub_Stage], CropPhenology_Tomato[Start_GDD], "Not Found")</f>
        <v>118</v>
      </c>
      <c r="BF384" s="3">
        <f>ROUND(CropNorms_Tomato[[#This Row],[Shoot_Bearing_m2]]*CropNorms_Tomato[[#This Row],[Leaf_Area_Per_Shoot_m2]],2)</f>
        <v>4.5</v>
      </c>
      <c r="BG384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4" s="3">
        <f>IF(CropNorms_Tomato[[#This Row],[Max_LAI]]&gt;=1.2, 0.85*CropNorms_Tomato[[#This Row],[Max_LAI]], 1)</f>
        <v>3.8249999999999997</v>
      </c>
      <c r="BI384" s="41">
        <f>_xlfn.XLOOKUP(CropNorms_Tomato[[#This Row],[LAI_End_BBCH]], CropPhenology_Tomato[Sub_Stage], CropPhenology_Tomato[End_GDD], "Not Found")</f>
        <v>1225</v>
      </c>
      <c r="BJ384" s="3" cm="1">
        <f t="array" ref="BJ384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84" s="3" cm="1">
        <f t="array" ref="BK38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84" s="3" cm="1">
        <f t="array" ref="BL384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84" s="3" cm="1">
        <f t="array" ref="BM38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4" s="42">
        <v>0.55000000000000004</v>
      </c>
      <c r="BO384" s="43">
        <v>0.85</v>
      </c>
      <c r="BP384" s="42">
        <v>61</v>
      </c>
      <c r="BQ384" s="43" t="s">
        <v>1741</v>
      </c>
      <c r="BR384" s="3" t="str" cm="1">
        <f t="array" ref="BR38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4" s="3" t="str" cm="1">
        <f t="array" ref="BS38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4" s="3" t="str" cm="1">
        <f t="array" ref="BT384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4" s="3" t="str" cm="1">
        <f t="array" ref="BU384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4" s="48">
        <v>150</v>
      </c>
      <c r="BW384" s="1">
        <v>110</v>
      </c>
      <c r="BX384" s="44">
        <v>160</v>
      </c>
      <c r="BY384" s="51">
        <v>45945</v>
      </c>
      <c r="BZ384" s="5">
        <v>45672</v>
      </c>
      <c r="CA384" s="85">
        <v>0</v>
      </c>
      <c r="CB384" s="2">
        <v>0</v>
      </c>
      <c r="CC384" s="2">
        <v>1</v>
      </c>
      <c r="CD384" s="2">
        <v>1</v>
      </c>
      <c r="CE384" s="2">
        <v>1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P384" s="9"/>
      <c r="CQ384" s="10"/>
    </row>
    <row r="385" spans="2:95" x14ac:dyDescent="0.15">
      <c r="B385" s="27" t="s">
        <v>309</v>
      </c>
      <c r="C385" s="1" t="s">
        <v>2366</v>
      </c>
      <c r="D385" s="1" t="s">
        <v>2353</v>
      </c>
      <c r="E385" s="1" t="s">
        <v>1835</v>
      </c>
      <c r="F385" s="1">
        <v>94</v>
      </c>
      <c r="H385" s="1" t="s">
        <v>2377</v>
      </c>
      <c r="I385" s="1" t="s">
        <v>2380</v>
      </c>
      <c r="K385" s="1" t="s">
        <v>1763</v>
      </c>
      <c r="L385" s="1" t="s">
        <v>1750</v>
      </c>
      <c r="M385" s="1" t="s">
        <v>362</v>
      </c>
      <c r="N385" s="6">
        <v>9.15</v>
      </c>
      <c r="O385" s="1" t="s">
        <v>4</v>
      </c>
      <c r="P385" s="1">
        <v>3</v>
      </c>
      <c r="Q385" s="1">
        <v>10</v>
      </c>
      <c r="R385" s="1">
        <v>10</v>
      </c>
      <c r="S385" s="1">
        <v>23</v>
      </c>
      <c r="T385" s="1">
        <v>35</v>
      </c>
      <c r="U385" s="253">
        <v>4</v>
      </c>
      <c r="V385" s="1">
        <v>80</v>
      </c>
      <c r="W385" s="44">
        <v>150</v>
      </c>
      <c r="X385" s="40">
        <f>_xlfn.XLOOKUP("Ripening", CropPhenology_Tomato[Main_Stage], CropPhenology_Tomato[Start_GDD], "Not Found")</f>
        <v>1226</v>
      </c>
      <c r="Y385" s="4" cm="1">
        <f t="array" ref="Y385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5" s="3">
        <f t="shared" si="233"/>
        <v>13.311666666666667</v>
      </c>
      <c r="AA385" s="41">
        <f t="shared" si="212"/>
        <v>110.88018029297608</v>
      </c>
      <c r="AB385" s="1">
        <v>8</v>
      </c>
      <c r="AC385" s="1">
        <v>15</v>
      </c>
      <c r="AD385" s="1">
        <v>4</v>
      </c>
      <c r="AE385" s="1">
        <v>85</v>
      </c>
      <c r="AF385" s="1">
        <v>10</v>
      </c>
      <c r="AG385" s="1">
        <v>5</v>
      </c>
      <c r="AH385" s="3">
        <f t="shared" si="174"/>
        <v>2.2546860885275519</v>
      </c>
      <c r="AI385" s="1">
        <v>5</v>
      </c>
      <c r="AJ385" s="1">
        <v>7</v>
      </c>
      <c r="AK385" s="159">
        <v>2.5</v>
      </c>
      <c r="AL385" s="150">
        <v>9.9000000000000005E-2</v>
      </c>
      <c r="AM385" s="1">
        <v>400</v>
      </c>
      <c r="AN385" s="1">
        <v>600</v>
      </c>
      <c r="AO385" s="48">
        <v>2</v>
      </c>
      <c r="AP385" s="44">
        <v>150</v>
      </c>
      <c r="AQ385" s="42">
        <v>0.85</v>
      </c>
      <c r="AR385" s="1">
        <v>50</v>
      </c>
      <c r="AS385" s="1">
        <v>30</v>
      </c>
      <c r="AT385" s="1">
        <v>1</v>
      </c>
      <c r="AU385" s="4">
        <f t="shared" si="213"/>
        <v>6.666666666666667</v>
      </c>
      <c r="AV385" s="3">
        <f t="shared" si="234"/>
        <v>0.2</v>
      </c>
      <c r="AW385" s="1">
        <v>85</v>
      </c>
      <c r="AX385" s="3">
        <f t="shared" si="215"/>
        <v>5.6666666666666679</v>
      </c>
      <c r="AY385" s="1">
        <v>1</v>
      </c>
      <c r="AZ385" s="4">
        <f t="shared" si="216"/>
        <v>5.6666666666666679</v>
      </c>
      <c r="BA385" s="49">
        <v>0.83</v>
      </c>
      <c r="BB385" s="4">
        <f t="shared" si="167"/>
        <v>4.703333333333334</v>
      </c>
      <c r="BC385" s="50">
        <v>0.95775104427735991</v>
      </c>
      <c r="BD385" s="69">
        <f>IFERROR(
  MAX(0.05, MIN(0.5, CropNorms_Tomato[[#This Row],[Leaf_Area_Per_Shoot_m2]] * CropNorms_Tomato[[#This Row],[Shoot_Bearing_m2]] )),
  0.2
)</f>
        <v>0.5</v>
      </c>
      <c r="BE385" s="4">
        <f>_xlfn.XLOOKUP(CropNorms_Tomato[[#This Row],[LAI_Start_BBCH]], CropPhenology_Tomato[Sub_Stage], CropPhenology_Tomato[Start_GDD], "Not Found")</f>
        <v>118</v>
      </c>
      <c r="BF385" s="3">
        <f>ROUND(CropNorms_Tomato[[#This Row],[Shoot_Bearing_m2]]*CropNorms_Tomato[[#This Row],[Leaf_Area_Per_Shoot_m2]],2)</f>
        <v>4.5</v>
      </c>
      <c r="BG385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5" s="3">
        <f>IF(CropNorms_Tomato[[#This Row],[Max_LAI]]&gt;=1.2, 0.85*CropNorms_Tomato[[#This Row],[Max_LAI]], 1)</f>
        <v>3.8249999999999997</v>
      </c>
      <c r="BI385" s="41">
        <f>_xlfn.XLOOKUP(CropNorms_Tomato[[#This Row],[LAI_End_BBCH]], CropPhenology_Tomato[Sub_Stage], CropPhenology_Tomato[End_GDD], "Not Found")</f>
        <v>1225</v>
      </c>
      <c r="BJ385" s="3" cm="1">
        <f t="array" ref="BJ385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85" s="3" cm="1">
        <f t="array" ref="BK38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85" s="3" cm="1">
        <f t="array" ref="BL385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85" s="3" cm="1">
        <f t="array" ref="BM38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5" s="42">
        <v>0.55000000000000004</v>
      </c>
      <c r="BO385" s="43">
        <v>0.85</v>
      </c>
      <c r="BP385" s="42">
        <v>38.659999999999997</v>
      </c>
      <c r="BQ385" s="43" t="s">
        <v>1741</v>
      </c>
      <c r="BR385" s="3" t="str" cm="1">
        <f t="array" ref="BR38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5" s="3" t="str" cm="1">
        <f t="array" ref="BS38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5" s="3" t="str" cm="1">
        <f t="array" ref="BT385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5" s="3" t="str" cm="1">
        <f t="array" ref="BU385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5" s="48">
        <v>150</v>
      </c>
      <c r="BW385" s="1">
        <v>110</v>
      </c>
      <c r="BX385" s="44">
        <v>160</v>
      </c>
      <c r="BY385" s="51">
        <v>45962</v>
      </c>
      <c r="BZ385" s="5">
        <v>45703</v>
      </c>
      <c r="CA385" s="85">
        <v>0</v>
      </c>
      <c r="CB385" s="2">
        <v>0</v>
      </c>
      <c r="CC385" s="2">
        <v>1</v>
      </c>
      <c r="CD385" s="2">
        <v>1</v>
      </c>
      <c r="CE385" s="2">
        <v>1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P385" s="9"/>
      <c r="CQ385" s="10"/>
    </row>
    <row r="386" spans="2:95" x14ac:dyDescent="0.15">
      <c r="B386" s="27" t="s">
        <v>309</v>
      </c>
      <c r="C386" s="1" t="s">
        <v>2367</v>
      </c>
      <c r="D386" s="1" t="s">
        <v>2113</v>
      </c>
      <c r="E386" s="1" t="s">
        <v>2076</v>
      </c>
      <c r="F386" s="1">
        <v>223</v>
      </c>
      <c r="K386" s="1" t="s">
        <v>1763</v>
      </c>
      <c r="L386" s="1" t="s">
        <v>1750</v>
      </c>
      <c r="M386" s="1" t="s">
        <v>362</v>
      </c>
      <c r="N386" s="6">
        <v>9.15</v>
      </c>
      <c r="O386" s="1" t="s">
        <v>4</v>
      </c>
      <c r="P386" s="1">
        <v>3</v>
      </c>
      <c r="Q386" s="1">
        <v>10</v>
      </c>
      <c r="R386" s="1">
        <v>10</v>
      </c>
      <c r="S386" s="1">
        <v>23</v>
      </c>
      <c r="T386" s="1">
        <v>35</v>
      </c>
      <c r="U386" s="253">
        <v>4</v>
      </c>
      <c r="V386" s="1">
        <v>80</v>
      </c>
      <c r="W386" s="44">
        <v>120</v>
      </c>
      <c r="X386" s="40">
        <f>_xlfn.XLOOKUP("Ripening", CropPhenology_Tomato[Main_Stage], CropPhenology_Tomato[Start_GDD], "Not Found")</f>
        <v>1226</v>
      </c>
      <c r="Y386" s="4" cm="1">
        <f t="array" ref="Y386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6" s="3">
        <f t="shared" si="233"/>
        <v>14.333333333333332</v>
      </c>
      <c r="AA386" s="41">
        <f t="shared" si="212"/>
        <v>102.97674418604652</v>
      </c>
      <c r="AB386" s="1">
        <v>8</v>
      </c>
      <c r="AC386" s="1">
        <v>15</v>
      </c>
      <c r="AD386" s="1">
        <v>4</v>
      </c>
      <c r="AE386" s="1">
        <v>85</v>
      </c>
      <c r="AF386" s="1">
        <v>10</v>
      </c>
      <c r="AG386" s="1">
        <v>5</v>
      </c>
      <c r="AH386" s="3">
        <f t="shared" si="174"/>
        <v>2.4277326106594397</v>
      </c>
      <c r="AI386" s="1">
        <v>5</v>
      </c>
      <c r="AJ386" s="1">
        <v>7</v>
      </c>
      <c r="AK386" s="159">
        <v>2.5</v>
      </c>
      <c r="AL386" s="150">
        <v>9.9000000000000005E-2</v>
      </c>
      <c r="AM386" s="1">
        <v>400</v>
      </c>
      <c r="AN386" s="1">
        <v>600</v>
      </c>
      <c r="AO386" s="48">
        <v>2</v>
      </c>
      <c r="AP386" s="44">
        <v>150</v>
      </c>
      <c r="AQ386" s="42">
        <v>0.85</v>
      </c>
      <c r="AR386" s="1">
        <v>50</v>
      </c>
      <c r="AS386" s="1">
        <v>30</v>
      </c>
      <c r="AT386" s="1">
        <v>1</v>
      </c>
      <c r="AU386" s="4">
        <f t="shared" si="213"/>
        <v>6.666666666666667</v>
      </c>
      <c r="AV386" s="3">
        <f t="shared" si="234"/>
        <v>0.2</v>
      </c>
      <c r="AW386" s="1">
        <v>85</v>
      </c>
      <c r="AX386" s="3">
        <f t="shared" si="215"/>
        <v>5.6666666666666679</v>
      </c>
      <c r="AY386" s="1">
        <v>1</v>
      </c>
      <c r="AZ386" s="4">
        <f t="shared" si="216"/>
        <v>5.6666666666666679</v>
      </c>
      <c r="BA386" s="49">
        <v>0.83</v>
      </c>
      <c r="BB386" s="4">
        <f t="shared" si="167"/>
        <v>4.703333333333334</v>
      </c>
      <c r="BC386" s="50">
        <v>0.95775104427735991</v>
      </c>
      <c r="BD386" s="69">
        <f>IFERROR(
  MAX(0.05, MIN(0.5, CropNorms_Tomato[[#This Row],[Leaf_Area_Per_Shoot_m2]] * CropNorms_Tomato[[#This Row],[Shoot_Bearing_m2]] )),
  0.2
)</f>
        <v>0.5</v>
      </c>
      <c r="BE386" s="4">
        <f>_xlfn.XLOOKUP(CropNorms_Tomato[[#This Row],[LAI_Start_BBCH]], CropPhenology_Tomato[Sub_Stage], CropPhenology_Tomato[Start_GDD], "Not Found")</f>
        <v>118</v>
      </c>
      <c r="BF386" s="3">
        <f>ROUND(CropNorms_Tomato[[#This Row],[Shoot_Bearing_m2]]*CropNorms_Tomato[[#This Row],[Leaf_Area_Per_Shoot_m2]],2)</f>
        <v>4.5</v>
      </c>
      <c r="BG386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6" s="3">
        <f>IF(CropNorms_Tomato[[#This Row],[Max_LAI]]&gt;=1.2, 0.85*CropNorms_Tomato[[#This Row],[Max_LAI]], 1)</f>
        <v>3.8249999999999997</v>
      </c>
      <c r="BI386" s="41">
        <f>_xlfn.XLOOKUP(CropNorms_Tomato[[#This Row],[LAI_End_BBCH]], CropPhenology_Tomato[Sub_Stage], CropPhenology_Tomato[End_GDD], "Not Found")</f>
        <v>1225</v>
      </c>
      <c r="BJ386" s="3" cm="1">
        <f t="array" ref="BJ386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86" s="3" cm="1">
        <f t="array" ref="BK386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86" s="3" cm="1">
        <f t="array" ref="BL386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86" s="3" cm="1">
        <f t="array" ref="BM386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6" s="42">
        <v>0.55000000000000004</v>
      </c>
      <c r="BO386" s="43">
        <v>0.85</v>
      </c>
      <c r="BP386" s="42">
        <v>13.19</v>
      </c>
      <c r="BQ386" s="43" t="s">
        <v>1741</v>
      </c>
      <c r="BR386" s="3" t="str" cm="1">
        <f t="array" ref="BR386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6" s="3" t="str" cm="1">
        <f t="array" ref="BS386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6" s="3" t="str" cm="1">
        <f t="array" ref="BT386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6" s="3" t="str" cm="1">
        <f t="array" ref="BU386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6" s="48">
        <v>150</v>
      </c>
      <c r="BW386" s="1">
        <v>110</v>
      </c>
      <c r="BX386" s="44">
        <v>160</v>
      </c>
      <c r="BY386" s="51">
        <v>44941</v>
      </c>
      <c r="BZ386" s="5">
        <v>45767</v>
      </c>
      <c r="CA386" s="85">
        <v>0</v>
      </c>
      <c r="CB386" s="2">
        <v>0</v>
      </c>
      <c r="CC386" s="2">
        <v>1</v>
      </c>
      <c r="CD386" s="2">
        <v>1</v>
      </c>
      <c r="CE386" s="2">
        <v>1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P386" s="9"/>
      <c r="CQ386" s="10"/>
    </row>
    <row r="387" spans="2:95" ht="11.25" thickBot="1" x14ac:dyDescent="0.2">
      <c r="B387" s="27" t="s">
        <v>309</v>
      </c>
      <c r="C387" s="1" t="s">
        <v>2368</v>
      </c>
      <c r="D387" s="1" t="s">
        <v>2113</v>
      </c>
      <c r="E387" s="1" t="s">
        <v>1835</v>
      </c>
      <c r="F387" s="1">
        <v>90</v>
      </c>
      <c r="K387" s="1" t="s">
        <v>1763</v>
      </c>
      <c r="L387" s="1" t="s">
        <v>1750</v>
      </c>
      <c r="M387" s="1" t="s">
        <v>362</v>
      </c>
      <c r="N387" s="6">
        <v>9.15</v>
      </c>
      <c r="O387" s="1" t="s">
        <v>4</v>
      </c>
      <c r="P387" s="1">
        <v>3</v>
      </c>
      <c r="Q387" s="1">
        <v>10</v>
      </c>
      <c r="R387" s="1">
        <v>10</v>
      </c>
      <c r="S387" s="1">
        <v>23</v>
      </c>
      <c r="T387" s="1">
        <v>35</v>
      </c>
      <c r="U387" s="254">
        <v>4</v>
      </c>
      <c r="V387" s="1">
        <v>80</v>
      </c>
      <c r="W387" s="44">
        <v>100</v>
      </c>
      <c r="X387" s="40">
        <f>_xlfn.XLOOKUP("Ripening", CropPhenology_Tomato[Main_Stage], CropPhenology_Tomato[Start_GDD], "Not Found")</f>
        <v>1226</v>
      </c>
      <c r="Y387" s="4" cm="1">
        <f t="array" ref="Y387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Z387" s="3">
        <f t="shared" si="233"/>
        <v>15.355</v>
      </c>
      <c r="AA387" s="41">
        <f t="shared" si="212"/>
        <v>96.12504070335396</v>
      </c>
      <c r="AB387" s="1">
        <v>8</v>
      </c>
      <c r="AC387" s="1">
        <v>15</v>
      </c>
      <c r="AD387" s="1">
        <v>4</v>
      </c>
      <c r="AE387" s="1">
        <v>85</v>
      </c>
      <c r="AF387" s="1">
        <v>10</v>
      </c>
      <c r="AG387" s="1">
        <v>5</v>
      </c>
      <c r="AH387" s="3">
        <f t="shared" si="174"/>
        <v>2.6007791327913279</v>
      </c>
      <c r="AI387" s="1">
        <v>5</v>
      </c>
      <c r="AJ387" s="1">
        <v>7</v>
      </c>
      <c r="AK387" s="160">
        <v>2.5</v>
      </c>
      <c r="AL387" s="161">
        <v>9.9000000000000005E-2</v>
      </c>
      <c r="AM387" s="1">
        <v>400</v>
      </c>
      <c r="AN387" s="1">
        <v>600</v>
      </c>
      <c r="AO387" s="48">
        <v>2</v>
      </c>
      <c r="AP387" s="44">
        <v>150</v>
      </c>
      <c r="AQ387" s="42">
        <v>0.85</v>
      </c>
      <c r="AR387" s="1">
        <v>50</v>
      </c>
      <c r="AS387" s="1">
        <v>30</v>
      </c>
      <c r="AT387" s="1">
        <v>1</v>
      </c>
      <c r="AU387" s="4">
        <f t="shared" si="213"/>
        <v>6.666666666666667</v>
      </c>
      <c r="AV387" s="3">
        <f t="shared" si="234"/>
        <v>0.2</v>
      </c>
      <c r="AW387" s="1">
        <v>85</v>
      </c>
      <c r="AX387" s="3">
        <f t="shared" si="215"/>
        <v>5.6666666666666679</v>
      </c>
      <c r="AY387" s="1">
        <v>1</v>
      </c>
      <c r="AZ387" s="4">
        <f t="shared" si="216"/>
        <v>5.6666666666666679</v>
      </c>
      <c r="BA387" s="49">
        <v>0.83</v>
      </c>
      <c r="BB387" s="4">
        <f t="shared" si="167"/>
        <v>4.703333333333334</v>
      </c>
      <c r="BC387" s="50">
        <v>0.95775104427735991</v>
      </c>
      <c r="BD387" s="69">
        <f>IFERROR(
  MAX(0.05, MIN(0.5, CropNorms_Tomato[[#This Row],[Leaf_Area_Per_Shoot_m2]] * CropNorms_Tomato[[#This Row],[Shoot_Bearing_m2]] )),
  0.2
)</f>
        <v>0.5</v>
      </c>
      <c r="BE387" s="4">
        <f>_xlfn.XLOOKUP(CropNorms_Tomato[[#This Row],[LAI_Start_BBCH]], CropPhenology_Tomato[Sub_Stage], CropPhenology_Tomato[Start_GDD], "Not Found")</f>
        <v>118</v>
      </c>
      <c r="BF387" s="3">
        <f>ROUND(CropNorms_Tomato[[#This Row],[Shoot_Bearing_m2]]*CropNorms_Tomato[[#This Row],[Leaf_Area_Per_Shoot_m2]],2)</f>
        <v>4.5</v>
      </c>
      <c r="BG387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H387" s="3">
        <f>IF(CropNorms_Tomato[[#This Row],[Max_LAI]]&gt;=1.2, 0.85*CropNorms_Tomato[[#This Row],[Max_LAI]], 1)</f>
        <v>3.8249999999999997</v>
      </c>
      <c r="BI387" s="41">
        <f>_xlfn.XLOOKUP(CropNorms_Tomato[[#This Row],[LAI_End_BBCH]], CropPhenology_Tomato[Sub_Stage], CropPhenology_Tomato[End_GDD], "Not Found")</f>
        <v>1225</v>
      </c>
      <c r="BJ387" s="3" cm="1">
        <f t="array" ref="BJ387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K387" s="3" cm="1">
        <f t="array" ref="BK387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L387" s="3" cm="1">
        <f t="array" ref="BL387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M387" s="3" cm="1">
        <f t="array" ref="BM387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87" s="42">
        <v>0.55000000000000004</v>
      </c>
      <c r="BO387" s="43">
        <v>0.85</v>
      </c>
      <c r="BP387" s="42">
        <v>25</v>
      </c>
      <c r="BQ387" s="43" t="s">
        <v>1741</v>
      </c>
      <c r="BR387" s="3" t="str" cm="1">
        <f t="array" ref="BR387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87" s="3" t="str" cm="1">
        <f t="array" ref="BS387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T387" s="3" t="str" cm="1">
        <f t="array" ref="BT387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U387" s="3" t="str" cm="1">
        <f t="array" ref="BU387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V387" s="48">
        <v>150</v>
      </c>
      <c r="BW387" s="1">
        <v>110</v>
      </c>
      <c r="BX387" s="44">
        <v>160</v>
      </c>
      <c r="BY387" s="51">
        <v>44941</v>
      </c>
      <c r="BZ387" s="5">
        <v>45767</v>
      </c>
      <c r="CA387" s="85">
        <v>0</v>
      </c>
      <c r="CB387" s="2">
        <v>0</v>
      </c>
      <c r="CC387" s="2">
        <v>1</v>
      </c>
      <c r="CD387" s="2">
        <v>1</v>
      </c>
      <c r="CE387" s="2">
        <v>1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P387" s="9"/>
      <c r="CQ387" s="10"/>
    </row>
    <row r="388" spans="2:95" ht="11.25" thickBot="1" x14ac:dyDescent="0.2">
      <c r="B388" s="66"/>
      <c r="Y388" s="3"/>
      <c r="Z388" s="4"/>
      <c r="AG388" s="3"/>
      <c r="AR388" s="4"/>
      <c r="AS388" s="3"/>
      <c r="AU388" s="3"/>
      <c r="AW388" s="4"/>
      <c r="AX388" s="49"/>
      <c r="AY388" s="4"/>
      <c r="BV388" s="51"/>
      <c r="BW388" s="51"/>
      <c r="CP388" s="9"/>
      <c r="CQ388" s="10"/>
    </row>
    <row r="389" spans="2:95" ht="11.25" thickBot="1" x14ac:dyDescent="0.2">
      <c r="B389" s="54" t="s">
        <v>1753</v>
      </c>
      <c r="C389" s="53" t="s">
        <v>1754</v>
      </c>
      <c r="D389" s="53" t="s">
        <v>1804</v>
      </c>
      <c r="E389" s="53" t="s">
        <v>1805</v>
      </c>
      <c r="F389" s="53" t="s">
        <v>1806</v>
      </c>
      <c r="G389" s="53" t="s">
        <v>1807</v>
      </c>
      <c r="H389" s="53" t="s">
        <v>1808</v>
      </c>
      <c r="I389" s="53" t="s">
        <v>1809</v>
      </c>
      <c r="J389" s="53" t="s">
        <v>1810</v>
      </c>
      <c r="K389" s="53" t="s">
        <v>1747</v>
      </c>
      <c r="L389" s="54" t="s">
        <v>1749</v>
      </c>
      <c r="M389" s="53" t="s">
        <v>357</v>
      </c>
      <c r="N389" s="55" t="s">
        <v>692</v>
      </c>
      <c r="O389" s="53" t="s">
        <v>325</v>
      </c>
      <c r="P389" s="53" t="s">
        <v>356</v>
      </c>
      <c r="Q389" s="53" t="s">
        <v>326</v>
      </c>
      <c r="R389" s="53" t="s">
        <v>327</v>
      </c>
      <c r="S389" s="53" t="s">
        <v>328</v>
      </c>
      <c r="T389" s="53" t="s">
        <v>329</v>
      </c>
      <c r="U389" s="250" t="s">
        <v>2349</v>
      </c>
      <c r="V389" s="53" t="s">
        <v>330</v>
      </c>
      <c r="W389" s="53" t="s">
        <v>331</v>
      </c>
      <c r="X389" s="56" t="s">
        <v>354</v>
      </c>
      <c r="Y389" s="57" t="s">
        <v>355</v>
      </c>
      <c r="Z389" s="58" t="s">
        <v>413</v>
      </c>
      <c r="AA389" s="59" t="s">
        <v>583</v>
      </c>
      <c r="AB389" s="53" t="s">
        <v>324</v>
      </c>
      <c r="AC389" s="53" t="s">
        <v>332</v>
      </c>
      <c r="AD389" s="53" t="s">
        <v>333</v>
      </c>
      <c r="AE389" s="53" t="s">
        <v>334</v>
      </c>
      <c r="AF389" s="53" t="s">
        <v>335</v>
      </c>
      <c r="AG389" s="53" t="s">
        <v>336</v>
      </c>
      <c r="AH389" s="60" t="s">
        <v>337</v>
      </c>
      <c r="AI389" s="53" t="s">
        <v>338</v>
      </c>
      <c r="AJ389" s="53" t="s">
        <v>339</v>
      </c>
      <c r="AK389" s="157" t="s">
        <v>2346</v>
      </c>
      <c r="AL389" s="158" t="s">
        <v>2347</v>
      </c>
      <c r="AM389" s="53" t="s">
        <v>340</v>
      </c>
      <c r="AN389" s="53" t="s">
        <v>341</v>
      </c>
      <c r="AO389" s="61" t="s">
        <v>342</v>
      </c>
      <c r="AP389" s="62" t="s">
        <v>343</v>
      </c>
      <c r="AQ389" s="55" t="s">
        <v>344</v>
      </c>
      <c r="AR389" s="53" t="s">
        <v>345</v>
      </c>
      <c r="AS389" s="53" t="s">
        <v>346</v>
      </c>
      <c r="AT389" s="53" t="s">
        <v>364</v>
      </c>
      <c r="AU389" s="60" t="s">
        <v>347</v>
      </c>
      <c r="AV389" s="58" t="s">
        <v>363</v>
      </c>
      <c r="AW389" s="53" t="s">
        <v>348</v>
      </c>
      <c r="AX389" s="58" t="s">
        <v>349</v>
      </c>
      <c r="AY389" s="53" t="s">
        <v>366</v>
      </c>
      <c r="AZ389" s="60" t="s">
        <v>350</v>
      </c>
      <c r="BA389" s="53" t="s">
        <v>365</v>
      </c>
      <c r="BB389" s="60" t="s">
        <v>1827</v>
      </c>
      <c r="BC389" s="63" t="s">
        <v>351</v>
      </c>
      <c r="BD389" s="71" t="s">
        <v>1811</v>
      </c>
      <c r="BE389" s="57" t="s">
        <v>352</v>
      </c>
      <c r="BF389" s="58" t="s">
        <v>1812</v>
      </c>
      <c r="BG389" s="57" t="s">
        <v>1752</v>
      </c>
      <c r="BH389" s="60" t="s">
        <v>1813</v>
      </c>
      <c r="BI389" s="59" t="s">
        <v>353</v>
      </c>
      <c r="BJ389" s="71" t="s">
        <v>1828</v>
      </c>
      <c r="BK389" s="58" t="s">
        <v>1829</v>
      </c>
      <c r="BL389" s="58" t="s">
        <v>1830</v>
      </c>
      <c r="BM389" s="72" t="s">
        <v>1831</v>
      </c>
      <c r="BN389" s="64" t="s">
        <v>1154</v>
      </c>
      <c r="BO389" s="65" t="s">
        <v>1742</v>
      </c>
      <c r="BP389" s="64" t="s">
        <v>1155</v>
      </c>
      <c r="BQ389" s="65" t="s">
        <v>1755</v>
      </c>
      <c r="BR389" s="71" t="s">
        <v>367</v>
      </c>
      <c r="BS389" s="58" t="s">
        <v>1751</v>
      </c>
      <c r="BT389" s="58" t="s">
        <v>368</v>
      </c>
      <c r="BU389" s="156" t="s">
        <v>1814</v>
      </c>
      <c r="BV389" s="61" t="s">
        <v>369</v>
      </c>
      <c r="BW389" s="53" t="s">
        <v>370</v>
      </c>
      <c r="BX389" s="62" t="s">
        <v>371</v>
      </c>
      <c r="BY389" s="53" t="s">
        <v>359</v>
      </c>
      <c r="BZ389" s="53" t="s">
        <v>361</v>
      </c>
      <c r="CA389" s="61" t="s">
        <v>1815</v>
      </c>
      <c r="CB389" s="53" t="s">
        <v>1816</v>
      </c>
      <c r="CC389" s="53" t="s">
        <v>1817</v>
      </c>
      <c r="CD389" s="53" t="s">
        <v>1818</v>
      </c>
      <c r="CE389" s="53" t="s">
        <v>1819</v>
      </c>
      <c r="CF389" s="53" t="s">
        <v>1820</v>
      </c>
      <c r="CG389" s="53" t="s">
        <v>1821</v>
      </c>
      <c r="CH389" s="53" t="s">
        <v>1822</v>
      </c>
      <c r="CI389" s="53" t="s">
        <v>1823</v>
      </c>
      <c r="CJ389" s="53" t="s">
        <v>1824</v>
      </c>
      <c r="CK389" s="53" t="s">
        <v>1825</v>
      </c>
      <c r="CL389" s="53" t="s">
        <v>1826</v>
      </c>
      <c r="CP389" s="9"/>
      <c r="CQ389" s="10"/>
    </row>
    <row r="390" spans="2:95" x14ac:dyDescent="0.15">
      <c r="B390" s="67" t="s">
        <v>310</v>
      </c>
      <c r="C390" s="1" t="s">
        <v>311</v>
      </c>
      <c r="K390" s="1" t="s">
        <v>1770</v>
      </c>
      <c r="L390" s="1" t="s">
        <v>1750</v>
      </c>
      <c r="M390" s="1" t="s">
        <v>358</v>
      </c>
      <c r="N390" s="6">
        <v>10.5</v>
      </c>
      <c r="O390" s="1" t="s">
        <v>4</v>
      </c>
      <c r="P390" s="1">
        <v>2</v>
      </c>
      <c r="Q390" s="1">
        <v>5</v>
      </c>
      <c r="R390" s="1">
        <v>4</v>
      </c>
      <c r="S390" s="1">
        <v>22</v>
      </c>
      <c r="T390" s="1">
        <v>30</v>
      </c>
      <c r="U390" s="253">
        <v>7</v>
      </c>
      <c r="V390" s="1">
        <v>40</v>
      </c>
      <c r="W390" s="44">
        <v>90</v>
      </c>
      <c r="X390" s="40">
        <f>_xlfn.XLOOKUP("Ripening", CropPhenology_Turnip[Main_Stage], CropPhenology_Turnip[Start_GDD], "Not Found")</f>
        <v>2001</v>
      </c>
      <c r="Y390" s="4" cm="1">
        <f t="array" ref="Y390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Z390" s="3">
        <f>MIN(Y390/V390,MAX(X390/W390,R390,(X390/W390+Y390/V390)/2))</f>
        <v>39.866666666666667</v>
      </c>
      <c r="AA390" s="41">
        <f t="shared" ref="AA390:AA392" si="235">Y390/Z390</f>
        <v>57.692307692307693</v>
      </c>
      <c r="AB390" s="1">
        <v>7</v>
      </c>
      <c r="AC390" s="1">
        <v>10</v>
      </c>
      <c r="AD390" s="1">
        <v>3</v>
      </c>
      <c r="AE390" s="1">
        <v>90</v>
      </c>
      <c r="AF390" s="1">
        <v>50</v>
      </c>
      <c r="AG390" s="1">
        <v>4</v>
      </c>
      <c r="AH390" s="3">
        <f t="shared" si="174"/>
        <v>5.182666666666667</v>
      </c>
      <c r="AI390" s="1">
        <v>6</v>
      </c>
      <c r="AJ390" s="1">
        <v>7</v>
      </c>
      <c r="AK390" s="159">
        <v>1.2</v>
      </c>
      <c r="AL390" s="150">
        <v>0.13</v>
      </c>
      <c r="AM390" s="1">
        <v>300</v>
      </c>
      <c r="AN390" s="1">
        <v>400</v>
      </c>
      <c r="AO390" s="48">
        <v>2</v>
      </c>
      <c r="AP390" s="44">
        <v>40</v>
      </c>
      <c r="AQ390" s="42">
        <v>0.78</v>
      </c>
      <c r="AR390" s="1">
        <v>30</v>
      </c>
      <c r="AS390" s="1">
        <v>10</v>
      </c>
      <c r="AT390" s="1">
        <v>1</v>
      </c>
      <c r="AU390" s="4">
        <f t="shared" ref="AU390:AU392" si="236">IFERROR(10000/(AS390*AR390),0)*AT390</f>
        <v>33.333333333333336</v>
      </c>
      <c r="AV390" s="3">
        <f>ROUND((P390/1000000)*AU390*10000,2)</f>
        <v>0.67</v>
      </c>
      <c r="AW390" s="1">
        <v>85</v>
      </c>
      <c r="AX390" s="3">
        <f t="shared" si="215"/>
        <v>28.333333333333336</v>
      </c>
      <c r="AY390" s="1">
        <v>1</v>
      </c>
      <c r="AZ390" s="4">
        <f t="shared" ref="AZ390" si="237">IFERROR(AX390*AY390,0)</f>
        <v>28.333333333333336</v>
      </c>
      <c r="BA390" s="49">
        <v>0.93</v>
      </c>
      <c r="BB390" s="4">
        <f t="shared" si="167"/>
        <v>26.350000000000005</v>
      </c>
      <c r="BC390" s="50">
        <v>0.23545418929671016</v>
      </c>
      <c r="BD390" s="69">
        <f>IFERROR(
  MAX(0.05, MIN(0.5, CropNorms_Turnip[[#This Row],[Leaf_Area_Per_Shoot_m2]] * CropNorms_Turnip[[#This Row],[Shoot_Bearing_m2]] )),
  0.2
)</f>
        <v>0.5</v>
      </c>
      <c r="BE390" s="4">
        <f>_xlfn.XLOOKUP(CropNorms_Turnip[[#This Row],[LAI_Start_BBCH]], CropPhenology_Turnip[Sub_Stage], CropPhenology_Turnip[Start_GDD], "Not Found")</f>
        <v>151</v>
      </c>
      <c r="BF390" s="3">
        <f>ROUND(CropNorms_Turnip[[#This Row],[Shoot_Bearing_m2]]*CropNorms_Turnip[[#This Row],[Leaf_Area_Per_Shoot_m2]],2)</f>
        <v>6.2</v>
      </c>
      <c r="BG390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H390" s="3">
        <f>IF(CropNorms_Turnip[[#This Row],[Max_LAI]]&gt;=1.2, 0.85*CropNorms_Turnip[[#This Row],[Max_LAI]], 1)</f>
        <v>5.27</v>
      </c>
      <c r="BI390" s="41">
        <f>_xlfn.XLOOKUP(CropNorms_Turnip[[#This Row],[LAI_End_BBCH]], CropPhenology_Turnip[Sub_Stage], CropPhenology_Turnip[End_GDD], "Not Found")</f>
        <v>2000</v>
      </c>
      <c r="BJ390" s="3" cm="1">
        <f t="array" ref="BJ390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K390" s="3" cm="1">
        <f t="array" ref="BK390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0.93361903063143181</v>
      </c>
      <c r="BL390" s="3" cm="1">
        <f t="array" ref="BL390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3.0749593970023255</v>
      </c>
      <c r="BM390" s="3" cm="1">
        <f t="array" ref="BM390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0" s="42">
        <v>0.5</v>
      </c>
      <c r="BO390" s="43">
        <v>0.85</v>
      </c>
      <c r="BP390" s="42">
        <v>13.1</v>
      </c>
      <c r="BQ390" s="43" t="s">
        <v>1786</v>
      </c>
      <c r="BR390" s="69" t="str" cm="1">
        <f t="array" ref="BR390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0" s="3" t="str" cm="1">
        <f t="array" ref="BS390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390" s="3" t="str" cm="1">
        <f t="array" ref="BT390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390" s="70" t="str" cm="1">
        <f t="array" ref="BU390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390" s="48">
        <v>60</v>
      </c>
      <c r="BW390" s="1">
        <v>40</v>
      </c>
      <c r="BX390" s="44">
        <v>60</v>
      </c>
      <c r="BY390" s="51">
        <v>45945</v>
      </c>
      <c r="BZ390" s="5">
        <v>45976</v>
      </c>
      <c r="CA390" s="85">
        <v>0</v>
      </c>
      <c r="CB390" s="2">
        <v>0</v>
      </c>
      <c r="CC390" s="2">
        <v>1</v>
      </c>
      <c r="CD390" s="2">
        <v>1</v>
      </c>
      <c r="CE390" s="2">
        <v>1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P390" s="9"/>
      <c r="CQ390" s="10"/>
    </row>
    <row r="391" spans="2:95" x14ac:dyDescent="0.15">
      <c r="B391" s="67" t="s">
        <v>310</v>
      </c>
      <c r="C391" s="1" t="s">
        <v>312</v>
      </c>
      <c r="K391" s="1" t="s">
        <v>1770</v>
      </c>
      <c r="L391" s="1" t="s">
        <v>1750</v>
      </c>
      <c r="M391" s="1" t="s">
        <v>358</v>
      </c>
      <c r="N391" s="6">
        <v>10.5</v>
      </c>
      <c r="O391" s="1" t="s">
        <v>4</v>
      </c>
      <c r="P391" s="1">
        <v>2</v>
      </c>
      <c r="Q391" s="1">
        <v>5</v>
      </c>
      <c r="R391" s="1">
        <v>4</v>
      </c>
      <c r="S391" s="1">
        <v>22</v>
      </c>
      <c r="T391" s="1">
        <v>30</v>
      </c>
      <c r="U391" s="253">
        <v>7</v>
      </c>
      <c r="V391" s="1">
        <v>40</v>
      </c>
      <c r="W391" s="44">
        <v>90</v>
      </c>
      <c r="X391" s="40">
        <f>_xlfn.XLOOKUP("Ripening", CropPhenology_Turnip[Main_Stage], CropPhenology_Turnip[Start_GDD], "Not Found")</f>
        <v>2001</v>
      </c>
      <c r="Y391" s="4" cm="1">
        <f t="array" ref="Y391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Z391" s="3">
        <f>MIN(Y391/V391,MAX(X391/W391,R391,(X391/W391+Y391/V391)/2))</f>
        <v>39.866666666666667</v>
      </c>
      <c r="AA391" s="41">
        <f t="shared" si="235"/>
        <v>57.692307692307693</v>
      </c>
      <c r="AB391" s="1">
        <v>7</v>
      </c>
      <c r="AC391" s="1">
        <v>10</v>
      </c>
      <c r="AD391" s="1">
        <v>3</v>
      </c>
      <c r="AE391" s="1">
        <v>90</v>
      </c>
      <c r="AF391" s="1">
        <v>50</v>
      </c>
      <c r="AG391" s="1">
        <v>4</v>
      </c>
      <c r="AH391" s="3">
        <f t="shared" si="174"/>
        <v>5.182666666666667</v>
      </c>
      <c r="AI391" s="1">
        <v>6</v>
      </c>
      <c r="AJ391" s="1">
        <v>7</v>
      </c>
      <c r="AK391" s="159">
        <v>1.2</v>
      </c>
      <c r="AL391" s="150">
        <v>0.13</v>
      </c>
      <c r="AM391" s="1">
        <v>300</v>
      </c>
      <c r="AN391" s="1">
        <v>400</v>
      </c>
      <c r="AO391" s="48">
        <v>2</v>
      </c>
      <c r="AP391" s="44">
        <v>40</v>
      </c>
      <c r="AQ391" s="42">
        <v>0.8</v>
      </c>
      <c r="AR391" s="1">
        <v>30</v>
      </c>
      <c r="AS391" s="1">
        <v>10</v>
      </c>
      <c r="AT391" s="1">
        <v>1</v>
      </c>
      <c r="AU391" s="4">
        <f t="shared" si="236"/>
        <v>33.333333333333336</v>
      </c>
      <c r="AV391" s="3">
        <f>ROUND((P391/1000000)*AU391*10000,2)</f>
        <v>0.67</v>
      </c>
      <c r="AW391" s="1">
        <v>85</v>
      </c>
      <c r="AX391" s="3">
        <f t="shared" ref="AX391:AX395" si="238">IFERROR((AU391*AW391/100),0)</f>
        <v>28.333333333333336</v>
      </c>
      <c r="AY391" s="1">
        <v>1</v>
      </c>
      <c r="AZ391" s="4">
        <f t="shared" ref="AZ391:AZ392" si="239">IFERROR(AX391*AY391,0)</f>
        <v>28.333333333333336</v>
      </c>
      <c r="BA391" s="49">
        <v>0.93</v>
      </c>
      <c r="BB391" s="4">
        <f t="shared" ref="BB391:BB392" si="240">IFERROR(AZ391*BA391,0)</f>
        <v>26.350000000000005</v>
      </c>
      <c r="BC391" s="50">
        <v>0.23545418929671016</v>
      </c>
      <c r="BD391" s="69">
        <f>IFERROR(
  MAX(0.05, MIN(0.5, CropNorms_Turnip[[#This Row],[Leaf_Area_Per_Shoot_m2]] * CropNorms_Turnip[[#This Row],[Shoot_Bearing_m2]] )),
  0.2
)</f>
        <v>0.5</v>
      </c>
      <c r="BE391" s="4">
        <f>_xlfn.XLOOKUP(CropNorms_Turnip[[#This Row],[LAI_Start_BBCH]], CropPhenology_Turnip[Sub_Stage], CropPhenology_Turnip[Start_GDD], "Not Found")</f>
        <v>151</v>
      </c>
      <c r="BF391" s="3">
        <f>ROUND(CropNorms_Turnip[[#This Row],[Shoot_Bearing_m2]]*CropNorms_Turnip[[#This Row],[Leaf_Area_Per_Shoot_m2]],2)</f>
        <v>6.2</v>
      </c>
      <c r="BG391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H391" s="3">
        <f>IF(CropNorms_Turnip[[#This Row],[Max_LAI]]&gt;=1.2, 0.85*CropNorms_Turnip[[#This Row],[Max_LAI]], 1)</f>
        <v>5.27</v>
      </c>
      <c r="BI391" s="41">
        <f>_xlfn.XLOOKUP(CropNorms_Turnip[[#This Row],[LAI_End_BBCH]], CropPhenology_Turnip[Sub_Stage], CropPhenology_Turnip[End_GDD], "Not Found")</f>
        <v>2000</v>
      </c>
      <c r="BJ391" s="3" cm="1">
        <f t="array" ref="BJ391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K391" s="3" cm="1">
        <f t="array" ref="BK39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0.93361903063143181</v>
      </c>
      <c r="BL391" s="3" cm="1">
        <f t="array" ref="BL391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3.0749593970023255</v>
      </c>
      <c r="BM391" s="3" cm="1">
        <f t="array" ref="BM39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1" s="42">
        <v>0.5</v>
      </c>
      <c r="BO391" s="43">
        <v>0.85</v>
      </c>
      <c r="BP391" s="42">
        <v>13.1</v>
      </c>
      <c r="BQ391" s="43" t="s">
        <v>1786</v>
      </c>
      <c r="BR391" s="69" t="str" cm="1">
        <f t="array" ref="BR39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1" s="3" t="str" cm="1">
        <f t="array" ref="BS39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391" s="3" t="str" cm="1">
        <f t="array" ref="BT391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391" s="70" t="str" cm="1">
        <f t="array" ref="BU391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391" s="48">
        <v>60</v>
      </c>
      <c r="BW391" s="1">
        <v>40</v>
      </c>
      <c r="BX391" s="44">
        <v>60</v>
      </c>
      <c r="BY391" s="51">
        <v>45945</v>
      </c>
      <c r="BZ391" s="5">
        <v>45976</v>
      </c>
      <c r="CA391" s="85">
        <v>0</v>
      </c>
      <c r="CB391" s="2">
        <v>0</v>
      </c>
      <c r="CC391" s="2">
        <v>1</v>
      </c>
      <c r="CD391" s="2">
        <v>1</v>
      </c>
      <c r="CE391" s="2">
        <v>1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P391" s="9"/>
      <c r="CQ391" s="10"/>
    </row>
    <row r="392" spans="2:95" ht="11.25" thickBot="1" x14ac:dyDescent="0.2">
      <c r="B392" s="67" t="s">
        <v>310</v>
      </c>
      <c r="C392" s="1" t="s">
        <v>313</v>
      </c>
      <c r="K392" s="1" t="s">
        <v>1770</v>
      </c>
      <c r="L392" s="1" t="s">
        <v>1750</v>
      </c>
      <c r="M392" s="1" t="s">
        <v>358</v>
      </c>
      <c r="N392" s="6">
        <v>10.5</v>
      </c>
      <c r="O392" s="1" t="s">
        <v>4</v>
      </c>
      <c r="P392" s="1">
        <v>2</v>
      </c>
      <c r="Q392" s="1">
        <v>5</v>
      </c>
      <c r="R392" s="1">
        <v>4</v>
      </c>
      <c r="S392" s="1">
        <v>22</v>
      </c>
      <c r="T392" s="1">
        <v>30</v>
      </c>
      <c r="U392" s="254">
        <v>7</v>
      </c>
      <c r="V392" s="1">
        <v>40</v>
      </c>
      <c r="W392" s="44">
        <v>90</v>
      </c>
      <c r="X392" s="40">
        <f>_xlfn.XLOOKUP("Ripening", CropPhenology_Turnip[Main_Stage], CropPhenology_Turnip[Start_GDD], "Not Found")</f>
        <v>2001</v>
      </c>
      <c r="Y392" s="4" cm="1">
        <f t="array" ref="Y392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Z392" s="3">
        <f>MIN(Y392/V392,MAX(X392/W392,R392,(X392/W392+Y392/V392)/2))</f>
        <v>39.866666666666667</v>
      </c>
      <c r="AA392" s="41">
        <f t="shared" si="235"/>
        <v>57.692307692307693</v>
      </c>
      <c r="AB392" s="1">
        <v>7</v>
      </c>
      <c r="AC392" s="1">
        <v>10</v>
      </c>
      <c r="AD392" s="1">
        <v>3</v>
      </c>
      <c r="AE392" s="1">
        <v>90</v>
      </c>
      <c r="AF392" s="1">
        <v>50</v>
      </c>
      <c r="AG392" s="1">
        <v>4</v>
      </c>
      <c r="AH392" s="3">
        <f t="shared" si="174"/>
        <v>5.182666666666667</v>
      </c>
      <c r="AI392" s="1">
        <v>6</v>
      </c>
      <c r="AJ392" s="1">
        <v>7</v>
      </c>
      <c r="AK392" s="160">
        <v>1.2</v>
      </c>
      <c r="AL392" s="161">
        <v>0.13</v>
      </c>
      <c r="AM392" s="1">
        <v>300</v>
      </c>
      <c r="AN392" s="1">
        <v>400</v>
      </c>
      <c r="AO392" s="48">
        <v>2</v>
      </c>
      <c r="AP392" s="44">
        <v>40</v>
      </c>
      <c r="AQ392" s="42">
        <v>0.76</v>
      </c>
      <c r="AR392" s="1">
        <v>30</v>
      </c>
      <c r="AS392" s="1">
        <v>10</v>
      </c>
      <c r="AT392" s="1">
        <v>1</v>
      </c>
      <c r="AU392" s="4">
        <f t="shared" si="236"/>
        <v>33.333333333333336</v>
      </c>
      <c r="AV392" s="3">
        <f>ROUND((P392/1000000)*AU392*10000,2)</f>
        <v>0.67</v>
      </c>
      <c r="AW392" s="1">
        <v>85</v>
      </c>
      <c r="AX392" s="3">
        <f t="shared" si="238"/>
        <v>28.333333333333336</v>
      </c>
      <c r="AY392" s="1">
        <v>1</v>
      </c>
      <c r="AZ392" s="4">
        <f t="shared" si="239"/>
        <v>28.333333333333336</v>
      </c>
      <c r="BA392" s="49">
        <v>0.93</v>
      </c>
      <c r="BB392" s="4">
        <f t="shared" si="240"/>
        <v>26.350000000000005</v>
      </c>
      <c r="BC392" s="50">
        <v>0.23545418929671016</v>
      </c>
      <c r="BD392" s="69">
        <f>IFERROR(
  MAX(0.05, MIN(0.5, CropNorms_Turnip[[#This Row],[Leaf_Area_Per_Shoot_m2]] * CropNorms_Turnip[[#This Row],[Shoot_Bearing_m2]] )),
  0.2
)</f>
        <v>0.5</v>
      </c>
      <c r="BE392" s="4">
        <f>_xlfn.XLOOKUP(CropNorms_Turnip[[#This Row],[LAI_Start_BBCH]], CropPhenology_Turnip[Sub_Stage], CropPhenology_Turnip[Start_GDD], "Not Found")</f>
        <v>151</v>
      </c>
      <c r="BF392" s="3">
        <f>ROUND(CropNorms_Turnip[[#This Row],[Shoot_Bearing_m2]]*CropNorms_Turnip[[#This Row],[Leaf_Area_Per_Shoot_m2]],2)</f>
        <v>6.2</v>
      </c>
      <c r="BG392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H392" s="3">
        <f>IF(CropNorms_Turnip[[#This Row],[Max_LAI]]&gt;=1.2, 0.85*CropNorms_Turnip[[#This Row],[Max_LAI]], 1)</f>
        <v>5.27</v>
      </c>
      <c r="BI392" s="41">
        <f>_xlfn.XLOOKUP(CropNorms_Turnip[[#This Row],[LAI_End_BBCH]], CropPhenology_Turnip[Sub_Stage], CropPhenology_Turnip[End_GDD], "Not Found")</f>
        <v>2000</v>
      </c>
      <c r="BJ392" s="3" cm="1">
        <f t="array" ref="BJ392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K392" s="3" cm="1">
        <f t="array" ref="BK392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0.93361903063143181</v>
      </c>
      <c r="BL392" s="3" cm="1">
        <f t="array" ref="BL392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3.0749593970023255</v>
      </c>
      <c r="BM392" s="3" cm="1">
        <f t="array" ref="BM392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2" s="42">
        <v>0.5</v>
      </c>
      <c r="BO392" s="43">
        <v>0.85</v>
      </c>
      <c r="BP392" s="42">
        <v>13.1</v>
      </c>
      <c r="BQ392" s="43" t="s">
        <v>1786</v>
      </c>
      <c r="BR392" s="69" t="str" cm="1">
        <f t="array" ref="BR392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2" s="3" t="str" cm="1">
        <f t="array" ref="BS392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T392" s="3" t="str" cm="1">
        <f t="array" ref="BT392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U392" s="70" t="str" cm="1">
        <f t="array" ref="BU392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V392" s="48">
        <v>60</v>
      </c>
      <c r="BW392" s="1">
        <v>40</v>
      </c>
      <c r="BX392" s="44">
        <v>60</v>
      </c>
      <c r="BY392" s="51">
        <v>45945</v>
      </c>
      <c r="BZ392" s="5">
        <v>45976</v>
      </c>
      <c r="CA392" s="85">
        <v>0</v>
      </c>
      <c r="CB392" s="2">
        <v>0</v>
      </c>
      <c r="CC392" s="2">
        <v>1</v>
      </c>
      <c r="CD392" s="2">
        <v>1</v>
      </c>
      <c r="CE392" s="2">
        <v>1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P392" s="9"/>
      <c r="CQ392" s="10"/>
    </row>
    <row r="393" spans="2:95" ht="11.25" thickBot="1" x14ac:dyDescent="0.2">
      <c r="B393" s="67"/>
      <c r="Y393" s="3"/>
      <c r="Z393" s="4"/>
      <c r="AG393" s="3"/>
      <c r="AR393" s="4"/>
      <c r="AS393" s="3"/>
      <c r="AU393" s="3"/>
      <c r="AW393" s="4"/>
      <c r="AX393" s="49"/>
      <c r="AY393" s="4"/>
      <c r="BV393" s="51"/>
      <c r="BW393" s="51"/>
      <c r="CP393" s="9"/>
      <c r="CQ393" s="10"/>
    </row>
    <row r="394" spans="2:95" ht="11.25" thickBot="1" x14ac:dyDescent="0.3">
      <c r="B394" s="54" t="s">
        <v>1753</v>
      </c>
      <c r="C394" s="53" t="s">
        <v>1754</v>
      </c>
      <c r="D394" s="53" t="s">
        <v>1804</v>
      </c>
      <c r="E394" s="53" t="s">
        <v>1805</v>
      </c>
      <c r="F394" s="53" t="s">
        <v>1806</v>
      </c>
      <c r="G394" s="53" t="s">
        <v>1807</v>
      </c>
      <c r="H394" s="53" t="s">
        <v>1808</v>
      </c>
      <c r="I394" s="53" t="s">
        <v>1809</v>
      </c>
      <c r="J394" s="53" t="s">
        <v>1810</v>
      </c>
      <c r="K394" s="53" t="s">
        <v>1747</v>
      </c>
      <c r="L394" s="54" t="s">
        <v>1749</v>
      </c>
      <c r="M394" s="53" t="s">
        <v>357</v>
      </c>
      <c r="N394" s="55" t="s">
        <v>692</v>
      </c>
      <c r="O394" s="53" t="s">
        <v>325</v>
      </c>
      <c r="P394" s="53" t="s">
        <v>356</v>
      </c>
      <c r="Q394" s="53" t="s">
        <v>326</v>
      </c>
      <c r="R394" s="53" t="s">
        <v>327</v>
      </c>
      <c r="S394" s="53" t="s">
        <v>328</v>
      </c>
      <c r="T394" s="53" t="s">
        <v>329</v>
      </c>
      <c r="U394" s="250" t="s">
        <v>2349</v>
      </c>
      <c r="V394" s="53" t="s">
        <v>330</v>
      </c>
      <c r="W394" s="53" t="s">
        <v>331</v>
      </c>
      <c r="X394" s="56" t="s">
        <v>354</v>
      </c>
      <c r="Y394" s="57" t="s">
        <v>355</v>
      </c>
      <c r="Z394" s="58" t="s">
        <v>413</v>
      </c>
      <c r="AA394" s="59" t="s">
        <v>583</v>
      </c>
      <c r="AB394" s="53" t="s">
        <v>324</v>
      </c>
      <c r="AC394" s="53" t="s">
        <v>332</v>
      </c>
      <c r="AD394" s="53" t="s">
        <v>333</v>
      </c>
      <c r="AE394" s="53" t="s">
        <v>334</v>
      </c>
      <c r="AF394" s="53" t="s">
        <v>335</v>
      </c>
      <c r="AG394" s="53" t="s">
        <v>336</v>
      </c>
      <c r="AH394" s="60" t="s">
        <v>337</v>
      </c>
      <c r="AI394" s="53" t="s">
        <v>338</v>
      </c>
      <c r="AJ394" s="53" t="s">
        <v>339</v>
      </c>
      <c r="AK394" s="157" t="s">
        <v>2346</v>
      </c>
      <c r="AL394" s="158" t="s">
        <v>2347</v>
      </c>
      <c r="AM394" s="53" t="s">
        <v>340</v>
      </c>
      <c r="AN394" s="53" t="s">
        <v>341</v>
      </c>
      <c r="AO394" s="61" t="s">
        <v>342</v>
      </c>
      <c r="AP394" s="62" t="s">
        <v>343</v>
      </c>
      <c r="AQ394" s="55" t="s">
        <v>344</v>
      </c>
      <c r="AR394" s="53" t="s">
        <v>345</v>
      </c>
      <c r="AS394" s="53" t="s">
        <v>346</v>
      </c>
      <c r="AT394" s="53" t="s">
        <v>364</v>
      </c>
      <c r="AU394" s="60" t="s">
        <v>347</v>
      </c>
      <c r="AV394" s="58" t="s">
        <v>363</v>
      </c>
      <c r="AW394" s="53" t="s">
        <v>348</v>
      </c>
      <c r="AX394" s="58" t="s">
        <v>349</v>
      </c>
      <c r="AY394" s="53" t="s">
        <v>366</v>
      </c>
      <c r="AZ394" s="60" t="s">
        <v>350</v>
      </c>
      <c r="BA394" s="53" t="s">
        <v>365</v>
      </c>
      <c r="BB394" s="60" t="s">
        <v>1827</v>
      </c>
      <c r="BC394" s="63" t="s">
        <v>351</v>
      </c>
      <c r="BD394" s="71" t="s">
        <v>1811</v>
      </c>
      <c r="BE394" s="57" t="s">
        <v>352</v>
      </c>
      <c r="BF394" s="58" t="s">
        <v>1812</v>
      </c>
      <c r="BG394" s="57" t="s">
        <v>1752</v>
      </c>
      <c r="BH394" s="60" t="s">
        <v>1813</v>
      </c>
      <c r="BI394" s="59" t="s">
        <v>353</v>
      </c>
      <c r="BJ394" s="71" t="s">
        <v>1828</v>
      </c>
      <c r="BK394" s="58" t="s">
        <v>1829</v>
      </c>
      <c r="BL394" s="58" t="s">
        <v>1830</v>
      </c>
      <c r="BM394" s="72" t="s">
        <v>1831</v>
      </c>
      <c r="BN394" s="64" t="s">
        <v>1154</v>
      </c>
      <c r="BO394" s="65" t="s">
        <v>1742</v>
      </c>
      <c r="BP394" s="64" t="s">
        <v>1155</v>
      </c>
      <c r="BQ394" s="65" t="s">
        <v>1755</v>
      </c>
      <c r="BR394" s="58" t="s">
        <v>367</v>
      </c>
      <c r="BS394" s="58" t="s">
        <v>1751</v>
      </c>
      <c r="BT394" s="58" t="s">
        <v>368</v>
      </c>
      <c r="BU394" s="156" t="s">
        <v>1814</v>
      </c>
      <c r="BV394" s="61" t="s">
        <v>369</v>
      </c>
      <c r="BW394" s="53" t="s">
        <v>370</v>
      </c>
      <c r="BX394" s="62" t="s">
        <v>371</v>
      </c>
      <c r="BY394" s="53" t="s">
        <v>359</v>
      </c>
      <c r="BZ394" s="53" t="s">
        <v>361</v>
      </c>
      <c r="CA394" s="61" t="s">
        <v>1815</v>
      </c>
      <c r="CB394" s="53" t="s">
        <v>1816</v>
      </c>
      <c r="CC394" s="53" t="s">
        <v>1817</v>
      </c>
      <c r="CD394" s="53" t="s">
        <v>1818</v>
      </c>
      <c r="CE394" s="53" t="s">
        <v>1819</v>
      </c>
      <c r="CF394" s="53" t="s">
        <v>1820</v>
      </c>
      <c r="CG394" s="53" t="s">
        <v>1821</v>
      </c>
      <c r="CH394" s="53" t="s">
        <v>1822</v>
      </c>
      <c r="CI394" s="53" t="s">
        <v>1823</v>
      </c>
      <c r="CJ394" s="53" t="s">
        <v>1824</v>
      </c>
      <c r="CK394" s="53" t="s">
        <v>1825</v>
      </c>
      <c r="CL394" s="53" t="s">
        <v>1826</v>
      </c>
      <c r="CP394" s="28"/>
      <c r="CQ394" s="26"/>
    </row>
    <row r="395" spans="2:95" x14ac:dyDescent="0.25">
      <c r="B395" s="67" t="s">
        <v>697</v>
      </c>
      <c r="C395" s="1" t="s">
        <v>314</v>
      </c>
      <c r="K395" s="1" t="s">
        <v>1763</v>
      </c>
      <c r="L395" s="1" t="s">
        <v>1750</v>
      </c>
      <c r="M395" s="1" t="s">
        <v>362</v>
      </c>
      <c r="N395" s="6">
        <v>14</v>
      </c>
      <c r="O395" s="1" t="s">
        <v>4</v>
      </c>
      <c r="P395" s="1">
        <v>20</v>
      </c>
      <c r="Q395" s="1">
        <v>15</v>
      </c>
      <c r="R395" s="1">
        <v>8</v>
      </c>
      <c r="S395" s="1">
        <v>30</v>
      </c>
      <c r="T395" s="1">
        <v>38</v>
      </c>
      <c r="U395" s="253">
        <v>4</v>
      </c>
      <c r="V395" s="1">
        <v>55</v>
      </c>
      <c r="W395" s="44">
        <v>98</v>
      </c>
      <c r="X395" s="40">
        <f>_xlfn.XLOOKUP("Ripening", CropPhenology_VegetableMarrow[Main_Stage], CropPhenology_VegetableMarrow[Start_GDD], "Not Found")</f>
        <v>921</v>
      </c>
      <c r="Y395" s="4" cm="1">
        <f t="array" ref="Y395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Z395" s="3">
        <f t="shared" ref="Z395:Z400" si="241">MIN(Y395/V395,MAX(X395/W395,R395,(X395/W395+Y395/V395)/2))</f>
        <v>14.880797773654916</v>
      </c>
      <c r="AA395" s="41">
        <f t="shared" ref="AA395:AA400" si="242">Y395/Z395</f>
        <v>75.264781971760755</v>
      </c>
      <c r="AB395" s="1">
        <v>8</v>
      </c>
      <c r="AC395" s="1">
        <v>18</v>
      </c>
      <c r="AD395" s="1">
        <v>4</v>
      </c>
      <c r="AE395" s="1">
        <v>85</v>
      </c>
      <c r="AF395" s="1">
        <v>12</v>
      </c>
      <c r="AG395" s="1">
        <v>5</v>
      </c>
      <c r="AH395" s="3">
        <f t="shared" si="174"/>
        <v>2.6439988901404714</v>
      </c>
      <c r="AI395" s="1">
        <v>6</v>
      </c>
      <c r="AJ395" s="1">
        <v>7</v>
      </c>
      <c r="AK395" s="159">
        <v>2.5</v>
      </c>
      <c r="AL395" s="150">
        <v>0.09</v>
      </c>
      <c r="AM395" s="1">
        <v>350</v>
      </c>
      <c r="AN395" s="1">
        <v>500</v>
      </c>
      <c r="AO395" s="48">
        <v>2</v>
      </c>
      <c r="AP395" s="44">
        <v>60</v>
      </c>
      <c r="AQ395" s="42">
        <v>0.78</v>
      </c>
      <c r="AR395" s="1">
        <v>60</v>
      </c>
      <c r="AS395" s="1">
        <v>30</v>
      </c>
      <c r="AT395" s="1">
        <v>1</v>
      </c>
      <c r="AU395" s="4">
        <f t="shared" ref="AU395:AU400" si="243">IFERROR(10000/(AS395*AR395),0)*AT395</f>
        <v>5.5555555555555554</v>
      </c>
      <c r="AV395" s="3">
        <f t="shared" ref="AV395:AV400" si="244">ROUND((P395/1000000)*AU395*10000,2)</f>
        <v>1.1100000000000001</v>
      </c>
      <c r="AW395" s="1">
        <v>85</v>
      </c>
      <c r="AX395" s="3">
        <f t="shared" si="238"/>
        <v>4.7222222222222223</v>
      </c>
      <c r="AY395" s="1">
        <v>1</v>
      </c>
      <c r="AZ395" s="4">
        <f t="shared" ref="AZ395:AZ400" si="245">IFERROR(AX395*AY395,0)</f>
        <v>4.7222222222222223</v>
      </c>
      <c r="BA395" s="49">
        <v>0.8</v>
      </c>
      <c r="BB395" s="4">
        <f t="shared" ref="BB395:BB400" si="246">IFERROR(AZ395*BA395,0)</f>
        <v>3.7777777777777781</v>
      </c>
      <c r="BC395" s="50">
        <v>1.059149799465241</v>
      </c>
      <c r="BD395" s="69">
        <f>IFERROR(
  MAX(0.05, MIN(0.5, CropNorms_VegetableMarrow[[#This Row],[Leaf_Area_Per_Shoot_m2]] * CropNorms_VegetableMarrow[[#This Row],[Shoot_Bearing_m2]] )),
  0.2
)</f>
        <v>0.5</v>
      </c>
      <c r="BE395" s="4">
        <f>_xlfn.XLOOKUP(CropNorms_VegetableMarrow[[#This Row],[LAI_Start_BBCH]], CropPhenology_VegetableMarrow[Sub_Stage], CropPhenology_VegetableMarrow[Start_GDD], "Not Found")</f>
        <v>131</v>
      </c>
      <c r="BF395" s="3">
        <f>ROUND(CropNorms_VegetableMarrow[[#This Row],[Shoot_Bearing_m2]]*CropNorms_VegetableMarrow[[#This Row],[Leaf_Area_Per_Shoot_m2]],2)</f>
        <v>4</v>
      </c>
      <c r="BG395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H395" s="3">
        <f>IF(CropNorms_VegetableMarrow[[#This Row],[Max_LAI]]&gt;=1.2, 0.85*CropNorms_VegetableMarrow[[#This Row],[Max_LAI]], 1)</f>
        <v>3.4</v>
      </c>
      <c r="BI395" s="41">
        <f>_xlfn.XLOOKUP(CropNorms_VegetableMarrow[[#This Row],[LAI_End_BBCH]], CropPhenology_VegetableMarrow[Sub_Stage], CropPhenology_VegetableMarrow[End_GDD], "Not Found")</f>
        <v>920</v>
      </c>
      <c r="BJ395" s="3" cm="1">
        <f t="array" ref="BJ395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K395" s="3" cm="1">
        <f t="array" ref="BK395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L395" s="3" cm="1">
        <f t="array" ref="BL395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M395" s="3" cm="1">
        <f t="array" ref="BM395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5" s="42">
        <v>0.75</v>
      </c>
      <c r="BO395" s="43">
        <v>0.85</v>
      </c>
      <c r="BP395" s="42">
        <v>9.08</v>
      </c>
      <c r="BQ395" s="43" t="s">
        <v>1741</v>
      </c>
      <c r="BR395" s="3" t="str" cm="1">
        <f t="array" ref="BR395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5" s="3" t="str" cm="1">
        <f t="array" ref="BS395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T395" s="3" t="str" cm="1">
        <f t="array" ref="BT395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U395" s="70" t="str" cm="1">
        <f t="array" ref="BU395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95" s="48">
        <v>100</v>
      </c>
      <c r="BW395" s="1">
        <v>50</v>
      </c>
      <c r="BX395" s="44">
        <v>50</v>
      </c>
      <c r="BY395" s="51">
        <v>45731</v>
      </c>
      <c r="BZ395" s="5">
        <v>45762</v>
      </c>
      <c r="CA395" s="85">
        <v>0</v>
      </c>
      <c r="CB395" s="2">
        <v>0</v>
      </c>
      <c r="CC395" s="2">
        <v>1</v>
      </c>
      <c r="CD395" s="2">
        <v>1</v>
      </c>
      <c r="CE395" s="2">
        <v>1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</row>
    <row r="396" spans="2:95" x14ac:dyDescent="0.25">
      <c r="B396" s="67" t="s">
        <v>697</v>
      </c>
      <c r="C396" s="1" t="s">
        <v>315</v>
      </c>
      <c r="K396" s="1" t="s">
        <v>1763</v>
      </c>
      <c r="L396" s="1" t="s">
        <v>1750</v>
      </c>
      <c r="M396" s="1" t="s">
        <v>362</v>
      </c>
      <c r="N396" s="6">
        <v>14</v>
      </c>
      <c r="O396" s="1" t="s">
        <v>4</v>
      </c>
      <c r="P396" s="1">
        <v>20</v>
      </c>
      <c r="Q396" s="1">
        <v>15</v>
      </c>
      <c r="R396" s="1">
        <v>8</v>
      </c>
      <c r="S396" s="1">
        <v>30</v>
      </c>
      <c r="T396" s="1">
        <v>38</v>
      </c>
      <c r="U396" s="253">
        <v>4</v>
      </c>
      <c r="V396" s="1">
        <v>55</v>
      </c>
      <c r="W396" s="44">
        <v>98</v>
      </c>
      <c r="X396" s="40">
        <f>_xlfn.XLOOKUP("Ripening", CropPhenology_VegetableMarrow[Main_Stage], CropPhenology_VegetableMarrow[Start_GDD], "Not Found")</f>
        <v>921</v>
      </c>
      <c r="Y396" s="4" cm="1">
        <f t="array" ref="Y396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Z396" s="3">
        <f t="shared" si="241"/>
        <v>14.880797773654916</v>
      </c>
      <c r="AA396" s="41">
        <f t="shared" si="242"/>
        <v>75.264781971760755</v>
      </c>
      <c r="AB396" s="1">
        <v>8</v>
      </c>
      <c r="AC396" s="1">
        <v>18</v>
      </c>
      <c r="AD396" s="1">
        <v>4</v>
      </c>
      <c r="AE396" s="1">
        <v>85</v>
      </c>
      <c r="AF396" s="1">
        <v>12</v>
      </c>
      <c r="AG396" s="1">
        <v>5</v>
      </c>
      <c r="AH396" s="3">
        <f t="shared" si="174"/>
        <v>2.6439988901404714</v>
      </c>
      <c r="AI396" s="1">
        <v>6</v>
      </c>
      <c r="AJ396" s="1">
        <v>7</v>
      </c>
      <c r="AK396" s="159">
        <v>2.5</v>
      </c>
      <c r="AL396" s="150">
        <v>0.09</v>
      </c>
      <c r="AM396" s="1">
        <v>350</v>
      </c>
      <c r="AN396" s="1">
        <v>500</v>
      </c>
      <c r="AO396" s="48">
        <v>2</v>
      </c>
      <c r="AP396" s="44">
        <v>60</v>
      </c>
      <c r="AQ396" s="42">
        <v>0.8</v>
      </c>
      <c r="AR396" s="1">
        <v>60</v>
      </c>
      <c r="AS396" s="1">
        <v>30</v>
      </c>
      <c r="AT396" s="1">
        <v>1</v>
      </c>
      <c r="AU396" s="4">
        <f t="shared" si="243"/>
        <v>5.5555555555555554</v>
      </c>
      <c r="AV396" s="3">
        <f t="shared" si="244"/>
        <v>1.1100000000000001</v>
      </c>
      <c r="AW396" s="1">
        <v>85</v>
      </c>
      <c r="AX396" s="3">
        <f t="shared" ref="AX396:AX403" si="247">IFERROR((AU396*AW396/100),0)</f>
        <v>4.7222222222222223</v>
      </c>
      <c r="AY396" s="1">
        <v>1</v>
      </c>
      <c r="AZ396" s="4">
        <f t="shared" si="245"/>
        <v>4.7222222222222223</v>
      </c>
      <c r="BA396" s="49">
        <v>0.8</v>
      </c>
      <c r="BB396" s="4">
        <f t="shared" si="246"/>
        <v>3.7777777777777781</v>
      </c>
      <c r="BC396" s="50">
        <v>1.059149799465241</v>
      </c>
      <c r="BD396" s="69">
        <f>IFERROR(
  MAX(0.05, MIN(0.5, CropNorms_VegetableMarrow[[#This Row],[Leaf_Area_Per_Shoot_m2]] * CropNorms_VegetableMarrow[[#This Row],[Shoot_Bearing_m2]] )),
  0.2
)</f>
        <v>0.5</v>
      </c>
      <c r="BE396" s="4">
        <f>_xlfn.XLOOKUP(CropNorms_VegetableMarrow[[#This Row],[LAI_Start_BBCH]], CropPhenology_VegetableMarrow[Sub_Stage], CropPhenology_VegetableMarrow[Start_GDD], "Not Found")</f>
        <v>131</v>
      </c>
      <c r="BF396" s="3">
        <f>ROUND(CropNorms_VegetableMarrow[[#This Row],[Shoot_Bearing_m2]]*CropNorms_VegetableMarrow[[#This Row],[Leaf_Area_Per_Shoot_m2]],2)</f>
        <v>4</v>
      </c>
      <c r="BG396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H396" s="3">
        <f>IF(CropNorms_VegetableMarrow[[#This Row],[Max_LAI]]&gt;=1.2, 0.85*CropNorms_VegetableMarrow[[#This Row],[Max_LAI]], 1)</f>
        <v>3.4</v>
      </c>
      <c r="BI396" s="41">
        <f>_xlfn.XLOOKUP(CropNorms_VegetableMarrow[[#This Row],[LAI_End_BBCH]], CropPhenology_VegetableMarrow[Sub_Stage], CropPhenology_VegetableMarrow[End_GDD], "Not Found")</f>
        <v>920</v>
      </c>
      <c r="BJ396" s="3" cm="1">
        <f t="array" ref="BJ396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K396" s="3" cm="1">
        <f t="array" ref="BK396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L396" s="3" cm="1">
        <f t="array" ref="BL396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M396" s="3" cm="1">
        <f t="array" ref="BM396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6" s="42">
        <v>0.75</v>
      </c>
      <c r="BO396" s="43">
        <v>0.85</v>
      </c>
      <c r="BP396" s="42">
        <v>9.08</v>
      </c>
      <c r="BQ396" s="43" t="s">
        <v>1741</v>
      </c>
      <c r="BR396" s="3" t="str" cm="1">
        <f t="array" ref="BR396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6" s="3" t="str" cm="1">
        <f t="array" ref="BS396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T396" s="3" t="str" cm="1">
        <f t="array" ref="BT396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U396" s="70" t="str" cm="1">
        <f t="array" ref="BU396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96" s="48">
        <v>100</v>
      </c>
      <c r="BW396" s="1">
        <v>50</v>
      </c>
      <c r="BX396" s="44">
        <v>50</v>
      </c>
      <c r="BY396" s="51">
        <v>45731</v>
      </c>
      <c r="BZ396" s="5">
        <v>45762</v>
      </c>
      <c r="CA396" s="85">
        <v>0</v>
      </c>
      <c r="CB396" s="2">
        <v>0</v>
      </c>
      <c r="CC396" s="2">
        <v>1</v>
      </c>
      <c r="CD396" s="2">
        <v>1</v>
      </c>
      <c r="CE396" s="2">
        <v>1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</row>
    <row r="397" spans="2:95" x14ac:dyDescent="0.25">
      <c r="B397" s="67" t="s">
        <v>697</v>
      </c>
      <c r="C397" s="1" t="s">
        <v>316</v>
      </c>
      <c r="K397" s="1" t="s">
        <v>1763</v>
      </c>
      <c r="L397" s="1" t="s">
        <v>1750</v>
      </c>
      <c r="M397" s="1" t="s">
        <v>362</v>
      </c>
      <c r="N397" s="6">
        <v>14</v>
      </c>
      <c r="O397" s="1" t="s">
        <v>4</v>
      </c>
      <c r="P397" s="1">
        <v>20</v>
      </c>
      <c r="Q397" s="1">
        <v>15</v>
      </c>
      <c r="R397" s="1">
        <v>8</v>
      </c>
      <c r="S397" s="1">
        <v>30</v>
      </c>
      <c r="T397" s="1">
        <v>38</v>
      </c>
      <c r="U397" s="253">
        <v>4</v>
      </c>
      <c r="V397" s="1">
        <v>55</v>
      </c>
      <c r="W397" s="44">
        <v>98</v>
      </c>
      <c r="X397" s="40">
        <f>_xlfn.XLOOKUP("Ripening", CropPhenology_VegetableMarrow[Main_Stage], CropPhenology_VegetableMarrow[Start_GDD], "Not Found")</f>
        <v>921</v>
      </c>
      <c r="Y397" s="4" cm="1">
        <f t="array" ref="Y397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Z397" s="3">
        <f t="shared" si="241"/>
        <v>14.880797773654916</v>
      </c>
      <c r="AA397" s="41">
        <f t="shared" si="242"/>
        <v>75.264781971760755</v>
      </c>
      <c r="AB397" s="1">
        <v>8</v>
      </c>
      <c r="AC397" s="1">
        <v>18</v>
      </c>
      <c r="AD397" s="1">
        <v>4</v>
      </c>
      <c r="AE397" s="1">
        <v>85</v>
      </c>
      <c r="AF397" s="1">
        <v>12</v>
      </c>
      <c r="AG397" s="1">
        <v>5</v>
      </c>
      <c r="AH397" s="3">
        <f t="shared" si="174"/>
        <v>2.6439988901404714</v>
      </c>
      <c r="AI397" s="1">
        <v>6</v>
      </c>
      <c r="AJ397" s="1">
        <v>7</v>
      </c>
      <c r="AK397" s="159">
        <v>2.5</v>
      </c>
      <c r="AL397" s="150">
        <v>0.09</v>
      </c>
      <c r="AM397" s="1">
        <v>350</v>
      </c>
      <c r="AN397" s="1">
        <v>500</v>
      </c>
      <c r="AO397" s="48">
        <v>2</v>
      </c>
      <c r="AP397" s="44">
        <v>60</v>
      </c>
      <c r="AQ397" s="42">
        <v>0.82</v>
      </c>
      <c r="AR397" s="1">
        <v>60</v>
      </c>
      <c r="AS397" s="1">
        <v>30</v>
      </c>
      <c r="AT397" s="1">
        <v>1</v>
      </c>
      <c r="AU397" s="4">
        <f t="shared" si="243"/>
        <v>5.5555555555555554</v>
      </c>
      <c r="AV397" s="3">
        <f t="shared" si="244"/>
        <v>1.1100000000000001</v>
      </c>
      <c r="AW397" s="1">
        <v>85</v>
      </c>
      <c r="AX397" s="3">
        <f t="shared" si="247"/>
        <v>4.7222222222222223</v>
      </c>
      <c r="AY397" s="1">
        <v>1</v>
      </c>
      <c r="AZ397" s="4">
        <f t="shared" si="245"/>
        <v>4.7222222222222223</v>
      </c>
      <c r="BA397" s="49">
        <v>0.8</v>
      </c>
      <c r="BB397" s="4">
        <f t="shared" si="246"/>
        <v>3.7777777777777781</v>
      </c>
      <c r="BC397" s="50">
        <v>1.059149799465241</v>
      </c>
      <c r="BD397" s="69">
        <f>IFERROR(
  MAX(0.05, MIN(0.5, CropNorms_VegetableMarrow[[#This Row],[Leaf_Area_Per_Shoot_m2]] * CropNorms_VegetableMarrow[[#This Row],[Shoot_Bearing_m2]] )),
  0.2
)</f>
        <v>0.5</v>
      </c>
      <c r="BE397" s="4">
        <f>_xlfn.XLOOKUP(CropNorms_VegetableMarrow[[#This Row],[LAI_Start_BBCH]], CropPhenology_VegetableMarrow[Sub_Stage], CropPhenology_VegetableMarrow[Start_GDD], "Not Found")</f>
        <v>131</v>
      </c>
      <c r="BF397" s="3">
        <f>ROUND(CropNorms_VegetableMarrow[[#This Row],[Shoot_Bearing_m2]]*CropNorms_VegetableMarrow[[#This Row],[Leaf_Area_Per_Shoot_m2]],2)</f>
        <v>4</v>
      </c>
      <c r="BG397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H397" s="3">
        <f>IF(CropNorms_VegetableMarrow[[#This Row],[Max_LAI]]&gt;=1.2, 0.85*CropNorms_VegetableMarrow[[#This Row],[Max_LAI]], 1)</f>
        <v>3.4</v>
      </c>
      <c r="BI397" s="41">
        <f>_xlfn.XLOOKUP(CropNorms_VegetableMarrow[[#This Row],[LAI_End_BBCH]], CropPhenology_VegetableMarrow[Sub_Stage], CropPhenology_VegetableMarrow[End_GDD], "Not Found")</f>
        <v>920</v>
      </c>
      <c r="BJ397" s="3" cm="1">
        <f t="array" ref="BJ397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K397" s="3" cm="1">
        <f t="array" ref="BK397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L397" s="3" cm="1">
        <f t="array" ref="BL397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M397" s="3" cm="1">
        <f t="array" ref="BM397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7" s="42">
        <v>0.75</v>
      </c>
      <c r="BO397" s="43">
        <v>0.85</v>
      </c>
      <c r="BP397" s="42">
        <v>9.08</v>
      </c>
      <c r="BQ397" s="43" t="s">
        <v>1741</v>
      </c>
      <c r="BR397" s="3" t="str" cm="1">
        <f t="array" ref="BR397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7" s="3" t="str" cm="1">
        <f t="array" ref="BS397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T397" s="3" t="str" cm="1">
        <f t="array" ref="BT397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U397" s="70" t="str" cm="1">
        <f t="array" ref="BU397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97" s="48">
        <v>100</v>
      </c>
      <c r="BW397" s="1">
        <v>50</v>
      </c>
      <c r="BX397" s="44">
        <v>50</v>
      </c>
      <c r="BY397" s="51">
        <v>45731</v>
      </c>
      <c r="BZ397" s="5">
        <v>45762</v>
      </c>
      <c r="CA397" s="85">
        <v>0</v>
      </c>
      <c r="CB397" s="2">
        <v>0</v>
      </c>
      <c r="CC397" s="2">
        <v>1</v>
      </c>
      <c r="CD397" s="2">
        <v>1</v>
      </c>
      <c r="CE397" s="2">
        <v>1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</row>
    <row r="398" spans="2:95" x14ac:dyDescent="0.25">
      <c r="B398" s="67" t="s">
        <v>697</v>
      </c>
      <c r="C398" s="1" t="s">
        <v>317</v>
      </c>
      <c r="K398" s="1" t="s">
        <v>1763</v>
      </c>
      <c r="L398" s="1" t="s">
        <v>1750</v>
      </c>
      <c r="M398" s="1" t="s">
        <v>362</v>
      </c>
      <c r="N398" s="6">
        <v>14</v>
      </c>
      <c r="O398" s="1" t="s">
        <v>4</v>
      </c>
      <c r="P398" s="1">
        <v>20</v>
      </c>
      <c r="Q398" s="1">
        <v>15</v>
      </c>
      <c r="R398" s="1">
        <v>8</v>
      </c>
      <c r="S398" s="1">
        <v>30</v>
      </c>
      <c r="T398" s="1">
        <v>38</v>
      </c>
      <c r="U398" s="253">
        <v>4</v>
      </c>
      <c r="V398" s="1">
        <v>55</v>
      </c>
      <c r="W398" s="44">
        <v>98</v>
      </c>
      <c r="X398" s="40">
        <f>_xlfn.XLOOKUP("Ripening", CropPhenology_VegetableMarrow[Main_Stage], CropPhenology_VegetableMarrow[Start_GDD], "Not Found")</f>
        <v>921</v>
      </c>
      <c r="Y398" s="4" cm="1">
        <f t="array" ref="Y398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Z398" s="3">
        <f t="shared" si="241"/>
        <v>14.880797773654916</v>
      </c>
      <c r="AA398" s="41">
        <f t="shared" si="242"/>
        <v>75.264781971760755</v>
      </c>
      <c r="AB398" s="1">
        <v>8</v>
      </c>
      <c r="AC398" s="1">
        <v>18</v>
      </c>
      <c r="AD398" s="1">
        <v>4</v>
      </c>
      <c r="AE398" s="1">
        <v>85</v>
      </c>
      <c r="AF398" s="1">
        <v>12</v>
      </c>
      <c r="AG398" s="1">
        <v>5</v>
      </c>
      <c r="AH398" s="3">
        <f t="shared" si="174"/>
        <v>2.6439988901404714</v>
      </c>
      <c r="AI398" s="1">
        <v>6</v>
      </c>
      <c r="AJ398" s="1">
        <v>7</v>
      </c>
      <c r="AK398" s="159">
        <v>2.5</v>
      </c>
      <c r="AL398" s="150">
        <v>0.09</v>
      </c>
      <c r="AM398" s="1">
        <v>350</v>
      </c>
      <c r="AN398" s="1">
        <v>500</v>
      </c>
      <c r="AO398" s="48">
        <v>2</v>
      </c>
      <c r="AP398" s="44">
        <v>60</v>
      </c>
      <c r="AQ398" s="42">
        <v>0.76</v>
      </c>
      <c r="AR398" s="1">
        <v>60</v>
      </c>
      <c r="AS398" s="1">
        <v>30</v>
      </c>
      <c r="AT398" s="1">
        <v>1</v>
      </c>
      <c r="AU398" s="4">
        <f t="shared" si="243"/>
        <v>5.5555555555555554</v>
      </c>
      <c r="AV398" s="3">
        <f t="shared" si="244"/>
        <v>1.1100000000000001</v>
      </c>
      <c r="AW398" s="1">
        <v>85</v>
      </c>
      <c r="AX398" s="3">
        <f t="shared" si="247"/>
        <v>4.7222222222222223</v>
      </c>
      <c r="AY398" s="1">
        <v>1</v>
      </c>
      <c r="AZ398" s="4">
        <f t="shared" si="245"/>
        <v>4.7222222222222223</v>
      </c>
      <c r="BA398" s="49">
        <v>0.8</v>
      </c>
      <c r="BB398" s="4">
        <f t="shared" si="246"/>
        <v>3.7777777777777781</v>
      </c>
      <c r="BC398" s="50">
        <v>1.059149799465241</v>
      </c>
      <c r="BD398" s="69">
        <f>IFERROR(
  MAX(0.05, MIN(0.5, CropNorms_VegetableMarrow[[#This Row],[Leaf_Area_Per_Shoot_m2]] * CropNorms_VegetableMarrow[[#This Row],[Shoot_Bearing_m2]] )),
  0.2
)</f>
        <v>0.5</v>
      </c>
      <c r="BE398" s="4">
        <f>_xlfn.XLOOKUP(CropNorms_VegetableMarrow[[#This Row],[LAI_Start_BBCH]], CropPhenology_VegetableMarrow[Sub_Stage], CropPhenology_VegetableMarrow[Start_GDD], "Not Found")</f>
        <v>131</v>
      </c>
      <c r="BF398" s="3">
        <f>ROUND(CropNorms_VegetableMarrow[[#This Row],[Shoot_Bearing_m2]]*CropNorms_VegetableMarrow[[#This Row],[Leaf_Area_Per_Shoot_m2]],2)</f>
        <v>4</v>
      </c>
      <c r="BG398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H398" s="3">
        <f>IF(CropNorms_VegetableMarrow[[#This Row],[Max_LAI]]&gt;=1.2, 0.85*CropNorms_VegetableMarrow[[#This Row],[Max_LAI]], 1)</f>
        <v>3.4</v>
      </c>
      <c r="BI398" s="41">
        <f>_xlfn.XLOOKUP(CropNorms_VegetableMarrow[[#This Row],[LAI_End_BBCH]], CropPhenology_VegetableMarrow[Sub_Stage], CropPhenology_VegetableMarrow[End_GDD], "Not Found")</f>
        <v>920</v>
      </c>
      <c r="BJ398" s="3" cm="1">
        <f t="array" ref="BJ398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K398" s="3" cm="1">
        <f t="array" ref="BK398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L398" s="3" cm="1">
        <f t="array" ref="BL398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M398" s="3" cm="1">
        <f t="array" ref="BM398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8" s="42">
        <v>0.75</v>
      </c>
      <c r="BO398" s="43">
        <v>0.85</v>
      </c>
      <c r="BP398" s="42">
        <v>9.08</v>
      </c>
      <c r="BQ398" s="43" t="s">
        <v>1741</v>
      </c>
      <c r="BR398" s="3" t="str" cm="1">
        <f t="array" ref="BR398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8" s="3" t="str" cm="1">
        <f t="array" ref="BS398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T398" s="3" t="str" cm="1">
        <f t="array" ref="BT398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U398" s="70" t="str" cm="1">
        <f t="array" ref="BU398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98" s="48">
        <v>100</v>
      </c>
      <c r="BW398" s="1">
        <v>50</v>
      </c>
      <c r="BX398" s="44">
        <v>50</v>
      </c>
      <c r="BY398" s="51">
        <v>45731</v>
      </c>
      <c r="BZ398" s="5">
        <v>45762</v>
      </c>
      <c r="CA398" s="85">
        <v>0</v>
      </c>
      <c r="CB398" s="2">
        <v>0</v>
      </c>
      <c r="CC398" s="2">
        <v>1</v>
      </c>
      <c r="CD398" s="2">
        <v>1</v>
      </c>
      <c r="CE398" s="2">
        <v>1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</row>
    <row r="399" spans="2:95" x14ac:dyDescent="0.25">
      <c r="B399" s="67" t="s">
        <v>697</v>
      </c>
      <c r="C399" s="1" t="s">
        <v>318</v>
      </c>
      <c r="K399" s="1" t="s">
        <v>1763</v>
      </c>
      <c r="L399" s="1" t="s">
        <v>1750</v>
      </c>
      <c r="M399" s="1" t="s">
        <v>362</v>
      </c>
      <c r="N399" s="6">
        <v>14</v>
      </c>
      <c r="O399" s="1" t="s">
        <v>4</v>
      </c>
      <c r="P399" s="1">
        <v>20</v>
      </c>
      <c r="Q399" s="1">
        <v>15</v>
      </c>
      <c r="R399" s="1">
        <v>8</v>
      </c>
      <c r="S399" s="1">
        <v>30</v>
      </c>
      <c r="T399" s="1">
        <v>38</v>
      </c>
      <c r="U399" s="253">
        <v>4</v>
      </c>
      <c r="V399" s="1">
        <v>55</v>
      </c>
      <c r="W399" s="44">
        <v>98</v>
      </c>
      <c r="X399" s="40">
        <f>_xlfn.XLOOKUP("Ripening", CropPhenology_VegetableMarrow[Main_Stage], CropPhenology_VegetableMarrow[Start_GDD], "Not Found")</f>
        <v>921</v>
      </c>
      <c r="Y399" s="4" cm="1">
        <f t="array" ref="Y399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Z399" s="3">
        <f t="shared" si="241"/>
        <v>14.880797773654916</v>
      </c>
      <c r="AA399" s="41">
        <f t="shared" si="242"/>
        <v>75.264781971760755</v>
      </c>
      <c r="AB399" s="1">
        <v>8</v>
      </c>
      <c r="AC399" s="1">
        <v>18</v>
      </c>
      <c r="AD399" s="1">
        <v>4</v>
      </c>
      <c r="AE399" s="1">
        <v>85</v>
      </c>
      <c r="AF399" s="1">
        <v>12</v>
      </c>
      <c r="AG399" s="1">
        <v>5</v>
      </c>
      <c r="AH399" s="3">
        <f t="shared" si="174"/>
        <v>2.6439988901404714</v>
      </c>
      <c r="AI399" s="1">
        <v>6</v>
      </c>
      <c r="AJ399" s="1">
        <v>7</v>
      </c>
      <c r="AK399" s="159">
        <v>2.5</v>
      </c>
      <c r="AL399" s="150">
        <v>0.09</v>
      </c>
      <c r="AM399" s="1">
        <v>350</v>
      </c>
      <c r="AN399" s="1">
        <v>500</v>
      </c>
      <c r="AO399" s="48">
        <v>2</v>
      </c>
      <c r="AP399" s="44">
        <v>60</v>
      </c>
      <c r="AQ399" s="42">
        <v>0.79</v>
      </c>
      <c r="AR399" s="1">
        <v>60</v>
      </c>
      <c r="AS399" s="1">
        <v>30</v>
      </c>
      <c r="AT399" s="1">
        <v>1</v>
      </c>
      <c r="AU399" s="4">
        <f t="shared" si="243"/>
        <v>5.5555555555555554</v>
      </c>
      <c r="AV399" s="3">
        <f t="shared" si="244"/>
        <v>1.1100000000000001</v>
      </c>
      <c r="AW399" s="1">
        <v>85</v>
      </c>
      <c r="AX399" s="3">
        <f t="shared" si="247"/>
        <v>4.7222222222222223</v>
      </c>
      <c r="AY399" s="1">
        <v>1</v>
      </c>
      <c r="AZ399" s="4">
        <f t="shared" si="245"/>
        <v>4.7222222222222223</v>
      </c>
      <c r="BA399" s="49">
        <v>0.8</v>
      </c>
      <c r="BB399" s="4">
        <f t="shared" si="246"/>
        <v>3.7777777777777781</v>
      </c>
      <c r="BC399" s="50">
        <v>1.059149799465241</v>
      </c>
      <c r="BD399" s="69">
        <f>IFERROR(
  MAX(0.05, MIN(0.5, CropNorms_VegetableMarrow[[#This Row],[Leaf_Area_Per_Shoot_m2]] * CropNorms_VegetableMarrow[[#This Row],[Shoot_Bearing_m2]] )),
  0.2
)</f>
        <v>0.5</v>
      </c>
      <c r="BE399" s="4">
        <f>_xlfn.XLOOKUP(CropNorms_VegetableMarrow[[#This Row],[LAI_Start_BBCH]], CropPhenology_VegetableMarrow[Sub_Stage], CropPhenology_VegetableMarrow[Start_GDD], "Not Found")</f>
        <v>131</v>
      </c>
      <c r="BF399" s="3">
        <f>ROUND(CropNorms_VegetableMarrow[[#This Row],[Shoot_Bearing_m2]]*CropNorms_VegetableMarrow[[#This Row],[Leaf_Area_Per_Shoot_m2]],2)</f>
        <v>4</v>
      </c>
      <c r="BG399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H399" s="3">
        <f>IF(CropNorms_VegetableMarrow[[#This Row],[Max_LAI]]&gt;=1.2, 0.85*CropNorms_VegetableMarrow[[#This Row],[Max_LAI]], 1)</f>
        <v>3.4</v>
      </c>
      <c r="BI399" s="41">
        <f>_xlfn.XLOOKUP(CropNorms_VegetableMarrow[[#This Row],[LAI_End_BBCH]], CropPhenology_VegetableMarrow[Sub_Stage], CropPhenology_VegetableMarrow[End_GDD], "Not Found")</f>
        <v>920</v>
      </c>
      <c r="BJ399" s="3" cm="1">
        <f t="array" ref="BJ399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K399" s="3" cm="1">
        <f t="array" ref="BK399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L399" s="3" cm="1">
        <f t="array" ref="BL399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M399" s="3" cm="1">
        <f t="array" ref="BM399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399" s="42">
        <v>0.75</v>
      </c>
      <c r="BO399" s="43">
        <v>0.85</v>
      </c>
      <c r="BP399" s="42">
        <v>9.08</v>
      </c>
      <c r="BQ399" s="43" t="s">
        <v>1741</v>
      </c>
      <c r="BR399" s="3" t="str" cm="1">
        <f t="array" ref="BR399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399" s="3" t="str" cm="1">
        <f t="array" ref="BS399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T399" s="3" t="str" cm="1">
        <f t="array" ref="BT399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U399" s="70" t="str" cm="1">
        <f t="array" ref="BU399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399" s="48">
        <v>100</v>
      </c>
      <c r="BW399" s="1">
        <v>50</v>
      </c>
      <c r="BX399" s="44">
        <v>50</v>
      </c>
      <c r="BY399" s="51">
        <v>45731</v>
      </c>
      <c r="BZ399" s="5">
        <v>45762</v>
      </c>
      <c r="CA399" s="85">
        <v>0</v>
      </c>
      <c r="CB399" s="2">
        <v>0</v>
      </c>
      <c r="CC399" s="2">
        <v>1</v>
      </c>
      <c r="CD399" s="2">
        <v>1</v>
      </c>
      <c r="CE399" s="2">
        <v>1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</row>
    <row r="400" spans="2:95" ht="11.25" thickBot="1" x14ac:dyDescent="0.3">
      <c r="B400" s="67" t="s">
        <v>697</v>
      </c>
      <c r="C400" s="1" t="s">
        <v>319</v>
      </c>
      <c r="K400" s="1" t="s">
        <v>1763</v>
      </c>
      <c r="L400" s="1" t="s">
        <v>1750</v>
      </c>
      <c r="M400" s="1" t="s">
        <v>362</v>
      </c>
      <c r="N400" s="6">
        <v>14</v>
      </c>
      <c r="O400" s="1" t="s">
        <v>4</v>
      </c>
      <c r="P400" s="1">
        <v>20</v>
      </c>
      <c r="Q400" s="1">
        <v>15</v>
      </c>
      <c r="R400" s="1">
        <v>8</v>
      </c>
      <c r="S400" s="1">
        <v>30</v>
      </c>
      <c r="T400" s="1">
        <v>38</v>
      </c>
      <c r="U400" s="254">
        <v>4</v>
      </c>
      <c r="V400" s="1">
        <v>55</v>
      </c>
      <c r="W400" s="44">
        <v>98</v>
      </c>
      <c r="X400" s="40">
        <f>_xlfn.XLOOKUP("Ripening", CropPhenology_VegetableMarrow[Main_Stage], CropPhenology_VegetableMarrow[Start_GDD], "Not Found")</f>
        <v>921</v>
      </c>
      <c r="Y400" s="4" cm="1">
        <f t="array" ref="Y400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Z400" s="3">
        <f t="shared" si="241"/>
        <v>14.880797773654916</v>
      </c>
      <c r="AA400" s="41">
        <f t="shared" si="242"/>
        <v>75.264781971760755</v>
      </c>
      <c r="AB400" s="1">
        <v>8</v>
      </c>
      <c r="AC400" s="1">
        <v>18</v>
      </c>
      <c r="AD400" s="1">
        <v>4</v>
      </c>
      <c r="AE400" s="1">
        <v>85</v>
      </c>
      <c r="AF400" s="1">
        <v>12</v>
      </c>
      <c r="AG400" s="1">
        <v>5</v>
      </c>
      <c r="AH400" s="3">
        <f t="shared" si="174"/>
        <v>2.6439988901404714</v>
      </c>
      <c r="AI400" s="1">
        <v>6</v>
      </c>
      <c r="AJ400" s="1">
        <v>7</v>
      </c>
      <c r="AK400" s="160">
        <v>2.5</v>
      </c>
      <c r="AL400" s="161">
        <v>0.09</v>
      </c>
      <c r="AM400" s="1">
        <v>350</v>
      </c>
      <c r="AN400" s="1">
        <v>500</v>
      </c>
      <c r="AO400" s="48">
        <v>2</v>
      </c>
      <c r="AP400" s="44">
        <v>60</v>
      </c>
      <c r="AQ400" s="42">
        <v>0.75</v>
      </c>
      <c r="AR400" s="1">
        <v>60</v>
      </c>
      <c r="AS400" s="1">
        <v>30</v>
      </c>
      <c r="AT400" s="1">
        <v>1</v>
      </c>
      <c r="AU400" s="4">
        <f t="shared" si="243"/>
        <v>5.5555555555555554</v>
      </c>
      <c r="AV400" s="3">
        <f t="shared" si="244"/>
        <v>1.1100000000000001</v>
      </c>
      <c r="AW400" s="1">
        <v>85</v>
      </c>
      <c r="AX400" s="3">
        <f t="shared" si="247"/>
        <v>4.7222222222222223</v>
      </c>
      <c r="AY400" s="1">
        <v>1</v>
      </c>
      <c r="AZ400" s="4">
        <f t="shared" si="245"/>
        <v>4.7222222222222223</v>
      </c>
      <c r="BA400" s="49">
        <v>0.8</v>
      </c>
      <c r="BB400" s="4">
        <f t="shared" si="246"/>
        <v>3.7777777777777781</v>
      </c>
      <c r="BC400" s="50">
        <v>1.059149799465241</v>
      </c>
      <c r="BD400" s="69">
        <f>IFERROR(
  MAX(0.05, MIN(0.5, CropNorms_VegetableMarrow[[#This Row],[Leaf_Area_Per_Shoot_m2]] * CropNorms_VegetableMarrow[[#This Row],[Shoot_Bearing_m2]] )),
  0.2
)</f>
        <v>0.5</v>
      </c>
      <c r="BE400" s="4">
        <f>_xlfn.XLOOKUP(CropNorms_VegetableMarrow[[#This Row],[LAI_Start_BBCH]], CropPhenology_VegetableMarrow[Sub_Stage], CropPhenology_VegetableMarrow[Start_GDD], "Not Found")</f>
        <v>131</v>
      </c>
      <c r="BF400" s="3">
        <f>ROUND(CropNorms_VegetableMarrow[[#This Row],[Shoot_Bearing_m2]]*CropNorms_VegetableMarrow[[#This Row],[Leaf_Area_Per_Shoot_m2]],2)</f>
        <v>4</v>
      </c>
      <c r="BG400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H400" s="3">
        <f>IF(CropNorms_VegetableMarrow[[#This Row],[Max_LAI]]&gt;=1.2, 0.85*CropNorms_VegetableMarrow[[#This Row],[Max_LAI]], 1)</f>
        <v>3.4</v>
      </c>
      <c r="BI400" s="41">
        <f>_xlfn.XLOOKUP(CropNorms_VegetableMarrow[[#This Row],[LAI_End_BBCH]], CropPhenology_VegetableMarrow[Sub_Stage], CropPhenology_VegetableMarrow[End_GDD], "Not Found")</f>
        <v>920</v>
      </c>
      <c r="BJ400" s="3" cm="1">
        <f t="array" ref="BJ400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K400" s="3" cm="1">
        <f t="array" ref="BK400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L400" s="3" cm="1">
        <f t="array" ref="BL400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M400" s="3" cm="1">
        <f t="array" ref="BM400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0" s="42">
        <v>0.75</v>
      </c>
      <c r="BO400" s="43">
        <v>0.85</v>
      </c>
      <c r="BP400" s="42">
        <v>9.08</v>
      </c>
      <c r="BQ400" s="43" t="s">
        <v>1741</v>
      </c>
      <c r="BR400" s="3" t="str" cm="1">
        <f t="array" ref="BR400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0" s="3" t="str" cm="1">
        <f t="array" ref="BS400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T400" s="3" t="str" cm="1">
        <f t="array" ref="BT400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U400" s="70" t="str" cm="1">
        <f t="array" ref="BU400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0" s="48">
        <v>100</v>
      </c>
      <c r="BW400" s="1">
        <v>50</v>
      </c>
      <c r="BX400" s="44">
        <v>50</v>
      </c>
      <c r="BY400" s="51">
        <v>45731</v>
      </c>
      <c r="BZ400" s="5">
        <v>45762</v>
      </c>
      <c r="CA400" s="85">
        <v>0</v>
      </c>
      <c r="CB400" s="2">
        <v>0</v>
      </c>
      <c r="CC400" s="2">
        <v>1</v>
      </c>
      <c r="CD400" s="2">
        <v>1</v>
      </c>
      <c r="CE400" s="2">
        <v>1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</row>
    <row r="401" spans="2:90" ht="11.25" thickBot="1" x14ac:dyDescent="0.3">
      <c r="B401" s="67"/>
      <c r="Y401" s="3"/>
      <c r="Z401" s="4"/>
      <c r="AG401" s="3"/>
      <c r="AR401" s="4"/>
      <c r="AS401" s="3"/>
      <c r="AU401" s="3"/>
      <c r="AW401" s="4"/>
      <c r="AX401" s="49"/>
      <c r="AY401" s="4"/>
      <c r="BV401" s="51"/>
      <c r="BW401" s="51"/>
    </row>
    <row r="402" spans="2:90" ht="11.25" thickBot="1" x14ac:dyDescent="0.3">
      <c r="B402" s="54" t="s">
        <v>1753</v>
      </c>
      <c r="C402" s="53" t="s">
        <v>1754</v>
      </c>
      <c r="D402" s="53" t="s">
        <v>1804</v>
      </c>
      <c r="E402" s="53" t="s">
        <v>1805</v>
      </c>
      <c r="F402" s="53" t="s">
        <v>1806</v>
      </c>
      <c r="G402" s="53" t="s">
        <v>1807</v>
      </c>
      <c r="H402" s="53" t="s">
        <v>1808</v>
      </c>
      <c r="I402" s="53" t="s">
        <v>1809</v>
      </c>
      <c r="J402" s="53" t="s">
        <v>1810</v>
      </c>
      <c r="K402" s="53" t="s">
        <v>1747</v>
      </c>
      <c r="L402" s="54" t="s">
        <v>1749</v>
      </c>
      <c r="M402" s="53" t="s">
        <v>357</v>
      </c>
      <c r="N402" s="55" t="s">
        <v>692</v>
      </c>
      <c r="O402" s="53" t="s">
        <v>325</v>
      </c>
      <c r="P402" s="53" t="s">
        <v>356</v>
      </c>
      <c r="Q402" s="53" t="s">
        <v>326</v>
      </c>
      <c r="R402" s="53" t="s">
        <v>327</v>
      </c>
      <c r="S402" s="53" t="s">
        <v>328</v>
      </c>
      <c r="T402" s="53" t="s">
        <v>329</v>
      </c>
      <c r="U402" s="250" t="s">
        <v>2349</v>
      </c>
      <c r="V402" s="53" t="s">
        <v>330</v>
      </c>
      <c r="W402" s="53" t="s">
        <v>331</v>
      </c>
      <c r="X402" s="56" t="s">
        <v>354</v>
      </c>
      <c r="Y402" s="57" t="s">
        <v>355</v>
      </c>
      <c r="Z402" s="58" t="s">
        <v>413</v>
      </c>
      <c r="AA402" s="59" t="s">
        <v>583</v>
      </c>
      <c r="AB402" s="53" t="s">
        <v>324</v>
      </c>
      <c r="AC402" s="53" t="s">
        <v>332</v>
      </c>
      <c r="AD402" s="53" t="s">
        <v>333</v>
      </c>
      <c r="AE402" s="53" t="s">
        <v>334</v>
      </c>
      <c r="AF402" s="53" t="s">
        <v>335</v>
      </c>
      <c r="AG402" s="53" t="s">
        <v>336</v>
      </c>
      <c r="AH402" s="60" t="s">
        <v>337</v>
      </c>
      <c r="AI402" s="53" t="s">
        <v>338</v>
      </c>
      <c r="AJ402" s="53" t="s">
        <v>339</v>
      </c>
      <c r="AK402" s="157" t="s">
        <v>2346</v>
      </c>
      <c r="AL402" s="158" t="s">
        <v>2347</v>
      </c>
      <c r="AM402" s="53" t="s">
        <v>340</v>
      </c>
      <c r="AN402" s="53" t="s">
        <v>341</v>
      </c>
      <c r="AO402" s="61" t="s">
        <v>342</v>
      </c>
      <c r="AP402" s="62" t="s">
        <v>343</v>
      </c>
      <c r="AQ402" s="55" t="s">
        <v>344</v>
      </c>
      <c r="AR402" s="53" t="s">
        <v>345</v>
      </c>
      <c r="AS402" s="53" t="s">
        <v>346</v>
      </c>
      <c r="AT402" s="53" t="s">
        <v>364</v>
      </c>
      <c r="AU402" s="60" t="s">
        <v>347</v>
      </c>
      <c r="AV402" s="58" t="s">
        <v>363</v>
      </c>
      <c r="AW402" s="53" t="s">
        <v>348</v>
      </c>
      <c r="AX402" s="58" t="s">
        <v>349</v>
      </c>
      <c r="AY402" s="53" t="s">
        <v>366</v>
      </c>
      <c r="AZ402" s="60" t="s">
        <v>350</v>
      </c>
      <c r="BA402" s="53" t="s">
        <v>365</v>
      </c>
      <c r="BB402" s="60" t="s">
        <v>1827</v>
      </c>
      <c r="BC402" s="63" t="s">
        <v>351</v>
      </c>
      <c r="BD402" s="71" t="s">
        <v>1811</v>
      </c>
      <c r="BE402" s="57" t="s">
        <v>352</v>
      </c>
      <c r="BF402" s="58" t="s">
        <v>1812</v>
      </c>
      <c r="BG402" s="57" t="s">
        <v>1752</v>
      </c>
      <c r="BH402" s="60" t="s">
        <v>1813</v>
      </c>
      <c r="BI402" s="59" t="s">
        <v>353</v>
      </c>
      <c r="BJ402" s="71" t="s">
        <v>1828</v>
      </c>
      <c r="BK402" s="58" t="s">
        <v>1829</v>
      </c>
      <c r="BL402" s="58" t="s">
        <v>1830</v>
      </c>
      <c r="BM402" s="72" t="s">
        <v>1831</v>
      </c>
      <c r="BN402" s="64" t="s">
        <v>1154</v>
      </c>
      <c r="BO402" s="65" t="s">
        <v>1742</v>
      </c>
      <c r="BP402" s="64" t="s">
        <v>1155</v>
      </c>
      <c r="BQ402" s="65" t="s">
        <v>1755</v>
      </c>
      <c r="BR402" s="58" t="s">
        <v>367</v>
      </c>
      <c r="BS402" s="58" t="s">
        <v>1751</v>
      </c>
      <c r="BT402" s="58" t="s">
        <v>368</v>
      </c>
      <c r="BU402" s="60" t="s">
        <v>1814</v>
      </c>
      <c r="BV402" s="61" t="s">
        <v>369</v>
      </c>
      <c r="BW402" s="53" t="s">
        <v>370</v>
      </c>
      <c r="BX402" s="62" t="s">
        <v>371</v>
      </c>
      <c r="BY402" s="53" t="s">
        <v>359</v>
      </c>
      <c r="BZ402" s="53" t="s">
        <v>361</v>
      </c>
      <c r="CA402" s="93" t="s">
        <v>1815</v>
      </c>
      <c r="CB402" s="94" t="s">
        <v>1816</v>
      </c>
      <c r="CC402" s="94" t="s">
        <v>1817</v>
      </c>
      <c r="CD402" s="94" t="s">
        <v>1818</v>
      </c>
      <c r="CE402" s="94" t="s">
        <v>1819</v>
      </c>
      <c r="CF402" s="94" t="s">
        <v>1820</v>
      </c>
      <c r="CG402" s="94" t="s">
        <v>1821</v>
      </c>
      <c r="CH402" s="94" t="s">
        <v>1822</v>
      </c>
      <c r="CI402" s="94" t="s">
        <v>1823</v>
      </c>
      <c r="CJ402" s="94" t="s">
        <v>1824</v>
      </c>
      <c r="CK402" s="94" t="s">
        <v>1825</v>
      </c>
      <c r="CL402" s="94" t="s">
        <v>1826</v>
      </c>
    </row>
    <row r="403" spans="2:90" x14ac:dyDescent="0.25">
      <c r="B403" s="27" t="s">
        <v>320</v>
      </c>
      <c r="C403" s="1" t="s">
        <v>1862</v>
      </c>
      <c r="D403" s="1" t="s">
        <v>1832</v>
      </c>
      <c r="E403" s="1" t="s">
        <v>1876</v>
      </c>
      <c r="F403" s="1">
        <v>120</v>
      </c>
      <c r="G403" s="1" t="s">
        <v>1879</v>
      </c>
      <c r="K403" s="1" t="s">
        <v>1763</v>
      </c>
      <c r="L403" s="1" t="s">
        <v>1750</v>
      </c>
      <c r="M403" s="1" t="s">
        <v>362</v>
      </c>
      <c r="N403" s="6">
        <v>10.82</v>
      </c>
      <c r="O403" s="1" t="s">
        <v>4</v>
      </c>
      <c r="P403" s="1">
        <v>60</v>
      </c>
      <c r="Q403" s="1">
        <v>15</v>
      </c>
      <c r="R403" s="1">
        <v>10</v>
      </c>
      <c r="S403" s="1">
        <v>30</v>
      </c>
      <c r="T403" s="1">
        <v>38</v>
      </c>
      <c r="U403" s="253">
        <v>5</v>
      </c>
      <c r="V403" s="1">
        <v>80</v>
      </c>
      <c r="W403" s="44">
        <v>115</v>
      </c>
      <c r="X403" s="40">
        <f>_xlfn.XLOOKUP("Ripening", CropPhenology_Watermelon[Main_Stage], CropPhenology_Watermelon[Start_GDD], "Not Found")</f>
        <v>1301</v>
      </c>
      <c r="Y403" s="4" cm="1">
        <f t="array" ref="Y403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3" s="3">
        <f t="shared" ref="Z403:Z416" si="248">MIN(Y403/V403,MAX(X403/W403,R403,(X403/W403+Y403/V403)/2))</f>
        <v>15.344021739130435</v>
      </c>
      <c r="AA403" s="41">
        <f t="shared" ref="AA403:AA416" si="249">Y403/Z403</f>
        <v>101.01654092728367</v>
      </c>
      <c r="AB403" s="1">
        <v>8</v>
      </c>
      <c r="AC403" s="1">
        <v>18</v>
      </c>
      <c r="AD403" s="1">
        <v>4</v>
      </c>
      <c r="AE403" s="1">
        <v>85</v>
      </c>
      <c r="AF403" s="1">
        <v>12</v>
      </c>
      <c r="AG403" s="1">
        <v>4</v>
      </c>
      <c r="AH403" s="3">
        <f t="shared" si="174"/>
        <v>2.4649428471248247</v>
      </c>
      <c r="AI403" s="1">
        <v>6</v>
      </c>
      <c r="AJ403" s="1">
        <v>8</v>
      </c>
      <c r="AK403" s="159">
        <v>2.5</v>
      </c>
      <c r="AL403" s="150">
        <v>0.09</v>
      </c>
      <c r="AM403" s="1">
        <v>400</v>
      </c>
      <c r="AN403" s="1">
        <v>550</v>
      </c>
      <c r="AO403" s="48">
        <v>3</v>
      </c>
      <c r="AP403" s="44">
        <v>150</v>
      </c>
      <c r="AQ403" s="42">
        <v>0.78</v>
      </c>
      <c r="AR403" s="1">
        <v>100</v>
      </c>
      <c r="AS403" s="1">
        <v>40</v>
      </c>
      <c r="AT403" s="1">
        <v>3</v>
      </c>
      <c r="AU403" s="4">
        <f>IFERROR(10000/(AS403*AR403),0)*AT403</f>
        <v>7.5</v>
      </c>
      <c r="AV403" s="3">
        <f t="shared" ref="AV403:AV416" si="250">ROUND((P403/1000000)*AU403*10000,2)</f>
        <v>4.5</v>
      </c>
      <c r="AW403" s="1">
        <v>85</v>
      </c>
      <c r="AX403" s="3">
        <f t="shared" si="247"/>
        <v>6.375</v>
      </c>
      <c r="AY403" s="1">
        <v>1</v>
      </c>
      <c r="AZ403" s="4">
        <f t="shared" ref="AZ403" si="251">IFERROR(AX403*AY403,0)</f>
        <v>6.375</v>
      </c>
      <c r="BA403" s="49">
        <v>0.86</v>
      </c>
      <c r="BB403" s="4">
        <f t="shared" ref="BB403:BB416" si="252">IFERROR(AZ403*BA403,0)</f>
        <v>5.4824999999999999</v>
      </c>
      <c r="BC403" s="50">
        <v>1.0587625771038829</v>
      </c>
      <c r="BD403" s="69">
        <f>IFERROR(
  MAX(0.05, MIN(0.5, CropNorms_Watermelon[[#This Row],[Leaf_Area_Per_Shoot_m2]] * CropNorms_Watermelon[[#This Row],[Shoot_Bearing_m2]] )),
  0.2
)</f>
        <v>0.5</v>
      </c>
      <c r="BE403" s="4">
        <f>_xlfn.XLOOKUP(CropNorms_Watermelon[[#This Row],[LAI_Start_BBCH]], CropPhenology_Watermelon[Sub_Stage], CropPhenology_Watermelon[Start_GDD], "Not Found")</f>
        <v>131</v>
      </c>
      <c r="BF403" s="3">
        <f t="shared" ref="BF403:BF416" si="253">ROUND(BB403*BC403,2)</f>
        <v>5.8</v>
      </c>
      <c r="BG403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3" s="3">
        <f>IF(CropNorms_Watermelon[[#This Row],[Max_LAI]]&gt;=1.2, 0.85*CropNorms_Watermelon[[#This Row],[Max_LAI]], 1)</f>
        <v>4.93</v>
      </c>
      <c r="BI403" s="41">
        <f>_xlfn.XLOOKUP(CropNorms_Watermelon[[#This Row],[LAI_End_BBCH]], CropPhenology_Watermelon[Sub_Stage], CropPhenology_Watermelon[End_GDD], "Not Found")</f>
        <v>1300</v>
      </c>
      <c r="BJ403" s="3" cm="1">
        <f t="array" ref="BJ403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3" s="3" cm="1">
        <f t="array" ref="BK40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3" s="3" cm="1">
        <f t="array" ref="BL403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3" s="3" cm="1">
        <f t="array" ref="BM40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3" s="42">
        <v>0.75</v>
      </c>
      <c r="BO403" s="43">
        <v>0.92</v>
      </c>
      <c r="BP403" s="42">
        <v>27.24</v>
      </c>
      <c r="BQ403" s="43" t="s">
        <v>1741</v>
      </c>
      <c r="BR403" s="3" t="str" cm="1">
        <f t="array" ref="BR40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3" s="3" t="str" cm="1">
        <f t="array" ref="BS40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3" s="3" t="str" cm="1">
        <f t="array" ref="BT403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3" s="3" t="str" cm="1">
        <f t="array" ref="BU403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3" s="48">
        <v>100</v>
      </c>
      <c r="BW403" s="1">
        <v>50</v>
      </c>
      <c r="BX403" s="44">
        <v>70</v>
      </c>
      <c r="BY403" s="51">
        <v>44958</v>
      </c>
      <c r="BZ403" s="51">
        <v>45046</v>
      </c>
      <c r="CA403" s="95">
        <v>0</v>
      </c>
      <c r="CB403" s="96">
        <v>0</v>
      </c>
      <c r="CC403" s="96">
        <v>1</v>
      </c>
      <c r="CD403" s="96">
        <v>1</v>
      </c>
      <c r="CE403" s="96">
        <v>1</v>
      </c>
      <c r="CF403" s="96">
        <v>0</v>
      </c>
      <c r="CG403" s="96">
        <v>0</v>
      </c>
      <c r="CH403" s="96">
        <v>0</v>
      </c>
      <c r="CI403" s="96">
        <v>0</v>
      </c>
      <c r="CJ403" s="96">
        <v>0</v>
      </c>
      <c r="CK403" s="96">
        <v>0</v>
      </c>
      <c r="CL403" s="97">
        <v>0</v>
      </c>
    </row>
    <row r="404" spans="2:90" x14ac:dyDescent="0.25">
      <c r="B404" s="27" t="s">
        <v>320</v>
      </c>
      <c r="C404" s="1" t="s">
        <v>1863</v>
      </c>
      <c r="D404" s="1" t="s">
        <v>1832</v>
      </c>
      <c r="E404" s="1" t="s">
        <v>1835</v>
      </c>
      <c r="F404" s="1">
        <v>180</v>
      </c>
      <c r="G404" s="1" t="s">
        <v>1878</v>
      </c>
      <c r="I404" s="1" t="s">
        <v>1884</v>
      </c>
      <c r="K404" s="1" t="s">
        <v>1763</v>
      </c>
      <c r="L404" s="1" t="s">
        <v>1750</v>
      </c>
      <c r="M404" s="1" t="s">
        <v>362</v>
      </c>
      <c r="N404" s="6">
        <v>9.64</v>
      </c>
      <c r="O404" s="1" t="s">
        <v>4</v>
      </c>
      <c r="P404" s="1">
        <v>60</v>
      </c>
      <c r="Q404" s="1">
        <v>15</v>
      </c>
      <c r="R404" s="1">
        <v>10</v>
      </c>
      <c r="S404" s="1">
        <v>30</v>
      </c>
      <c r="T404" s="1">
        <v>38</v>
      </c>
      <c r="U404" s="253">
        <v>5</v>
      </c>
      <c r="V404" s="1">
        <v>80</v>
      </c>
      <c r="W404" s="44">
        <v>115</v>
      </c>
      <c r="X404" s="40">
        <f>_xlfn.XLOOKUP("Ripening", CropPhenology_Watermelon[Main_Stage], CropPhenology_Watermelon[Start_GDD], "Not Found")</f>
        <v>1301</v>
      </c>
      <c r="Y404" s="4" cm="1">
        <f t="array" ref="Y404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4" s="3">
        <f t="shared" si="248"/>
        <v>15.344021739130435</v>
      </c>
      <c r="AA404" s="41">
        <f t="shared" si="249"/>
        <v>101.01654092728367</v>
      </c>
      <c r="AB404" s="1">
        <v>8</v>
      </c>
      <c r="AC404" s="1">
        <v>18</v>
      </c>
      <c r="AD404" s="1">
        <v>4</v>
      </c>
      <c r="AE404" s="1">
        <v>85</v>
      </c>
      <c r="AF404" s="1">
        <v>12</v>
      </c>
      <c r="AG404" s="1">
        <v>4</v>
      </c>
      <c r="AH404" s="3">
        <f t="shared" ref="AH404:AH416" si="254">IFERROR((Y404-X404)/AA404,0)</f>
        <v>2.4649428471248247</v>
      </c>
      <c r="AI404" s="1">
        <v>6</v>
      </c>
      <c r="AJ404" s="1">
        <v>8</v>
      </c>
      <c r="AK404" s="159">
        <v>2.5</v>
      </c>
      <c r="AL404" s="150">
        <v>0.09</v>
      </c>
      <c r="AM404" s="1">
        <v>400</v>
      </c>
      <c r="AN404" s="1">
        <v>550</v>
      </c>
      <c r="AO404" s="48">
        <v>3</v>
      </c>
      <c r="AP404" s="44">
        <v>150</v>
      </c>
      <c r="AQ404" s="42">
        <v>0.8</v>
      </c>
      <c r="AR404" s="1">
        <v>100</v>
      </c>
      <c r="AS404" s="1">
        <v>40</v>
      </c>
      <c r="AT404" s="1">
        <v>3</v>
      </c>
      <c r="AU404" s="4">
        <f t="shared" ref="AU404:AU416" si="255">IFERROR(10000/(AS404*AR404),0)*AT404</f>
        <v>7.5</v>
      </c>
      <c r="AV404" s="3">
        <f t="shared" si="250"/>
        <v>4.5</v>
      </c>
      <c r="AW404" s="1">
        <v>85</v>
      </c>
      <c r="AX404" s="3">
        <f t="shared" ref="AX404:AX416" si="256">IFERROR((AU404*AW404/100),0)</f>
        <v>6.375</v>
      </c>
      <c r="AY404" s="1">
        <v>1</v>
      </c>
      <c r="AZ404" s="4">
        <f t="shared" ref="AZ404:AZ416" si="257">IFERROR(AX404*AY404,0)</f>
        <v>6.375</v>
      </c>
      <c r="BA404" s="49">
        <v>0.86</v>
      </c>
      <c r="BB404" s="4">
        <f t="shared" si="252"/>
        <v>5.4824999999999999</v>
      </c>
      <c r="BC404" s="50">
        <v>1.0587625771038829</v>
      </c>
      <c r="BD404" s="69">
        <f>IFERROR(
  MAX(0.05, MIN(0.5, CropNorms_Watermelon[[#This Row],[Leaf_Area_Per_Shoot_m2]] * CropNorms_Watermelon[[#This Row],[Shoot_Bearing_m2]] )),
  0.2
)</f>
        <v>0.5</v>
      </c>
      <c r="BE404" s="4">
        <f>_xlfn.XLOOKUP(CropNorms_Watermelon[[#This Row],[LAI_Start_BBCH]], CropPhenology_Watermelon[Sub_Stage], CropPhenology_Watermelon[Start_GDD], "Not Found")</f>
        <v>131</v>
      </c>
      <c r="BF404" s="3">
        <f t="shared" si="253"/>
        <v>5.8</v>
      </c>
      <c r="BG404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4" s="3">
        <f>IF(CropNorms_Watermelon[[#This Row],[Max_LAI]]&gt;=1.2, 0.85*CropNorms_Watermelon[[#This Row],[Max_LAI]], 1)</f>
        <v>4.93</v>
      </c>
      <c r="BI404" s="41">
        <f>_xlfn.XLOOKUP(CropNorms_Watermelon[[#This Row],[LAI_End_BBCH]], CropPhenology_Watermelon[Sub_Stage], CropPhenology_Watermelon[End_GDD], "Not Found")</f>
        <v>1300</v>
      </c>
      <c r="BJ404" s="3" cm="1">
        <f t="array" ref="BJ404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4" s="3" cm="1">
        <f t="array" ref="BK40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4" s="3" cm="1">
        <f t="array" ref="BL404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4" s="3" cm="1">
        <f t="array" ref="BM40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4" s="42">
        <v>0.75</v>
      </c>
      <c r="BO404" s="43">
        <v>0.92</v>
      </c>
      <c r="BP404" s="42">
        <v>27.24</v>
      </c>
      <c r="BQ404" s="43" t="s">
        <v>1741</v>
      </c>
      <c r="BR404" s="3" t="str" cm="1">
        <f t="array" ref="BR40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4" s="3" t="str" cm="1">
        <f t="array" ref="BS40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4" s="3" t="str" cm="1">
        <f t="array" ref="BT404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4" s="3" t="str" cm="1">
        <f t="array" ref="BU404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4" s="48">
        <v>100</v>
      </c>
      <c r="BW404" s="1">
        <v>50</v>
      </c>
      <c r="BX404" s="44">
        <v>70</v>
      </c>
      <c r="BY404" s="51">
        <v>44958</v>
      </c>
      <c r="BZ404" s="51">
        <v>45046</v>
      </c>
      <c r="CA404" s="85">
        <v>0</v>
      </c>
      <c r="CB404" s="2">
        <v>0</v>
      </c>
      <c r="CC404" s="2">
        <v>1</v>
      </c>
      <c r="CD404" s="2">
        <v>1</v>
      </c>
      <c r="CE404" s="2">
        <v>1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86">
        <v>0</v>
      </c>
    </row>
    <row r="405" spans="2:90" x14ac:dyDescent="0.25">
      <c r="B405" s="27" t="s">
        <v>320</v>
      </c>
      <c r="C405" s="1" t="s">
        <v>1864</v>
      </c>
      <c r="D405" s="1" t="s">
        <v>1832</v>
      </c>
      <c r="E405" s="1" t="s">
        <v>1876</v>
      </c>
      <c r="F405" s="1">
        <v>110</v>
      </c>
      <c r="G405" s="1" t="s">
        <v>1877</v>
      </c>
      <c r="I405" s="1" t="s">
        <v>1882</v>
      </c>
      <c r="K405" s="1" t="s">
        <v>1763</v>
      </c>
      <c r="L405" s="1" t="s">
        <v>1750</v>
      </c>
      <c r="M405" s="1" t="s">
        <v>362</v>
      </c>
      <c r="N405" s="6">
        <v>9.64</v>
      </c>
      <c r="O405" s="1" t="s">
        <v>4</v>
      </c>
      <c r="P405" s="1">
        <v>60</v>
      </c>
      <c r="Q405" s="1">
        <v>15</v>
      </c>
      <c r="R405" s="1">
        <v>10</v>
      </c>
      <c r="S405" s="1">
        <v>30</v>
      </c>
      <c r="T405" s="1">
        <v>38</v>
      </c>
      <c r="U405" s="253">
        <v>5</v>
      </c>
      <c r="V405" s="1">
        <v>80</v>
      </c>
      <c r="W405" s="44">
        <v>115</v>
      </c>
      <c r="X405" s="40">
        <f>_xlfn.XLOOKUP("Ripening", CropPhenology_Watermelon[Main_Stage], CropPhenology_Watermelon[Start_GDD], "Not Found")</f>
        <v>1301</v>
      </c>
      <c r="Y405" s="4" cm="1">
        <f t="array" ref="Y405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5" s="3">
        <f t="shared" si="248"/>
        <v>15.344021739130435</v>
      </c>
      <c r="AA405" s="41">
        <f t="shared" si="249"/>
        <v>101.01654092728367</v>
      </c>
      <c r="AB405" s="1">
        <v>8</v>
      </c>
      <c r="AC405" s="1">
        <v>18</v>
      </c>
      <c r="AD405" s="1">
        <v>4</v>
      </c>
      <c r="AE405" s="1">
        <v>85</v>
      </c>
      <c r="AF405" s="1">
        <v>12</v>
      </c>
      <c r="AG405" s="1">
        <v>4</v>
      </c>
      <c r="AH405" s="3">
        <f t="shared" si="254"/>
        <v>2.4649428471248247</v>
      </c>
      <c r="AI405" s="1">
        <v>6</v>
      </c>
      <c r="AJ405" s="1">
        <v>8</v>
      </c>
      <c r="AK405" s="159">
        <v>2.5</v>
      </c>
      <c r="AL405" s="150">
        <v>0.09</v>
      </c>
      <c r="AM405" s="1">
        <v>400</v>
      </c>
      <c r="AN405" s="1">
        <v>550</v>
      </c>
      <c r="AO405" s="48">
        <v>3</v>
      </c>
      <c r="AP405" s="44">
        <v>150</v>
      </c>
      <c r="AQ405" s="42">
        <v>0.76</v>
      </c>
      <c r="AR405" s="1">
        <v>100</v>
      </c>
      <c r="AS405" s="1">
        <v>40</v>
      </c>
      <c r="AT405" s="1">
        <v>3</v>
      </c>
      <c r="AU405" s="4">
        <f t="shared" si="255"/>
        <v>7.5</v>
      </c>
      <c r="AV405" s="3">
        <f t="shared" si="250"/>
        <v>4.5</v>
      </c>
      <c r="AW405" s="1">
        <v>85</v>
      </c>
      <c r="AX405" s="3">
        <f t="shared" si="256"/>
        <v>6.375</v>
      </c>
      <c r="AY405" s="1">
        <v>1</v>
      </c>
      <c r="AZ405" s="4">
        <f t="shared" si="257"/>
        <v>6.375</v>
      </c>
      <c r="BA405" s="49">
        <v>0.86</v>
      </c>
      <c r="BB405" s="4">
        <f t="shared" si="252"/>
        <v>5.4824999999999999</v>
      </c>
      <c r="BC405" s="50">
        <v>1.0587625771038829</v>
      </c>
      <c r="BD405" s="69">
        <f>IFERROR(
  MAX(0.05, MIN(0.5, CropNorms_Watermelon[[#This Row],[Leaf_Area_Per_Shoot_m2]] * CropNorms_Watermelon[[#This Row],[Shoot_Bearing_m2]] )),
  0.2
)</f>
        <v>0.5</v>
      </c>
      <c r="BE405" s="4">
        <f>_xlfn.XLOOKUP(CropNorms_Watermelon[[#This Row],[LAI_Start_BBCH]], CropPhenology_Watermelon[Sub_Stage], CropPhenology_Watermelon[Start_GDD], "Not Found")</f>
        <v>131</v>
      </c>
      <c r="BF405" s="3">
        <f t="shared" si="253"/>
        <v>5.8</v>
      </c>
      <c r="BG405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5" s="3">
        <f>IF(CropNorms_Watermelon[[#This Row],[Max_LAI]]&gt;=1.2, 0.85*CropNorms_Watermelon[[#This Row],[Max_LAI]], 1)</f>
        <v>4.93</v>
      </c>
      <c r="BI405" s="41">
        <f>_xlfn.XLOOKUP(CropNorms_Watermelon[[#This Row],[LAI_End_BBCH]], CropPhenology_Watermelon[Sub_Stage], CropPhenology_Watermelon[End_GDD], "Not Found")</f>
        <v>1300</v>
      </c>
      <c r="BJ405" s="3" cm="1">
        <f t="array" ref="BJ405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5" s="3" cm="1">
        <f t="array" ref="BK40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5" s="3" cm="1">
        <f t="array" ref="BL405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5" s="3" cm="1">
        <f t="array" ref="BM40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5" s="42">
        <v>0.75</v>
      </c>
      <c r="BO405" s="43">
        <v>0.92</v>
      </c>
      <c r="BP405" s="42">
        <v>27.24</v>
      </c>
      <c r="BQ405" s="43" t="s">
        <v>1741</v>
      </c>
      <c r="BR405" s="3" t="str" cm="1">
        <f t="array" ref="BR40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5" s="3" t="str" cm="1">
        <f t="array" ref="BS40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5" s="3" t="str" cm="1">
        <f t="array" ref="BT405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5" s="3" t="str" cm="1">
        <f t="array" ref="BU405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5" s="48">
        <v>100</v>
      </c>
      <c r="BW405" s="1">
        <v>50</v>
      </c>
      <c r="BX405" s="44">
        <v>70</v>
      </c>
      <c r="BY405" s="51">
        <v>44958</v>
      </c>
      <c r="BZ405" s="51">
        <v>45046</v>
      </c>
      <c r="CA405" s="85">
        <v>0</v>
      </c>
      <c r="CB405" s="2">
        <v>0</v>
      </c>
      <c r="CC405" s="2">
        <v>1</v>
      </c>
      <c r="CD405" s="2">
        <v>1</v>
      </c>
      <c r="CE405" s="2">
        <v>1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86">
        <v>0</v>
      </c>
    </row>
    <row r="406" spans="2:90" x14ac:dyDescent="0.25">
      <c r="B406" s="27" t="s">
        <v>320</v>
      </c>
      <c r="C406" s="1" t="s">
        <v>1865</v>
      </c>
      <c r="D406" s="1" t="s">
        <v>1832</v>
      </c>
      <c r="E406" s="1" t="s">
        <v>1835</v>
      </c>
      <c r="F406" s="1">
        <v>200</v>
      </c>
      <c r="G406" s="1" t="s">
        <v>1878</v>
      </c>
      <c r="I406" s="1" t="s">
        <v>1884</v>
      </c>
      <c r="K406" s="1" t="s">
        <v>1763</v>
      </c>
      <c r="L406" s="1" t="s">
        <v>1750</v>
      </c>
      <c r="M406" s="1" t="s">
        <v>362</v>
      </c>
      <c r="N406" s="6">
        <v>9.64</v>
      </c>
      <c r="O406" s="1" t="s">
        <v>4</v>
      </c>
      <c r="P406" s="1">
        <v>60</v>
      </c>
      <c r="Q406" s="1">
        <v>15</v>
      </c>
      <c r="R406" s="1">
        <v>10</v>
      </c>
      <c r="S406" s="1">
        <v>30</v>
      </c>
      <c r="T406" s="1">
        <v>38</v>
      </c>
      <c r="U406" s="253">
        <v>5</v>
      </c>
      <c r="V406" s="1">
        <v>80</v>
      </c>
      <c r="W406" s="44">
        <v>115</v>
      </c>
      <c r="X406" s="40">
        <f>_xlfn.XLOOKUP("Ripening", CropPhenology_Watermelon[Main_Stage], CropPhenology_Watermelon[Start_GDD], "Not Found")</f>
        <v>1301</v>
      </c>
      <c r="Y406" s="4" cm="1">
        <f t="array" ref="Y406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6" s="3">
        <f t="shared" si="248"/>
        <v>15.344021739130435</v>
      </c>
      <c r="AA406" s="41">
        <f t="shared" si="249"/>
        <v>101.01654092728367</v>
      </c>
      <c r="AB406" s="1">
        <v>8</v>
      </c>
      <c r="AC406" s="1">
        <v>18</v>
      </c>
      <c r="AD406" s="1">
        <v>4</v>
      </c>
      <c r="AE406" s="1">
        <v>85</v>
      </c>
      <c r="AF406" s="1">
        <v>12</v>
      </c>
      <c r="AG406" s="1">
        <v>4</v>
      </c>
      <c r="AH406" s="3">
        <f t="shared" si="254"/>
        <v>2.4649428471248247</v>
      </c>
      <c r="AI406" s="1">
        <v>6</v>
      </c>
      <c r="AJ406" s="1">
        <v>8</v>
      </c>
      <c r="AK406" s="159">
        <v>2.5</v>
      </c>
      <c r="AL406" s="150">
        <v>0.09</v>
      </c>
      <c r="AM406" s="1">
        <v>400</v>
      </c>
      <c r="AN406" s="1">
        <v>550</v>
      </c>
      <c r="AO406" s="48">
        <v>3</v>
      </c>
      <c r="AP406" s="44">
        <v>150</v>
      </c>
      <c r="AQ406" s="42">
        <v>0.82</v>
      </c>
      <c r="AR406" s="1">
        <v>100</v>
      </c>
      <c r="AS406" s="1">
        <v>40</v>
      </c>
      <c r="AT406" s="1">
        <v>3</v>
      </c>
      <c r="AU406" s="4">
        <f t="shared" si="255"/>
        <v>7.5</v>
      </c>
      <c r="AV406" s="3">
        <f t="shared" si="250"/>
        <v>4.5</v>
      </c>
      <c r="AW406" s="1">
        <v>85</v>
      </c>
      <c r="AX406" s="3">
        <f t="shared" si="256"/>
        <v>6.375</v>
      </c>
      <c r="AY406" s="1">
        <v>1</v>
      </c>
      <c r="AZ406" s="4">
        <f t="shared" si="257"/>
        <v>6.375</v>
      </c>
      <c r="BA406" s="49">
        <v>0.86</v>
      </c>
      <c r="BB406" s="4">
        <f t="shared" si="252"/>
        <v>5.4824999999999999</v>
      </c>
      <c r="BC406" s="50">
        <v>1.0587625771038829</v>
      </c>
      <c r="BD406" s="69">
        <f>IFERROR(
  MAX(0.05, MIN(0.5, CropNorms_Watermelon[[#This Row],[Leaf_Area_Per_Shoot_m2]] * CropNorms_Watermelon[[#This Row],[Shoot_Bearing_m2]] )),
  0.2
)</f>
        <v>0.5</v>
      </c>
      <c r="BE406" s="4">
        <f>_xlfn.XLOOKUP(CropNorms_Watermelon[[#This Row],[LAI_Start_BBCH]], CropPhenology_Watermelon[Sub_Stage], CropPhenology_Watermelon[Start_GDD], "Not Found")</f>
        <v>131</v>
      </c>
      <c r="BF406" s="3">
        <f t="shared" si="253"/>
        <v>5.8</v>
      </c>
      <c r="BG406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6" s="3">
        <f>IF(CropNorms_Watermelon[[#This Row],[Max_LAI]]&gt;=1.2, 0.85*CropNorms_Watermelon[[#This Row],[Max_LAI]], 1)</f>
        <v>4.93</v>
      </c>
      <c r="BI406" s="41">
        <f>_xlfn.XLOOKUP(CropNorms_Watermelon[[#This Row],[LAI_End_BBCH]], CropPhenology_Watermelon[Sub_Stage], CropPhenology_Watermelon[End_GDD], "Not Found")</f>
        <v>1300</v>
      </c>
      <c r="BJ406" s="3" cm="1">
        <f t="array" ref="BJ406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6" s="3" cm="1">
        <f t="array" ref="BK40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6" s="3" cm="1">
        <f t="array" ref="BL406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6" s="3" cm="1">
        <f t="array" ref="BM40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6" s="42">
        <v>0.75</v>
      </c>
      <c r="BO406" s="43">
        <v>0.92</v>
      </c>
      <c r="BP406" s="42">
        <v>27.24</v>
      </c>
      <c r="BQ406" s="43" t="s">
        <v>1741</v>
      </c>
      <c r="BR406" s="3" t="str" cm="1">
        <f t="array" ref="BR40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6" s="3" t="str" cm="1">
        <f t="array" ref="BS40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6" s="3" t="str" cm="1">
        <f t="array" ref="BT406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6" s="3" t="str" cm="1">
        <f t="array" ref="BU406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6" s="48">
        <v>100</v>
      </c>
      <c r="BW406" s="1">
        <v>50</v>
      </c>
      <c r="BX406" s="44">
        <v>70</v>
      </c>
      <c r="BY406" s="51">
        <v>44958</v>
      </c>
      <c r="BZ406" s="51">
        <v>45046</v>
      </c>
      <c r="CA406" s="85">
        <v>0</v>
      </c>
      <c r="CB406" s="2">
        <v>0</v>
      </c>
      <c r="CC406" s="2">
        <v>1</v>
      </c>
      <c r="CD406" s="2">
        <v>1</v>
      </c>
      <c r="CE406" s="2">
        <v>1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86">
        <v>0</v>
      </c>
    </row>
    <row r="407" spans="2:90" x14ac:dyDescent="0.25">
      <c r="B407" s="27" t="s">
        <v>320</v>
      </c>
      <c r="C407" s="1" t="s">
        <v>1871</v>
      </c>
      <c r="D407" s="1" t="s">
        <v>1832</v>
      </c>
      <c r="E407" s="1" t="s">
        <v>1835</v>
      </c>
      <c r="F407" s="1">
        <v>200</v>
      </c>
      <c r="G407" s="1" t="s">
        <v>1878</v>
      </c>
      <c r="I407" s="1" t="s">
        <v>1883</v>
      </c>
      <c r="K407" s="1" t="s">
        <v>1763</v>
      </c>
      <c r="L407" s="1" t="s">
        <v>1750</v>
      </c>
      <c r="M407" s="1" t="s">
        <v>362</v>
      </c>
      <c r="N407" s="6">
        <v>9.64</v>
      </c>
      <c r="O407" s="1" t="s">
        <v>4</v>
      </c>
      <c r="P407" s="1">
        <v>60</v>
      </c>
      <c r="Q407" s="1">
        <v>15</v>
      </c>
      <c r="R407" s="1">
        <v>10</v>
      </c>
      <c r="S407" s="1">
        <v>30</v>
      </c>
      <c r="T407" s="1">
        <v>38</v>
      </c>
      <c r="U407" s="253">
        <v>5</v>
      </c>
      <c r="V407" s="1">
        <v>80</v>
      </c>
      <c r="W407" s="44">
        <v>115</v>
      </c>
      <c r="X407" s="40">
        <f>_xlfn.XLOOKUP("Ripening", CropPhenology_Watermelon[Main_Stage], CropPhenology_Watermelon[Start_GDD], "Not Found")</f>
        <v>1301</v>
      </c>
      <c r="Y407" s="4" cm="1">
        <f t="array" ref="Y407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7" s="3">
        <f t="shared" si="248"/>
        <v>15.344021739130435</v>
      </c>
      <c r="AA407" s="41">
        <f t="shared" ref="AA407:AA415" si="258">Y407/Z407</f>
        <v>101.01654092728367</v>
      </c>
      <c r="AB407" s="1">
        <v>8</v>
      </c>
      <c r="AC407" s="1">
        <v>18</v>
      </c>
      <c r="AD407" s="1">
        <v>4</v>
      </c>
      <c r="AE407" s="1">
        <v>85</v>
      </c>
      <c r="AF407" s="1">
        <v>12</v>
      </c>
      <c r="AG407" s="1">
        <v>4</v>
      </c>
      <c r="AH407" s="3">
        <f t="shared" ref="AH407:AH412" si="259">IFERROR((Y407-X407)/AA407,0)</f>
        <v>2.4649428471248247</v>
      </c>
      <c r="AI407" s="1">
        <v>6</v>
      </c>
      <c r="AJ407" s="1">
        <v>8</v>
      </c>
      <c r="AK407" s="159">
        <v>2.5</v>
      </c>
      <c r="AL407" s="150">
        <v>0.09</v>
      </c>
      <c r="AM407" s="1">
        <v>400</v>
      </c>
      <c r="AN407" s="1">
        <v>550</v>
      </c>
      <c r="AO407" s="48">
        <v>3</v>
      </c>
      <c r="AP407" s="44">
        <v>150</v>
      </c>
      <c r="AQ407" s="42">
        <v>0.82</v>
      </c>
      <c r="AR407" s="1">
        <v>100</v>
      </c>
      <c r="AS407" s="1">
        <v>40</v>
      </c>
      <c r="AT407" s="1">
        <v>3</v>
      </c>
      <c r="AU407" s="4">
        <f t="shared" ref="AU407:AU412" si="260">IFERROR(10000/(AS407*AR407),0)*AT407</f>
        <v>7.5</v>
      </c>
      <c r="AV407" s="3">
        <f t="shared" si="250"/>
        <v>4.5</v>
      </c>
      <c r="AW407" s="1">
        <v>85</v>
      </c>
      <c r="AX407" s="3">
        <f t="shared" ref="AX407:AX412" si="261">IFERROR((AU407*AW407/100),0)</f>
        <v>6.375</v>
      </c>
      <c r="AY407" s="1">
        <v>1</v>
      </c>
      <c r="AZ407" s="4">
        <f t="shared" ref="AZ407:AZ412" si="262">IFERROR(AX407*AY407,0)</f>
        <v>6.375</v>
      </c>
      <c r="BA407" s="49">
        <v>0.86</v>
      </c>
      <c r="BB407" s="4">
        <f t="shared" ref="BB407:BB412" si="263">IFERROR(AZ407*BA407,0)</f>
        <v>5.4824999999999999</v>
      </c>
      <c r="BC407" s="50">
        <v>1.0587625771038829</v>
      </c>
      <c r="BD407" s="69">
        <f>IFERROR(
  MAX(0.05, MIN(0.5, CropNorms_Watermelon[[#This Row],[Leaf_Area_Per_Shoot_m2]] * CropNorms_Watermelon[[#This Row],[Shoot_Bearing_m2]] )),
  0.2
)</f>
        <v>0.5</v>
      </c>
      <c r="BE407" s="4">
        <f>_xlfn.XLOOKUP(CropNorms_Watermelon[[#This Row],[LAI_Start_BBCH]], CropPhenology_Watermelon[Sub_Stage], CropPhenology_Watermelon[Start_GDD], "Not Found")</f>
        <v>131</v>
      </c>
      <c r="BF407" s="3">
        <f t="shared" si="253"/>
        <v>5.8</v>
      </c>
      <c r="BG407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7" s="3">
        <f>IF(CropNorms_Watermelon[[#This Row],[Max_LAI]]&gt;=1.2, 0.85*CropNorms_Watermelon[[#This Row],[Max_LAI]], 1)</f>
        <v>4.93</v>
      </c>
      <c r="BI407" s="41">
        <f>_xlfn.XLOOKUP(CropNorms_Watermelon[[#This Row],[LAI_End_BBCH]], CropPhenology_Watermelon[Sub_Stage], CropPhenology_Watermelon[End_GDD], "Not Found")</f>
        <v>1300</v>
      </c>
      <c r="BJ407" s="3" cm="1">
        <f t="array" ref="BJ407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7" s="3" cm="1">
        <f t="array" ref="BK407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7" s="3" cm="1">
        <f t="array" ref="BL407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7" s="3" cm="1">
        <f t="array" ref="BM407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7" s="42">
        <v>0.75</v>
      </c>
      <c r="BO407" s="43">
        <v>0.92</v>
      </c>
      <c r="BP407" s="42">
        <v>27.24</v>
      </c>
      <c r="BQ407" s="43" t="s">
        <v>1741</v>
      </c>
      <c r="BR407" s="3" t="str" cm="1">
        <f t="array" ref="BR407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7" s="3" t="str" cm="1">
        <f t="array" ref="BS407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7" s="3" t="str" cm="1">
        <f t="array" ref="BT407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7" s="3" t="str" cm="1">
        <f t="array" ref="BU407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7" s="48">
        <v>100</v>
      </c>
      <c r="BW407" s="1">
        <v>50</v>
      </c>
      <c r="BX407" s="44">
        <v>70</v>
      </c>
      <c r="BY407" s="51">
        <v>44958</v>
      </c>
      <c r="BZ407" s="51">
        <v>45046</v>
      </c>
      <c r="CA407" s="85">
        <v>0</v>
      </c>
      <c r="CB407" s="2">
        <v>0</v>
      </c>
      <c r="CC407" s="2">
        <v>1</v>
      </c>
      <c r="CD407" s="2">
        <v>1</v>
      </c>
      <c r="CE407" s="2">
        <v>1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86">
        <v>0</v>
      </c>
    </row>
    <row r="408" spans="2:90" x14ac:dyDescent="0.25">
      <c r="B408" s="27" t="s">
        <v>320</v>
      </c>
      <c r="C408" s="1" t="s">
        <v>1872</v>
      </c>
      <c r="D408" s="1" t="s">
        <v>1832</v>
      </c>
      <c r="E408" s="1" t="s">
        <v>1835</v>
      </c>
      <c r="F408" s="1">
        <v>200</v>
      </c>
      <c r="G408" s="1" t="s">
        <v>1878</v>
      </c>
      <c r="I408" s="1" t="s">
        <v>1882</v>
      </c>
      <c r="K408" s="1" t="s">
        <v>1763</v>
      </c>
      <c r="L408" s="1" t="s">
        <v>1750</v>
      </c>
      <c r="M408" s="1" t="s">
        <v>362</v>
      </c>
      <c r="N408" s="6">
        <v>9.64</v>
      </c>
      <c r="O408" s="1" t="s">
        <v>4</v>
      </c>
      <c r="P408" s="1">
        <v>60</v>
      </c>
      <c r="Q408" s="1">
        <v>15</v>
      </c>
      <c r="R408" s="1">
        <v>10</v>
      </c>
      <c r="S408" s="1">
        <v>30</v>
      </c>
      <c r="T408" s="1">
        <v>38</v>
      </c>
      <c r="U408" s="253">
        <v>5</v>
      </c>
      <c r="V408" s="1">
        <v>80</v>
      </c>
      <c r="W408" s="44">
        <v>115</v>
      </c>
      <c r="X408" s="40">
        <f>_xlfn.XLOOKUP("Ripening", CropPhenology_Watermelon[Main_Stage], CropPhenology_Watermelon[Start_GDD], "Not Found")</f>
        <v>1301</v>
      </c>
      <c r="Y408" s="4" cm="1">
        <f t="array" ref="Y408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8" s="3">
        <f t="shared" si="248"/>
        <v>15.344021739130435</v>
      </c>
      <c r="AA408" s="41">
        <f t="shared" si="258"/>
        <v>101.01654092728367</v>
      </c>
      <c r="AB408" s="1">
        <v>8</v>
      </c>
      <c r="AC408" s="1">
        <v>18</v>
      </c>
      <c r="AD408" s="1">
        <v>4</v>
      </c>
      <c r="AE408" s="1">
        <v>85</v>
      </c>
      <c r="AF408" s="1">
        <v>12</v>
      </c>
      <c r="AG408" s="1">
        <v>4</v>
      </c>
      <c r="AH408" s="3">
        <f t="shared" si="259"/>
        <v>2.4649428471248247</v>
      </c>
      <c r="AI408" s="1">
        <v>6</v>
      </c>
      <c r="AJ408" s="1">
        <v>8</v>
      </c>
      <c r="AK408" s="159">
        <v>2.5</v>
      </c>
      <c r="AL408" s="150">
        <v>0.09</v>
      </c>
      <c r="AM408" s="1">
        <v>400</v>
      </c>
      <c r="AN408" s="1">
        <v>550</v>
      </c>
      <c r="AO408" s="48">
        <v>3</v>
      </c>
      <c r="AP408" s="44">
        <v>150</v>
      </c>
      <c r="AQ408" s="42">
        <v>0.82</v>
      </c>
      <c r="AR408" s="1">
        <v>100</v>
      </c>
      <c r="AS408" s="1">
        <v>40</v>
      </c>
      <c r="AT408" s="1">
        <v>3</v>
      </c>
      <c r="AU408" s="4">
        <f t="shared" si="260"/>
        <v>7.5</v>
      </c>
      <c r="AV408" s="3">
        <f t="shared" si="250"/>
        <v>4.5</v>
      </c>
      <c r="AW408" s="1">
        <v>85</v>
      </c>
      <c r="AX408" s="3">
        <f t="shared" si="261"/>
        <v>6.375</v>
      </c>
      <c r="AY408" s="1">
        <v>1</v>
      </c>
      <c r="AZ408" s="4">
        <f t="shared" si="262"/>
        <v>6.375</v>
      </c>
      <c r="BA408" s="49">
        <v>0.86</v>
      </c>
      <c r="BB408" s="4">
        <f t="shared" si="263"/>
        <v>5.4824999999999999</v>
      </c>
      <c r="BC408" s="50">
        <v>1.0587625771038829</v>
      </c>
      <c r="BD408" s="69">
        <f>IFERROR(
  MAX(0.05, MIN(0.5, CropNorms_Watermelon[[#This Row],[Leaf_Area_Per_Shoot_m2]] * CropNorms_Watermelon[[#This Row],[Shoot_Bearing_m2]] )),
  0.2
)</f>
        <v>0.5</v>
      </c>
      <c r="BE408" s="4">
        <f>_xlfn.XLOOKUP(CropNorms_Watermelon[[#This Row],[LAI_Start_BBCH]], CropPhenology_Watermelon[Sub_Stage], CropPhenology_Watermelon[Start_GDD], "Not Found")</f>
        <v>131</v>
      </c>
      <c r="BF408" s="3">
        <f t="shared" si="253"/>
        <v>5.8</v>
      </c>
      <c r="BG408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8" s="3">
        <f>IF(CropNorms_Watermelon[[#This Row],[Max_LAI]]&gt;=1.2, 0.85*CropNorms_Watermelon[[#This Row],[Max_LAI]], 1)</f>
        <v>4.93</v>
      </c>
      <c r="BI408" s="41">
        <f>_xlfn.XLOOKUP(CropNorms_Watermelon[[#This Row],[LAI_End_BBCH]], CropPhenology_Watermelon[Sub_Stage], CropPhenology_Watermelon[End_GDD], "Not Found")</f>
        <v>1300</v>
      </c>
      <c r="BJ408" s="3" cm="1">
        <f t="array" ref="BJ408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8" s="3" cm="1">
        <f t="array" ref="BK408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8" s="3" cm="1">
        <f t="array" ref="BL408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8" s="3" cm="1">
        <f t="array" ref="BM408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8" s="42">
        <v>0.75</v>
      </c>
      <c r="BO408" s="43">
        <v>0.92</v>
      </c>
      <c r="BP408" s="42">
        <v>27.24</v>
      </c>
      <c r="BQ408" s="43" t="s">
        <v>1741</v>
      </c>
      <c r="BR408" s="3" t="str" cm="1">
        <f t="array" ref="BR408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8" s="3" t="str" cm="1">
        <f t="array" ref="BS408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8" s="3" t="str" cm="1">
        <f t="array" ref="BT408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8" s="3" t="str" cm="1">
        <f t="array" ref="BU408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8" s="48">
        <v>100</v>
      </c>
      <c r="BW408" s="1">
        <v>50</v>
      </c>
      <c r="BX408" s="44">
        <v>70</v>
      </c>
      <c r="BY408" s="51">
        <v>44958</v>
      </c>
      <c r="BZ408" s="51">
        <v>45046</v>
      </c>
      <c r="CA408" s="85">
        <v>0</v>
      </c>
      <c r="CB408" s="2">
        <v>0</v>
      </c>
      <c r="CC408" s="2">
        <v>1</v>
      </c>
      <c r="CD408" s="2">
        <v>1</v>
      </c>
      <c r="CE408" s="2">
        <v>1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86">
        <v>0</v>
      </c>
    </row>
    <row r="409" spans="2:90" x14ac:dyDescent="0.25">
      <c r="B409" s="27" t="s">
        <v>320</v>
      </c>
      <c r="C409" s="1" t="s">
        <v>1873</v>
      </c>
      <c r="D409" s="1" t="s">
        <v>1832</v>
      </c>
      <c r="E409" s="1" t="s">
        <v>1835</v>
      </c>
      <c r="F409" s="1">
        <v>180</v>
      </c>
      <c r="G409" s="1" t="s">
        <v>1878</v>
      </c>
      <c r="I409" s="1" t="s">
        <v>1882</v>
      </c>
      <c r="K409" s="1" t="s">
        <v>1763</v>
      </c>
      <c r="L409" s="1" t="s">
        <v>1750</v>
      </c>
      <c r="M409" s="1" t="s">
        <v>362</v>
      </c>
      <c r="N409" s="6">
        <v>9.64</v>
      </c>
      <c r="O409" s="1" t="s">
        <v>4</v>
      </c>
      <c r="P409" s="1">
        <v>60</v>
      </c>
      <c r="Q409" s="1">
        <v>15</v>
      </c>
      <c r="R409" s="1">
        <v>10</v>
      </c>
      <c r="S409" s="1">
        <v>30</v>
      </c>
      <c r="T409" s="1">
        <v>38</v>
      </c>
      <c r="U409" s="253">
        <v>5</v>
      </c>
      <c r="V409" s="1">
        <v>80</v>
      </c>
      <c r="W409" s="44">
        <v>115</v>
      </c>
      <c r="X409" s="40">
        <f>_xlfn.XLOOKUP("Ripening", CropPhenology_Watermelon[Main_Stage], CropPhenology_Watermelon[Start_GDD], "Not Found")</f>
        <v>1301</v>
      </c>
      <c r="Y409" s="4" cm="1">
        <f t="array" ref="Y409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09" s="3">
        <f t="shared" si="248"/>
        <v>15.344021739130435</v>
      </c>
      <c r="AA409" s="41">
        <f t="shared" si="258"/>
        <v>101.01654092728367</v>
      </c>
      <c r="AB409" s="1">
        <v>8</v>
      </c>
      <c r="AC409" s="1">
        <v>18</v>
      </c>
      <c r="AD409" s="1">
        <v>4</v>
      </c>
      <c r="AE409" s="1">
        <v>85</v>
      </c>
      <c r="AF409" s="1">
        <v>12</v>
      </c>
      <c r="AG409" s="1">
        <v>4</v>
      </c>
      <c r="AH409" s="3">
        <f t="shared" si="259"/>
        <v>2.4649428471248247</v>
      </c>
      <c r="AI409" s="1">
        <v>6</v>
      </c>
      <c r="AJ409" s="1">
        <v>8</v>
      </c>
      <c r="AK409" s="159">
        <v>2.5</v>
      </c>
      <c r="AL409" s="150">
        <v>0.09</v>
      </c>
      <c r="AM409" s="1">
        <v>400</v>
      </c>
      <c r="AN409" s="1">
        <v>550</v>
      </c>
      <c r="AO409" s="48">
        <v>3</v>
      </c>
      <c r="AP409" s="44">
        <v>150</v>
      </c>
      <c r="AQ409" s="42">
        <v>0.82</v>
      </c>
      <c r="AR409" s="1">
        <v>100</v>
      </c>
      <c r="AS409" s="1">
        <v>40</v>
      </c>
      <c r="AT409" s="1">
        <v>3</v>
      </c>
      <c r="AU409" s="4">
        <f t="shared" si="260"/>
        <v>7.5</v>
      </c>
      <c r="AV409" s="3">
        <f t="shared" si="250"/>
        <v>4.5</v>
      </c>
      <c r="AW409" s="1">
        <v>85</v>
      </c>
      <c r="AX409" s="3">
        <f t="shared" si="261"/>
        <v>6.375</v>
      </c>
      <c r="AY409" s="1">
        <v>1</v>
      </c>
      <c r="AZ409" s="4">
        <f t="shared" si="262"/>
        <v>6.375</v>
      </c>
      <c r="BA409" s="49">
        <v>0.86</v>
      </c>
      <c r="BB409" s="4">
        <f t="shared" si="263"/>
        <v>5.4824999999999999</v>
      </c>
      <c r="BC409" s="50">
        <v>1.0587625771038829</v>
      </c>
      <c r="BD409" s="69">
        <f>IFERROR(
  MAX(0.05, MIN(0.5, CropNorms_Watermelon[[#This Row],[Leaf_Area_Per_Shoot_m2]] * CropNorms_Watermelon[[#This Row],[Shoot_Bearing_m2]] )),
  0.2
)</f>
        <v>0.5</v>
      </c>
      <c r="BE409" s="4">
        <f>_xlfn.XLOOKUP(CropNorms_Watermelon[[#This Row],[LAI_Start_BBCH]], CropPhenology_Watermelon[Sub_Stage], CropPhenology_Watermelon[Start_GDD], "Not Found")</f>
        <v>131</v>
      </c>
      <c r="BF409" s="3">
        <f t="shared" si="253"/>
        <v>5.8</v>
      </c>
      <c r="BG409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09" s="3">
        <f>IF(CropNorms_Watermelon[[#This Row],[Max_LAI]]&gt;=1.2, 0.85*CropNorms_Watermelon[[#This Row],[Max_LAI]], 1)</f>
        <v>4.93</v>
      </c>
      <c r="BI409" s="41">
        <f>_xlfn.XLOOKUP(CropNorms_Watermelon[[#This Row],[LAI_End_BBCH]], CropPhenology_Watermelon[Sub_Stage], CropPhenology_Watermelon[End_GDD], "Not Found")</f>
        <v>1300</v>
      </c>
      <c r="BJ409" s="3" cm="1">
        <f t="array" ref="BJ409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09" s="3" cm="1">
        <f t="array" ref="BK409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09" s="3" cm="1">
        <f t="array" ref="BL409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09" s="3" cm="1">
        <f t="array" ref="BM409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09" s="42">
        <v>0.75</v>
      </c>
      <c r="BO409" s="43">
        <v>0.92</v>
      </c>
      <c r="BP409" s="42">
        <v>27.24</v>
      </c>
      <c r="BQ409" s="43" t="s">
        <v>1741</v>
      </c>
      <c r="BR409" s="3" t="str" cm="1">
        <f t="array" ref="BR409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09" s="3" t="str" cm="1">
        <f t="array" ref="BS409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09" s="3" t="str" cm="1">
        <f t="array" ref="BT409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09" s="3" t="str" cm="1">
        <f t="array" ref="BU409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09" s="48">
        <v>100</v>
      </c>
      <c r="BW409" s="1">
        <v>50</v>
      </c>
      <c r="BX409" s="44">
        <v>70</v>
      </c>
      <c r="BY409" s="51">
        <v>44958</v>
      </c>
      <c r="BZ409" s="51">
        <v>45046</v>
      </c>
      <c r="CA409" s="85">
        <v>0</v>
      </c>
      <c r="CB409" s="2">
        <v>0</v>
      </c>
      <c r="CC409" s="2">
        <v>1</v>
      </c>
      <c r="CD409" s="2">
        <v>1</v>
      </c>
      <c r="CE409" s="2">
        <v>1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86">
        <v>0</v>
      </c>
    </row>
    <row r="410" spans="2:90" x14ac:dyDescent="0.25">
      <c r="B410" s="27" t="s">
        <v>320</v>
      </c>
      <c r="C410" s="1" t="s">
        <v>1874</v>
      </c>
      <c r="D410" s="1" t="s">
        <v>1832</v>
      </c>
      <c r="E410" s="1" t="s">
        <v>1835</v>
      </c>
      <c r="F410" s="1">
        <v>200</v>
      </c>
      <c r="G410" s="1" t="s">
        <v>1879</v>
      </c>
      <c r="I410" s="1" t="s">
        <v>1882</v>
      </c>
      <c r="K410" s="1" t="s">
        <v>1763</v>
      </c>
      <c r="L410" s="1" t="s">
        <v>1750</v>
      </c>
      <c r="M410" s="1" t="s">
        <v>362</v>
      </c>
      <c r="N410" s="6">
        <v>9.64</v>
      </c>
      <c r="O410" s="1" t="s">
        <v>4</v>
      </c>
      <c r="P410" s="1">
        <v>60</v>
      </c>
      <c r="Q410" s="1">
        <v>15</v>
      </c>
      <c r="R410" s="1">
        <v>10</v>
      </c>
      <c r="S410" s="1">
        <v>30</v>
      </c>
      <c r="T410" s="1">
        <v>38</v>
      </c>
      <c r="U410" s="253">
        <v>5</v>
      </c>
      <c r="V410" s="1">
        <v>80</v>
      </c>
      <c r="W410" s="44">
        <v>115</v>
      </c>
      <c r="X410" s="40">
        <f>_xlfn.XLOOKUP("Ripening", CropPhenology_Watermelon[Main_Stage], CropPhenology_Watermelon[Start_GDD], "Not Found")</f>
        <v>1301</v>
      </c>
      <c r="Y410" s="4" cm="1">
        <f t="array" ref="Y410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0" s="3">
        <f t="shared" si="248"/>
        <v>15.344021739130435</v>
      </c>
      <c r="AA410" s="41">
        <f t="shared" si="258"/>
        <v>101.01654092728367</v>
      </c>
      <c r="AB410" s="1">
        <v>8</v>
      </c>
      <c r="AC410" s="1">
        <v>18</v>
      </c>
      <c r="AD410" s="1">
        <v>4</v>
      </c>
      <c r="AE410" s="1">
        <v>85</v>
      </c>
      <c r="AF410" s="1">
        <v>12</v>
      </c>
      <c r="AG410" s="1">
        <v>4</v>
      </c>
      <c r="AH410" s="3">
        <f t="shared" si="259"/>
        <v>2.4649428471248247</v>
      </c>
      <c r="AI410" s="1">
        <v>6</v>
      </c>
      <c r="AJ410" s="1">
        <v>8</v>
      </c>
      <c r="AK410" s="159">
        <v>2.5</v>
      </c>
      <c r="AL410" s="150">
        <v>0.09</v>
      </c>
      <c r="AM410" s="1">
        <v>400</v>
      </c>
      <c r="AN410" s="1">
        <v>550</v>
      </c>
      <c r="AO410" s="48">
        <v>3</v>
      </c>
      <c r="AP410" s="44">
        <v>150</v>
      </c>
      <c r="AQ410" s="42">
        <v>0.82</v>
      </c>
      <c r="AR410" s="1">
        <v>100</v>
      </c>
      <c r="AS410" s="1">
        <v>40</v>
      </c>
      <c r="AT410" s="1">
        <v>3</v>
      </c>
      <c r="AU410" s="4">
        <f t="shared" si="260"/>
        <v>7.5</v>
      </c>
      <c r="AV410" s="3">
        <f t="shared" si="250"/>
        <v>4.5</v>
      </c>
      <c r="AW410" s="1">
        <v>85</v>
      </c>
      <c r="AX410" s="3">
        <f t="shared" si="261"/>
        <v>6.375</v>
      </c>
      <c r="AY410" s="1">
        <v>1</v>
      </c>
      <c r="AZ410" s="4">
        <f t="shared" si="262"/>
        <v>6.375</v>
      </c>
      <c r="BA410" s="49">
        <v>0.86</v>
      </c>
      <c r="BB410" s="4">
        <f t="shared" si="263"/>
        <v>5.4824999999999999</v>
      </c>
      <c r="BC410" s="50">
        <v>1.0587625771038829</v>
      </c>
      <c r="BD410" s="69">
        <f>IFERROR(
  MAX(0.05, MIN(0.5, CropNorms_Watermelon[[#This Row],[Leaf_Area_Per_Shoot_m2]] * CropNorms_Watermelon[[#This Row],[Shoot_Bearing_m2]] )),
  0.2
)</f>
        <v>0.5</v>
      </c>
      <c r="BE410" s="4">
        <f>_xlfn.XLOOKUP(CropNorms_Watermelon[[#This Row],[LAI_Start_BBCH]], CropPhenology_Watermelon[Sub_Stage], CropPhenology_Watermelon[Start_GDD], "Not Found")</f>
        <v>131</v>
      </c>
      <c r="BF410" s="3">
        <f t="shared" si="253"/>
        <v>5.8</v>
      </c>
      <c r="BG410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0" s="3">
        <f>IF(CropNorms_Watermelon[[#This Row],[Max_LAI]]&gt;=1.2, 0.85*CropNorms_Watermelon[[#This Row],[Max_LAI]], 1)</f>
        <v>4.93</v>
      </c>
      <c r="BI410" s="41">
        <f>_xlfn.XLOOKUP(CropNorms_Watermelon[[#This Row],[LAI_End_BBCH]], CropPhenology_Watermelon[Sub_Stage], CropPhenology_Watermelon[End_GDD], "Not Found")</f>
        <v>1300</v>
      </c>
      <c r="BJ410" s="3" cm="1">
        <f t="array" ref="BJ410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0" s="3" cm="1">
        <f t="array" ref="BK410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0" s="3" cm="1">
        <f t="array" ref="BL410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0" s="3" cm="1">
        <f t="array" ref="BM410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0" s="42">
        <v>0.75</v>
      </c>
      <c r="BO410" s="43">
        <v>0.92</v>
      </c>
      <c r="BP410" s="42">
        <v>27.24</v>
      </c>
      <c r="BQ410" s="43" t="s">
        <v>1741</v>
      </c>
      <c r="BR410" s="3" t="str" cm="1">
        <f t="array" ref="BR410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0" s="3" t="str" cm="1">
        <f t="array" ref="BS410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0" s="3" t="str" cm="1">
        <f t="array" ref="BT410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0" s="3" t="str" cm="1">
        <f t="array" ref="BU410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0" s="48">
        <v>100</v>
      </c>
      <c r="BW410" s="1">
        <v>50</v>
      </c>
      <c r="BX410" s="44">
        <v>70</v>
      </c>
      <c r="BY410" s="51">
        <v>44958</v>
      </c>
      <c r="BZ410" s="51">
        <v>45046</v>
      </c>
      <c r="CA410" s="85">
        <v>0</v>
      </c>
      <c r="CB410" s="2">
        <v>0</v>
      </c>
      <c r="CC410" s="2">
        <v>1</v>
      </c>
      <c r="CD410" s="2">
        <v>1</v>
      </c>
      <c r="CE410" s="2">
        <v>1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86">
        <v>0</v>
      </c>
    </row>
    <row r="411" spans="2:90" x14ac:dyDescent="0.25">
      <c r="B411" s="27" t="s">
        <v>320</v>
      </c>
      <c r="C411" s="1" t="s">
        <v>1875</v>
      </c>
      <c r="D411" s="1" t="s">
        <v>1832</v>
      </c>
      <c r="E411" s="1" t="s">
        <v>1835</v>
      </c>
      <c r="F411" s="1">
        <v>170</v>
      </c>
      <c r="G411" s="1" t="s">
        <v>1879</v>
      </c>
      <c r="I411" s="1" t="s">
        <v>1882</v>
      </c>
      <c r="K411" s="1" t="s">
        <v>1763</v>
      </c>
      <c r="L411" s="1" t="s">
        <v>1750</v>
      </c>
      <c r="M411" s="1" t="s">
        <v>362</v>
      </c>
      <c r="N411" s="6">
        <v>9.64</v>
      </c>
      <c r="O411" s="1" t="s">
        <v>4</v>
      </c>
      <c r="P411" s="1">
        <v>60</v>
      </c>
      <c r="Q411" s="1">
        <v>15</v>
      </c>
      <c r="R411" s="1">
        <v>10</v>
      </c>
      <c r="S411" s="1">
        <v>30</v>
      </c>
      <c r="T411" s="1">
        <v>38</v>
      </c>
      <c r="U411" s="253">
        <v>5</v>
      </c>
      <c r="V411" s="1">
        <v>80</v>
      </c>
      <c r="W411" s="44">
        <v>115</v>
      </c>
      <c r="X411" s="40">
        <f>_xlfn.XLOOKUP("Ripening", CropPhenology_Watermelon[Main_Stage], CropPhenology_Watermelon[Start_GDD], "Not Found")</f>
        <v>1301</v>
      </c>
      <c r="Y411" s="4" cm="1">
        <f t="array" ref="Y41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1" s="3">
        <f t="shared" si="248"/>
        <v>15.344021739130435</v>
      </c>
      <c r="AA411" s="41">
        <f t="shared" si="258"/>
        <v>101.01654092728367</v>
      </c>
      <c r="AB411" s="1">
        <v>8</v>
      </c>
      <c r="AC411" s="1">
        <v>18</v>
      </c>
      <c r="AD411" s="1">
        <v>4</v>
      </c>
      <c r="AE411" s="1">
        <v>85</v>
      </c>
      <c r="AF411" s="1">
        <v>12</v>
      </c>
      <c r="AG411" s="1">
        <v>4</v>
      </c>
      <c r="AH411" s="3">
        <f t="shared" si="259"/>
        <v>2.4649428471248247</v>
      </c>
      <c r="AI411" s="1">
        <v>6</v>
      </c>
      <c r="AJ411" s="1">
        <v>8</v>
      </c>
      <c r="AK411" s="159">
        <v>2.5</v>
      </c>
      <c r="AL411" s="150">
        <v>0.09</v>
      </c>
      <c r="AM411" s="1">
        <v>400</v>
      </c>
      <c r="AN411" s="1">
        <v>550</v>
      </c>
      <c r="AO411" s="48">
        <v>3</v>
      </c>
      <c r="AP411" s="44">
        <v>150</v>
      </c>
      <c r="AQ411" s="42">
        <v>0.82</v>
      </c>
      <c r="AR411" s="1">
        <v>100</v>
      </c>
      <c r="AS411" s="1">
        <v>40</v>
      </c>
      <c r="AT411" s="1">
        <v>3</v>
      </c>
      <c r="AU411" s="4">
        <f t="shared" si="260"/>
        <v>7.5</v>
      </c>
      <c r="AV411" s="3">
        <f t="shared" si="250"/>
        <v>4.5</v>
      </c>
      <c r="AW411" s="1">
        <v>85</v>
      </c>
      <c r="AX411" s="3">
        <f t="shared" si="261"/>
        <v>6.375</v>
      </c>
      <c r="AY411" s="1">
        <v>1</v>
      </c>
      <c r="AZ411" s="4">
        <f t="shared" si="262"/>
        <v>6.375</v>
      </c>
      <c r="BA411" s="49">
        <v>0.86</v>
      </c>
      <c r="BB411" s="4">
        <f t="shared" si="263"/>
        <v>5.4824999999999999</v>
      </c>
      <c r="BC411" s="50">
        <v>1.0587625771038829</v>
      </c>
      <c r="BD411" s="69">
        <f>IFERROR(
  MAX(0.05, MIN(0.5, CropNorms_Watermelon[[#This Row],[Leaf_Area_Per_Shoot_m2]] * CropNorms_Watermelon[[#This Row],[Shoot_Bearing_m2]] )),
  0.2
)</f>
        <v>0.5</v>
      </c>
      <c r="BE411" s="4">
        <f>_xlfn.XLOOKUP(CropNorms_Watermelon[[#This Row],[LAI_Start_BBCH]], CropPhenology_Watermelon[Sub_Stage], CropPhenology_Watermelon[Start_GDD], "Not Found")</f>
        <v>131</v>
      </c>
      <c r="BF411" s="3">
        <f t="shared" si="253"/>
        <v>5.8</v>
      </c>
      <c r="BG411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1" s="3">
        <f>IF(CropNorms_Watermelon[[#This Row],[Max_LAI]]&gt;=1.2, 0.85*CropNorms_Watermelon[[#This Row],[Max_LAI]], 1)</f>
        <v>4.93</v>
      </c>
      <c r="BI411" s="41">
        <f>_xlfn.XLOOKUP(CropNorms_Watermelon[[#This Row],[LAI_End_BBCH]], CropPhenology_Watermelon[Sub_Stage], CropPhenology_Watermelon[End_GDD], "Not Found")</f>
        <v>1300</v>
      </c>
      <c r="BJ411" s="3" cm="1">
        <f t="array" ref="BJ41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1" s="3" cm="1">
        <f t="array" ref="BK41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1" s="3" cm="1">
        <f t="array" ref="BL41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1" s="3" cm="1">
        <f t="array" ref="BM41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1" s="42">
        <v>0.75</v>
      </c>
      <c r="BO411" s="43">
        <v>0.92</v>
      </c>
      <c r="BP411" s="42">
        <v>27.24</v>
      </c>
      <c r="BQ411" s="43" t="s">
        <v>1741</v>
      </c>
      <c r="BR411" s="3" t="str" cm="1">
        <f t="array" ref="BR41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1" s="3" t="str" cm="1">
        <f t="array" ref="BS41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1" s="3" t="str" cm="1">
        <f t="array" ref="BT41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1" s="3" t="str" cm="1">
        <f t="array" ref="BU41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1" s="48">
        <v>100</v>
      </c>
      <c r="BW411" s="1">
        <v>50</v>
      </c>
      <c r="BX411" s="44">
        <v>70</v>
      </c>
      <c r="BY411" s="51">
        <v>44958</v>
      </c>
      <c r="BZ411" s="51">
        <v>45046</v>
      </c>
      <c r="CA411" s="85">
        <v>0</v>
      </c>
      <c r="CB411" s="2">
        <v>0</v>
      </c>
      <c r="CC411" s="2">
        <v>1</v>
      </c>
      <c r="CD411" s="2">
        <v>1</v>
      </c>
      <c r="CE411" s="2">
        <v>1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86">
        <v>0</v>
      </c>
    </row>
    <row r="412" spans="2:90" x14ac:dyDescent="0.25">
      <c r="B412" s="27" t="s">
        <v>320</v>
      </c>
      <c r="C412" s="1" t="s">
        <v>1866</v>
      </c>
      <c r="D412" s="1" t="s">
        <v>1832</v>
      </c>
      <c r="E412" s="1" t="s">
        <v>1835</v>
      </c>
      <c r="F412" s="1">
        <v>190</v>
      </c>
      <c r="G412" s="1" t="s">
        <v>1880</v>
      </c>
      <c r="I412" s="1" t="s">
        <v>1883</v>
      </c>
      <c r="K412" s="1" t="s">
        <v>1763</v>
      </c>
      <c r="L412" s="1" t="s">
        <v>1750</v>
      </c>
      <c r="M412" s="1" t="s">
        <v>362</v>
      </c>
      <c r="N412" s="6">
        <v>9.64</v>
      </c>
      <c r="O412" s="1" t="s">
        <v>4</v>
      </c>
      <c r="P412" s="1">
        <v>60</v>
      </c>
      <c r="Q412" s="1">
        <v>15</v>
      </c>
      <c r="R412" s="1">
        <v>10</v>
      </c>
      <c r="S412" s="1">
        <v>30</v>
      </c>
      <c r="T412" s="1">
        <v>38</v>
      </c>
      <c r="U412" s="253">
        <v>5</v>
      </c>
      <c r="V412" s="1">
        <v>80</v>
      </c>
      <c r="W412" s="44">
        <v>115</v>
      </c>
      <c r="X412" s="40">
        <f>_xlfn.XLOOKUP("Ripening", CropPhenology_Watermelon[Main_Stage], CropPhenology_Watermelon[Start_GDD], "Not Found")</f>
        <v>1301</v>
      </c>
      <c r="Y412" s="4" cm="1">
        <f t="array" ref="Y412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2" s="3">
        <f t="shared" si="248"/>
        <v>15.344021739130435</v>
      </c>
      <c r="AA412" s="41">
        <f t="shared" si="258"/>
        <v>101.01654092728367</v>
      </c>
      <c r="AB412" s="1">
        <v>8</v>
      </c>
      <c r="AC412" s="1">
        <v>18</v>
      </c>
      <c r="AD412" s="1">
        <v>4</v>
      </c>
      <c r="AE412" s="1">
        <v>85</v>
      </c>
      <c r="AF412" s="1">
        <v>12</v>
      </c>
      <c r="AG412" s="1">
        <v>4</v>
      </c>
      <c r="AH412" s="3">
        <f t="shared" si="259"/>
        <v>2.4649428471248247</v>
      </c>
      <c r="AI412" s="1">
        <v>6</v>
      </c>
      <c r="AJ412" s="1">
        <v>8</v>
      </c>
      <c r="AK412" s="159">
        <v>2.5</v>
      </c>
      <c r="AL412" s="150">
        <v>0.09</v>
      </c>
      <c r="AM412" s="1">
        <v>400</v>
      </c>
      <c r="AN412" s="1">
        <v>550</v>
      </c>
      <c r="AO412" s="48">
        <v>3</v>
      </c>
      <c r="AP412" s="44">
        <v>150</v>
      </c>
      <c r="AQ412" s="42">
        <v>0.82</v>
      </c>
      <c r="AR412" s="1">
        <v>100</v>
      </c>
      <c r="AS412" s="1">
        <v>40</v>
      </c>
      <c r="AT412" s="1">
        <v>3</v>
      </c>
      <c r="AU412" s="4">
        <f t="shared" si="260"/>
        <v>7.5</v>
      </c>
      <c r="AV412" s="3">
        <f t="shared" si="250"/>
        <v>4.5</v>
      </c>
      <c r="AW412" s="1">
        <v>85</v>
      </c>
      <c r="AX412" s="3">
        <f t="shared" si="261"/>
        <v>6.375</v>
      </c>
      <c r="AY412" s="1">
        <v>1</v>
      </c>
      <c r="AZ412" s="4">
        <f t="shared" si="262"/>
        <v>6.375</v>
      </c>
      <c r="BA412" s="49">
        <v>0.86</v>
      </c>
      <c r="BB412" s="4">
        <f t="shared" si="263"/>
        <v>5.4824999999999999</v>
      </c>
      <c r="BC412" s="50">
        <v>1.0587625771038829</v>
      </c>
      <c r="BD412" s="69">
        <f>IFERROR(
  MAX(0.05, MIN(0.5, CropNorms_Watermelon[[#This Row],[Leaf_Area_Per_Shoot_m2]] * CropNorms_Watermelon[[#This Row],[Shoot_Bearing_m2]] )),
  0.2
)</f>
        <v>0.5</v>
      </c>
      <c r="BE412" s="4">
        <f>_xlfn.XLOOKUP(CropNorms_Watermelon[[#This Row],[LAI_Start_BBCH]], CropPhenology_Watermelon[Sub_Stage], CropPhenology_Watermelon[Start_GDD], "Not Found")</f>
        <v>131</v>
      </c>
      <c r="BF412" s="3">
        <f t="shared" si="253"/>
        <v>5.8</v>
      </c>
      <c r="BG412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2" s="3">
        <f>IF(CropNorms_Watermelon[[#This Row],[Max_LAI]]&gt;=1.2, 0.85*CropNorms_Watermelon[[#This Row],[Max_LAI]], 1)</f>
        <v>4.93</v>
      </c>
      <c r="BI412" s="41">
        <f>_xlfn.XLOOKUP(CropNorms_Watermelon[[#This Row],[LAI_End_BBCH]], CropPhenology_Watermelon[Sub_Stage], CropPhenology_Watermelon[End_GDD], "Not Found")</f>
        <v>1300</v>
      </c>
      <c r="BJ412" s="3" cm="1">
        <f t="array" ref="BJ412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2" s="3" cm="1">
        <f t="array" ref="BK41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2" s="3" cm="1">
        <f t="array" ref="BL412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2" s="3" cm="1">
        <f t="array" ref="BM41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2" s="42">
        <v>0.75</v>
      </c>
      <c r="BO412" s="43">
        <v>0.92</v>
      </c>
      <c r="BP412" s="42">
        <v>27.24</v>
      </c>
      <c r="BQ412" s="43" t="s">
        <v>1741</v>
      </c>
      <c r="BR412" s="3" t="str" cm="1">
        <f t="array" ref="BR41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2" s="3" t="str" cm="1">
        <f t="array" ref="BS41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2" s="3" t="str" cm="1">
        <f t="array" ref="BT412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2" s="3" t="str" cm="1">
        <f t="array" ref="BU412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2" s="48">
        <v>100</v>
      </c>
      <c r="BW412" s="1">
        <v>50</v>
      </c>
      <c r="BX412" s="44">
        <v>70</v>
      </c>
      <c r="BY412" s="51">
        <v>44958</v>
      </c>
      <c r="BZ412" s="51">
        <v>45046</v>
      </c>
      <c r="CA412" s="85">
        <v>0</v>
      </c>
      <c r="CB412" s="2">
        <v>0</v>
      </c>
      <c r="CC412" s="2">
        <v>1</v>
      </c>
      <c r="CD412" s="2">
        <v>1</v>
      </c>
      <c r="CE412" s="2">
        <v>1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86">
        <v>0</v>
      </c>
    </row>
    <row r="413" spans="2:90" x14ac:dyDescent="0.25">
      <c r="B413" s="27" t="s">
        <v>320</v>
      </c>
      <c r="C413" s="1" t="s">
        <v>21</v>
      </c>
      <c r="D413" s="1" t="s">
        <v>1832</v>
      </c>
      <c r="E413" s="1" t="s">
        <v>1835</v>
      </c>
      <c r="F413" s="1">
        <v>220</v>
      </c>
      <c r="G413" s="1" t="s">
        <v>1878</v>
      </c>
      <c r="I413" s="1" t="s">
        <v>1882</v>
      </c>
      <c r="K413" s="1" t="s">
        <v>1763</v>
      </c>
      <c r="L413" s="1" t="s">
        <v>1750</v>
      </c>
      <c r="M413" s="1" t="s">
        <v>362</v>
      </c>
      <c r="N413" s="6">
        <v>9.64</v>
      </c>
      <c r="O413" s="1" t="s">
        <v>4</v>
      </c>
      <c r="P413" s="1">
        <v>60</v>
      </c>
      <c r="Q413" s="1">
        <v>15</v>
      </c>
      <c r="R413" s="1">
        <v>10</v>
      </c>
      <c r="S413" s="1">
        <v>30</v>
      </c>
      <c r="T413" s="1">
        <v>38</v>
      </c>
      <c r="U413" s="253">
        <v>5</v>
      </c>
      <c r="V413" s="1">
        <v>80</v>
      </c>
      <c r="W413" s="44">
        <v>115</v>
      </c>
      <c r="X413" s="40">
        <f>_xlfn.XLOOKUP("Ripening", CropPhenology_Watermelon[Main_Stage], CropPhenology_Watermelon[Start_GDD], "Not Found")</f>
        <v>1301</v>
      </c>
      <c r="Y413" s="4" cm="1">
        <f t="array" ref="Y413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3" s="3">
        <f t="shared" si="248"/>
        <v>15.344021739130435</v>
      </c>
      <c r="AA413" s="41">
        <f t="shared" si="258"/>
        <v>101.01654092728367</v>
      </c>
      <c r="AB413" s="1">
        <v>8</v>
      </c>
      <c r="AC413" s="1">
        <v>18</v>
      </c>
      <c r="AD413" s="1">
        <v>4</v>
      </c>
      <c r="AE413" s="1">
        <v>85</v>
      </c>
      <c r="AF413" s="1">
        <v>12</v>
      </c>
      <c r="AG413" s="1">
        <v>4</v>
      </c>
      <c r="AH413" s="3">
        <f>IFERROR((Y413-X413)/AA413,0)</f>
        <v>2.4649428471248247</v>
      </c>
      <c r="AI413" s="1">
        <v>6</v>
      </c>
      <c r="AJ413" s="1">
        <v>8</v>
      </c>
      <c r="AK413" s="159">
        <v>2.5</v>
      </c>
      <c r="AL413" s="150">
        <v>0.09</v>
      </c>
      <c r="AM413" s="1">
        <v>400</v>
      </c>
      <c r="AN413" s="1">
        <v>550</v>
      </c>
      <c r="AO413" s="48">
        <v>3</v>
      </c>
      <c r="AP413" s="44">
        <v>150</v>
      </c>
      <c r="AQ413" s="42">
        <v>0.82</v>
      </c>
      <c r="AR413" s="1">
        <v>100</v>
      </c>
      <c r="AS413" s="1">
        <v>40</v>
      </c>
      <c r="AT413" s="1">
        <v>3</v>
      </c>
      <c r="AU413" s="4">
        <f>IFERROR(10000/(AS413*AR413),0)*AT413</f>
        <v>7.5</v>
      </c>
      <c r="AV413" s="3">
        <f t="shared" si="250"/>
        <v>4.5</v>
      </c>
      <c r="AW413" s="1">
        <v>85</v>
      </c>
      <c r="AX413" s="3">
        <f>IFERROR((AU413*AW413/100),0)</f>
        <v>6.375</v>
      </c>
      <c r="AY413" s="1">
        <v>1</v>
      </c>
      <c r="AZ413" s="4">
        <f>IFERROR(AX413*AY413,0)</f>
        <v>6.375</v>
      </c>
      <c r="BA413" s="49">
        <v>0.86</v>
      </c>
      <c r="BB413" s="4">
        <f>IFERROR(AZ413*BA413,0)</f>
        <v>5.4824999999999999</v>
      </c>
      <c r="BC413" s="50">
        <v>1.0587625771038829</v>
      </c>
      <c r="BD413" s="69">
        <f>IFERROR(
  MAX(0.05, MIN(0.5, CropNorms_Watermelon[[#This Row],[Leaf_Area_Per_Shoot_m2]] * CropNorms_Watermelon[[#This Row],[Shoot_Bearing_m2]] )),
  0.2
)</f>
        <v>0.5</v>
      </c>
      <c r="BE413" s="4">
        <f>_xlfn.XLOOKUP(CropNorms_Watermelon[[#This Row],[LAI_Start_BBCH]], CropPhenology_Watermelon[Sub_Stage], CropPhenology_Watermelon[Start_GDD], "Not Found")</f>
        <v>131</v>
      </c>
      <c r="BF413" s="3">
        <f t="shared" si="253"/>
        <v>5.8</v>
      </c>
      <c r="BG413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3" s="3">
        <f>IF(CropNorms_Watermelon[[#This Row],[Max_LAI]]&gt;=1.2, 0.85*CropNorms_Watermelon[[#This Row],[Max_LAI]], 1)</f>
        <v>4.93</v>
      </c>
      <c r="BI413" s="41">
        <f>_xlfn.XLOOKUP(CropNorms_Watermelon[[#This Row],[LAI_End_BBCH]], CropPhenology_Watermelon[Sub_Stage], CropPhenology_Watermelon[End_GDD], "Not Found")</f>
        <v>1300</v>
      </c>
      <c r="BJ413" s="3" cm="1">
        <f t="array" ref="BJ413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3" s="3" cm="1">
        <f t="array" ref="BK41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3" s="3" cm="1">
        <f t="array" ref="BL413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3" s="3" cm="1">
        <f t="array" ref="BM41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3" s="42">
        <v>0.75</v>
      </c>
      <c r="BO413" s="43">
        <v>0.92</v>
      </c>
      <c r="BP413" s="42">
        <v>27.24</v>
      </c>
      <c r="BQ413" s="43" t="s">
        <v>1741</v>
      </c>
      <c r="BR413" s="3" t="str" cm="1">
        <f t="array" ref="BR41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3" s="3" t="str" cm="1">
        <f t="array" ref="BS41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3" s="3" t="str" cm="1">
        <f t="array" ref="BT413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3" s="3" t="str" cm="1">
        <f t="array" ref="BU413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3" s="48">
        <v>100</v>
      </c>
      <c r="BW413" s="1">
        <v>50</v>
      </c>
      <c r="BX413" s="44">
        <v>70</v>
      </c>
      <c r="BY413" s="51">
        <v>44958</v>
      </c>
      <c r="BZ413" s="51">
        <v>45046</v>
      </c>
      <c r="CA413" s="85">
        <v>0</v>
      </c>
      <c r="CB413" s="2">
        <v>0</v>
      </c>
      <c r="CC413" s="2">
        <v>1</v>
      </c>
      <c r="CD413" s="2">
        <v>1</v>
      </c>
      <c r="CE413" s="2">
        <v>1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86">
        <v>0</v>
      </c>
    </row>
    <row r="414" spans="2:90" x14ac:dyDescent="0.25">
      <c r="B414" s="27" t="s">
        <v>320</v>
      </c>
      <c r="C414" s="1" t="s">
        <v>1867</v>
      </c>
      <c r="D414" s="1" t="s">
        <v>1870</v>
      </c>
      <c r="E414" s="1" t="s">
        <v>1835</v>
      </c>
      <c r="F414" s="1">
        <v>200</v>
      </c>
      <c r="G414" s="1" t="s">
        <v>1881</v>
      </c>
      <c r="I414" s="1" t="s">
        <v>1883</v>
      </c>
      <c r="K414" s="1" t="s">
        <v>1763</v>
      </c>
      <c r="L414" s="1" t="s">
        <v>1750</v>
      </c>
      <c r="M414" s="1" t="s">
        <v>362</v>
      </c>
      <c r="N414" s="6">
        <v>9.64</v>
      </c>
      <c r="O414" s="1" t="s">
        <v>4</v>
      </c>
      <c r="P414" s="1">
        <v>60</v>
      </c>
      <c r="Q414" s="1">
        <v>15</v>
      </c>
      <c r="R414" s="1">
        <v>10</v>
      </c>
      <c r="S414" s="1">
        <v>30</v>
      </c>
      <c r="T414" s="1">
        <v>38</v>
      </c>
      <c r="U414" s="253">
        <v>5</v>
      </c>
      <c r="V414" s="1">
        <v>80</v>
      </c>
      <c r="W414" s="44">
        <v>115</v>
      </c>
      <c r="X414" s="40">
        <f>_xlfn.XLOOKUP("Ripening", CropPhenology_Watermelon[Main_Stage], CropPhenology_Watermelon[Start_GDD], "Not Found")</f>
        <v>1301</v>
      </c>
      <c r="Y414" s="4" cm="1">
        <f t="array" ref="Y414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4" s="3">
        <f t="shared" si="248"/>
        <v>15.344021739130435</v>
      </c>
      <c r="AA414" s="41">
        <f t="shared" si="258"/>
        <v>101.01654092728367</v>
      </c>
      <c r="AB414" s="1">
        <v>8</v>
      </c>
      <c r="AC414" s="1">
        <v>18</v>
      </c>
      <c r="AD414" s="1">
        <v>4</v>
      </c>
      <c r="AE414" s="1">
        <v>85</v>
      </c>
      <c r="AF414" s="1">
        <v>12</v>
      </c>
      <c r="AG414" s="1">
        <v>4</v>
      </c>
      <c r="AH414" s="3">
        <f>IFERROR((Y414-X414)/AA414,0)</f>
        <v>2.4649428471248247</v>
      </c>
      <c r="AI414" s="1">
        <v>6</v>
      </c>
      <c r="AJ414" s="1">
        <v>8</v>
      </c>
      <c r="AK414" s="159">
        <v>2.5</v>
      </c>
      <c r="AL414" s="150">
        <v>0.09</v>
      </c>
      <c r="AM414" s="1">
        <v>400</v>
      </c>
      <c r="AN414" s="1">
        <v>550</v>
      </c>
      <c r="AO414" s="48">
        <v>3</v>
      </c>
      <c r="AP414" s="44">
        <v>150</v>
      </c>
      <c r="AQ414" s="42">
        <v>0.82</v>
      </c>
      <c r="AR414" s="1">
        <v>100</v>
      </c>
      <c r="AS414" s="1">
        <v>40</v>
      </c>
      <c r="AT414" s="1">
        <v>3</v>
      </c>
      <c r="AU414" s="4">
        <f>IFERROR(10000/(AS414*AR414),0)*AT414</f>
        <v>7.5</v>
      </c>
      <c r="AV414" s="3">
        <f t="shared" si="250"/>
        <v>4.5</v>
      </c>
      <c r="AW414" s="1">
        <v>85</v>
      </c>
      <c r="AX414" s="3">
        <f>IFERROR((AU414*AW414/100),0)</f>
        <v>6.375</v>
      </c>
      <c r="AY414" s="1">
        <v>1</v>
      </c>
      <c r="AZ414" s="4">
        <f>IFERROR(AX414*AY414,0)</f>
        <v>6.375</v>
      </c>
      <c r="BA414" s="49">
        <v>0.86</v>
      </c>
      <c r="BB414" s="4">
        <f>IFERROR(AZ414*BA414,0)</f>
        <v>5.4824999999999999</v>
      </c>
      <c r="BC414" s="50">
        <v>1.0587625771038829</v>
      </c>
      <c r="BD414" s="69">
        <f>IFERROR(
  MAX(0.05, MIN(0.5, CropNorms_Watermelon[[#This Row],[Leaf_Area_Per_Shoot_m2]] * CropNorms_Watermelon[[#This Row],[Shoot_Bearing_m2]] )),
  0.2
)</f>
        <v>0.5</v>
      </c>
      <c r="BE414" s="4">
        <f>_xlfn.XLOOKUP(CropNorms_Watermelon[[#This Row],[LAI_Start_BBCH]], CropPhenology_Watermelon[Sub_Stage], CropPhenology_Watermelon[Start_GDD], "Not Found")</f>
        <v>131</v>
      </c>
      <c r="BF414" s="3">
        <f t="shared" si="253"/>
        <v>5.8</v>
      </c>
      <c r="BG414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4" s="3">
        <f>IF(CropNorms_Watermelon[[#This Row],[Max_LAI]]&gt;=1.2, 0.85*CropNorms_Watermelon[[#This Row],[Max_LAI]], 1)</f>
        <v>4.93</v>
      </c>
      <c r="BI414" s="41">
        <f>_xlfn.XLOOKUP(CropNorms_Watermelon[[#This Row],[LAI_End_BBCH]], CropPhenology_Watermelon[Sub_Stage], CropPhenology_Watermelon[End_GDD], "Not Found")</f>
        <v>1300</v>
      </c>
      <c r="BJ414" s="3" cm="1">
        <f t="array" ref="BJ414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4" s="3" cm="1">
        <f t="array" ref="BK41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4" s="3" cm="1">
        <f t="array" ref="BL414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4" s="3" cm="1">
        <f t="array" ref="BM41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4" s="42">
        <v>0.75</v>
      </c>
      <c r="BO414" s="43">
        <v>0.92</v>
      </c>
      <c r="BP414" s="42">
        <v>27.24</v>
      </c>
      <c r="BQ414" s="43" t="s">
        <v>1741</v>
      </c>
      <c r="BR414" s="3" t="str" cm="1">
        <f t="array" ref="BR41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4" s="3" t="str" cm="1">
        <f t="array" ref="BS41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4" s="3" t="str" cm="1">
        <f t="array" ref="BT414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4" s="3" t="str" cm="1">
        <f t="array" ref="BU414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4" s="48">
        <v>100</v>
      </c>
      <c r="BW414" s="1">
        <v>50</v>
      </c>
      <c r="BX414" s="44">
        <v>70</v>
      </c>
      <c r="BY414" s="51">
        <v>44958</v>
      </c>
      <c r="BZ414" s="51">
        <v>45046</v>
      </c>
      <c r="CA414" s="85">
        <v>0</v>
      </c>
      <c r="CB414" s="2">
        <v>0</v>
      </c>
      <c r="CC414" s="2">
        <v>1</v>
      </c>
      <c r="CD414" s="2">
        <v>1</v>
      </c>
      <c r="CE414" s="2">
        <v>1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86">
        <v>0</v>
      </c>
    </row>
    <row r="415" spans="2:90" x14ac:dyDescent="0.25">
      <c r="B415" s="27" t="s">
        <v>320</v>
      </c>
      <c r="C415" s="1" t="s">
        <v>1868</v>
      </c>
      <c r="D415" s="1" t="s">
        <v>1870</v>
      </c>
      <c r="E415" s="1" t="s">
        <v>1835</v>
      </c>
      <c r="F415" s="1">
        <v>190</v>
      </c>
      <c r="G415" s="1" t="s">
        <v>1879</v>
      </c>
      <c r="I415" s="1" t="s">
        <v>1882</v>
      </c>
      <c r="K415" s="1" t="s">
        <v>1763</v>
      </c>
      <c r="L415" s="1" t="s">
        <v>1750</v>
      </c>
      <c r="M415" s="1" t="s">
        <v>362</v>
      </c>
      <c r="N415" s="6">
        <v>9.64</v>
      </c>
      <c r="O415" s="1" t="s">
        <v>4</v>
      </c>
      <c r="P415" s="1">
        <v>60</v>
      </c>
      <c r="Q415" s="1">
        <v>15</v>
      </c>
      <c r="R415" s="1">
        <v>10</v>
      </c>
      <c r="S415" s="1">
        <v>30</v>
      </c>
      <c r="T415" s="1">
        <v>38</v>
      </c>
      <c r="U415" s="253">
        <v>5</v>
      </c>
      <c r="V415" s="1">
        <v>80</v>
      </c>
      <c r="W415" s="44">
        <v>115</v>
      </c>
      <c r="X415" s="40">
        <f>_xlfn.XLOOKUP("Ripening", CropPhenology_Watermelon[Main_Stage], CropPhenology_Watermelon[Start_GDD], "Not Found")</f>
        <v>1301</v>
      </c>
      <c r="Y415" s="4" cm="1">
        <f t="array" ref="Y415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5" s="3">
        <f t="shared" si="248"/>
        <v>15.344021739130435</v>
      </c>
      <c r="AA415" s="41">
        <f t="shared" si="258"/>
        <v>101.01654092728367</v>
      </c>
      <c r="AB415" s="1">
        <v>8</v>
      </c>
      <c r="AC415" s="1">
        <v>18</v>
      </c>
      <c r="AD415" s="1">
        <v>4</v>
      </c>
      <c r="AE415" s="1">
        <v>85</v>
      </c>
      <c r="AF415" s="1">
        <v>12</v>
      </c>
      <c r="AG415" s="1">
        <v>4</v>
      </c>
      <c r="AH415" s="3">
        <f>IFERROR((Y415-X415)/AA415,0)</f>
        <v>2.4649428471248247</v>
      </c>
      <c r="AI415" s="1">
        <v>6</v>
      </c>
      <c r="AJ415" s="1">
        <v>8</v>
      </c>
      <c r="AK415" s="159">
        <v>2.5</v>
      </c>
      <c r="AL415" s="150">
        <v>0.09</v>
      </c>
      <c r="AM415" s="1">
        <v>400</v>
      </c>
      <c r="AN415" s="1">
        <v>550</v>
      </c>
      <c r="AO415" s="48">
        <v>3</v>
      </c>
      <c r="AP415" s="44">
        <v>150</v>
      </c>
      <c r="AQ415" s="42">
        <v>0.82</v>
      </c>
      <c r="AR415" s="1">
        <v>100</v>
      </c>
      <c r="AS415" s="1">
        <v>40</v>
      </c>
      <c r="AT415" s="1">
        <v>3</v>
      </c>
      <c r="AU415" s="4">
        <f>IFERROR(10000/(AS415*AR415),0)*AT415</f>
        <v>7.5</v>
      </c>
      <c r="AV415" s="3">
        <f t="shared" si="250"/>
        <v>4.5</v>
      </c>
      <c r="AW415" s="1">
        <v>85</v>
      </c>
      <c r="AX415" s="3">
        <f>IFERROR((AU415*AW415/100),0)</f>
        <v>6.375</v>
      </c>
      <c r="AY415" s="1">
        <v>1</v>
      </c>
      <c r="AZ415" s="4">
        <f>IFERROR(AX415*AY415,0)</f>
        <v>6.375</v>
      </c>
      <c r="BA415" s="49">
        <v>0.86</v>
      </c>
      <c r="BB415" s="4">
        <f>IFERROR(AZ415*BA415,0)</f>
        <v>5.4824999999999999</v>
      </c>
      <c r="BC415" s="50">
        <v>1.0587625771038829</v>
      </c>
      <c r="BD415" s="69">
        <f>IFERROR(
  MAX(0.05, MIN(0.5, CropNorms_Watermelon[[#This Row],[Leaf_Area_Per_Shoot_m2]] * CropNorms_Watermelon[[#This Row],[Shoot_Bearing_m2]] )),
  0.2
)</f>
        <v>0.5</v>
      </c>
      <c r="BE415" s="4">
        <f>_xlfn.XLOOKUP(CropNorms_Watermelon[[#This Row],[LAI_Start_BBCH]], CropPhenology_Watermelon[Sub_Stage], CropPhenology_Watermelon[Start_GDD], "Not Found")</f>
        <v>131</v>
      </c>
      <c r="BF415" s="3">
        <f t="shared" si="253"/>
        <v>5.8</v>
      </c>
      <c r="BG415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5" s="3">
        <f>IF(CropNorms_Watermelon[[#This Row],[Max_LAI]]&gt;=1.2, 0.85*CropNorms_Watermelon[[#This Row],[Max_LAI]], 1)</f>
        <v>4.93</v>
      </c>
      <c r="BI415" s="41">
        <f>_xlfn.XLOOKUP(CropNorms_Watermelon[[#This Row],[LAI_End_BBCH]], CropPhenology_Watermelon[Sub_Stage], CropPhenology_Watermelon[End_GDD], "Not Found")</f>
        <v>1300</v>
      </c>
      <c r="BJ415" s="3" cm="1">
        <f t="array" ref="BJ415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5" s="3" cm="1">
        <f t="array" ref="BK41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5" s="3" cm="1">
        <f t="array" ref="BL415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5" s="3" cm="1">
        <f t="array" ref="BM41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5" s="42">
        <v>0.75</v>
      </c>
      <c r="BO415" s="43">
        <v>0.92</v>
      </c>
      <c r="BP415" s="42">
        <v>27.24</v>
      </c>
      <c r="BQ415" s="43" t="s">
        <v>1741</v>
      </c>
      <c r="BR415" s="3" t="str" cm="1">
        <f t="array" ref="BR41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5" s="3" t="str" cm="1">
        <f t="array" ref="BS41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5" s="3" t="str" cm="1">
        <f t="array" ref="BT415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5" s="3" t="str" cm="1">
        <f t="array" ref="BU415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5" s="48">
        <v>100</v>
      </c>
      <c r="BW415" s="1">
        <v>50</v>
      </c>
      <c r="BX415" s="44">
        <v>70</v>
      </c>
      <c r="BY415" s="51">
        <v>44958</v>
      </c>
      <c r="BZ415" s="51">
        <v>45046</v>
      </c>
      <c r="CA415" s="85">
        <v>0</v>
      </c>
      <c r="CB415" s="2">
        <v>0</v>
      </c>
      <c r="CC415" s="2">
        <v>1</v>
      </c>
      <c r="CD415" s="2">
        <v>1</v>
      </c>
      <c r="CE415" s="2">
        <v>1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86">
        <v>0</v>
      </c>
    </row>
    <row r="416" spans="2:90" ht="11.25" thickBot="1" x14ac:dyDescent="0.3">
      <c r="B416" s="27" t="s">
        <v>320</v>
      </c>
      <c r="C416" s="1" t="s">
        <v>1869</v>
      </c>
      <c r="D416" s="1" t="s">
        <v>1870</v>
      </c>
      <c r="E416" s="1" t="s">
        <v>1835</v>
      </c>
      <c r="F416" s="1">
        <v>180</v>
      </c>
      <c r="G416" s="1" t="s">
        <v>1877</v>
      </c>
      <c r="I416" s="1" t="s">
        <v>1882</v>
      </c>
      <c r="K416" s="1" t="s">
        <v>1763</v>
      </c>
      <c r="L416" s="1" t="s">
        <v>1750</v>
      </c>
      <c r="M416" s="1" t="s">
        <v>362</v>
      </c>
      <c r="N416" s="6">
        <v>9.64</v>
      </c>
      <c r="O416" s="1" t="s">
        <v>4</v>
      </c>
      <c r="P416" s="1">
        <v>60</v>
      </c>
      <c r="Q416" s="1">
        <v>15</v>
      </c>
      <c r="R416" s="1">
        <v>10</v>
      </c>
      <c r="S416" s="1">
        <v>30</v>
      </c>
      <c r="T416" s="1">
        <v>38</v>
      </c>
      <c r="U416" s="254">
        <v>5</v>
      </c>
      <c r="V416" s="1">
        <v>80</v>
      </c>
      <c r="W416" s="44">
        <v>115</v>
      </c>
      <c r="X416" s="40">
        <f>_xlfn.XLOOKUP("Ripening", CropPhenology_Watermelon[Main_Stage], CropPhenology_Watermelon[Start_GDD], "Not Found")</f>
        <v>1301</v>
      </c>
      <c r="Y416" s="4" cm="1">
        <f t="array" ref="Y416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Z416" s="3">
        <f t="shared" si="248"/>
        <v>15.344021739130435</v>
      </c>
      <c r="AA416" s="41">
        <f t="shared" si="249"/>
        <v>101.01654092728367</v>
      </c>
      <c r="AB416" s="1">
        <v>8</v>
      </c>
      <c r="AC416" s="1">
        <v>18</v>
      </c>
      <c r="AD416" s="1">
        <v>4</v>
      </c>
      <c r="AE416" s="1">
        <v>85</v>
      </c>
      <c r="AF416" s="1">
        <v>12</v>
      </c>
      <c r="AG416" s="1">
        <v>4</v>
      </c>
      <c r="AH416" s="3">
        <f t="shared" si="254"/>
        <v>2.4649428471248247</v>
      </c>
      <c r="AI416" s="1">
        <v>6</v>
      </c>
      <c r="AJ416" s="1">
        <v>8</v>
      </c>
      <c r="AK416" s="160">
        <v>2.5</v>
      </c>
      <c r="AL416" s="161">
        <v>0.09</v>
      </c>
      <c r="AM416" s="1">
        <v>400</v>
      </c>
      <c r="AN416" s="1">
        <v>550</v>
      </c>
      <c r="AO416" s="48">
        <v>3</v>
      </c>
      <c r="AP416" s="44">
        <v>150</v>
      </c>
      <c r="AQ416" s="42">
        <v>0.75</v>
      </c>
      <c r="AR416" s="1">
        <v>100</v>
      </c>
      <c r="AS416" s="1">
        <v>40</v>
      </c>
      <c r="AT416" s="1">
        <v>3</v>
      </c>
      <c r="AU416" s="4">
        <f t="shared" si="255"/>
        <v>7.5</v>
      </c>
      <c r="AV416" s="3">
        <f t="shared" si="250"/>
        <v>4.5</v>
      </c>
      <c r="AW416" s="1">
        <v>85</v>
      </c>
      <c r="AX416" s="3">
        <f t="shared" si="256"/>
        <v>6.375</v>
      </c>
      <c r="AY416" s="1">
        <v>1</v>
      </c>
      <c r="AZ416" s="4">
        <f t="shared" si="257"/>
        <v>6.375</v>
      </c>
      <c r="BA416" s="49">
        <v>0.86</v>
      </c>
      <c r="BB416" s="4">
        <f t="shared" si="252"/>
        <v>5.4824999999999999</v>
      </c>
      <c r="BC416" s="50">
        <v>1.0587625771038829</v>
      </c>
      <c r="BD416" s="69">
        <f>IFERROR(
  MAX(0.05, MIN(0.5, CropNorms_Watermelon[[#This Row],[Leaf_Area_Per_Shoot_m2]] * CropNorms_Watermelon[[#This Row],[Shoot_Bearing_m2]] )),
  0.2
)</f>
        <v>0.5</v>
      </c>
      <c r="BE416" s="4">
        <f>_xlfn.XLOOKUP(CropNorms_Watermelon[[#This Row],[LAI_Start_BBCH]], CropPhenology_Watermelon[Sub_Stage], CropPhenology_Watermelon[Start_GDD], "Not Found")</f>
        <v>131</v>
      </c>
      <c r="BF416" s="3">
        <f t="shared" si="253"/>
        <v>5.8</v>
      </c>
      <c r="BG416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H416" s="3">
        <f>IF(CropNorms_Watermelon[[#This Row],[Max_LAI]]&gt;=1.2, 0.85*CropNorms_Watermelon[[#This Row],[Max_LAI]], 1)</f>
        <v>4.93</v>
      </c>
      <c r="BI416" s="41">
        <f>_xlfn.XLOOKUP(CropNorms_Watermelon[[#This Row],[LAI_End_BBCH]], CropPhenology_Watermelon[Sub_Stage], CropPhenology_Watermelon[End_GDD], "Not Found")</f>
        <v>1300</v>
      </c>
      <c r="BJ416" s="3" cm="1">
        <f t="array" ref="BJ416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K416" s="3" cm="1">
        <f t="array" ref="BK41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L416" s="3" cm="1">
        <f t="array" ref="BL416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M416" s="3" cm="1">
        <f t="array" ref="BM41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6" s="42">
        <v>0.75</v>
      </c>
      <c r="BO416" s="43">
        <v>0.92</v>
      </c>
      <c r="BP416" s="42">
        <v>27.24</v>
      </c>
      <c r="BQ416" s="43" t="s">
        <v>1741</v>
      </c>
      <c r="BR416" s="3" t="str" cm="1">
        <f t="array" ref="BR41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6" s="3" t="str" cm="1">
        <f t="array" ref="BS41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T416" s="3" t="str" cm="1">
        <f t="array" ref="BT416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U416" s="3" t="str" cm="1">
        <f t="array" ref="BU416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V416" s="48">
        <v>100</v>
      </c>
      <c r="BW416" s="1">
        <v>50</v>
      </c>
      <c r="BX416" s="44">
        <v>70</v>
      </c>
      <c r="BY416" s="51">
        <v>44958</v>
      </c>
      <c r="BZ416" s="51">
        <v>45046</v>
      </c>
      <c r="CA416" s="87">
        <v>0</v>
      </c>
      <c r="CB416" s="88">
        <v>0</v>
      </c>
      <c r="CC416" s="88">
        <v>1</v>
      </c>
      <c r="CD416" s="88">
        <v>1</v>
      </c>
      <c r="CE416" s="88">
        <v>1</v>
      </c>
      <c r="CF416" s="88">
        <v>0</v>
      </c>
      <c r="CG416" s="88">
        <v>0</v>
      </c>
      <c r="CH416" s="88">
        <v>0</v>
      </c>
      <c r="CI416" s="88">
        <v>0</v>
      </c>
      <c r="CJ416" s="88">
        <v>0</v>
      </c>
      <c r="CK416" s="88">
        <v>0</v>
      </c>
      <c r="CL416" s="89">
        <v>0</v>
      </c>
    </row>
    <row r="417" spans="2:90" ht="11.25" thickBot="1" x14ac:dyDescent="0.3">
      <c r="B417" s="66"/>
      <c r="Y417" s="3"/>
      <c r="Z417" s="4"/>
      <c r="AG417" s="3"/>
      <c r="AR417" s="4"/>
      <c r="AS417" s="3"/>
      <c r="AU417" s="3"/>
      <c r="AW417" s="4"/>
      <c r="AX417" s="49"/>
      <c r="AY417" s="4"/>
      <c r="BV417" s="51"/>
      <c r="BW417" s="51"/>
    </row>
    <row r="418" spans="2:90" ht="11.25" thickBot="1" x14ac:dyDescent="0.3">
      <c r="B418" s="147" t="s">
        <v>1753</v>
      </c>
      <c r="C418" s="53" t="s">
        <v>1754</v>
      </c>
      <c r="D418" s="53" t="s">
        <v>1804</v>
      </c>
      <c r="E418" s="53" t="s">
        <v>1805</v>
      </c>
      <c r="F418" s="53" t="s">
        <v>1806</v>
      </c>
      <c r="G418" s="53" t="s">
        <v>1807</v>
      </c>
      <c r="H418" s="53" t="s">
        <v>1808</v>
      </c>
      <c r="I418" s="53" t="s">
        <v>1809</v>
      </c>
      <c r="J418" s="53" t="s">
        <v>1810</v>
      </c>
      <c r="K418" s="53" t="s">
        <v>1747</v>
      </c>
      <c r="L418" s="54" t="s">
        <v>1749</v>
      </c>
      <c r="M418" s="53" t="s">
        <v>357</v>
      </c>
      <c r="N418" s="55" t="s">
        <v>692</v>
      </c>
      <c r="O418" s="53" t="s">
        <v>325</v>
      </c>
      <c r="P418" s="53" t="s">
        <v>356</v>
      </c>
      <c r="Q418" s="53" t="s">
        <v>326</v>
      </c>
      <c r="R418" s="53" t="s">
        <v>327</v>
      </c>
      <c r="S418" s="53" t="s">
        <v>328</v>
      </c>
      <c r="T418" s="53" t="s">
        <v>329</v>
      </c>
      <c r="U418" s="250" t="s">
        <v>2349</v>
      </c>
      <c r="V418" s="53" t="s">
        <v>330</v>
      </c>
      <c r="W418" s="53" t="s">
        <v>331</v>
      </c>
      <c r="X418" s="56" t="s">
        <v>354</v>
      </c>
      <c r="Y418" s="57" t="s">
        <v>355</v>
      </c>
      <c r="Z418" s="58" t="s">
        <v>413</v>
      </c>
      <c r="AA418" s="59" t="s">
        <v>583</v>
      </c>
      <c r="AB418" s="53" t="s">
        <v>324</v>
      </c>
      <c r="AC418" s="53" t="s">
        <v>332</v>
      </c>
      <c r="AD418" s="53" t="s">
        <v>333</v>
      </c>
      <c r="AE418" s="53" t="s">
        <v>334</v>
      </c>
      <c r="AF418" s="53" t="s">
        <v>335</v>
      </c>
      <c r="AG418" s="53" t="s">
        <v>336</v>
      </c>
      <c r="AH418" s="60" t="s">
        <v>337</v>
      </c>
      <c r="AI418" s="53" t="s">
        <v>338</v>
      </c>
      <c r="AJ418" s="53" t="s">
        <v>339</v>
      </c>
      <c r="AK418" s="157" t="s">
        <v>2346</v>
      </c>
      <c r="AL418" s="158" t="s">
        <v>2347</v>
      </c>
      <c r="AM418" s="53" t="s">
        <v>340</v>
      </c>
      <c r="AN418" s="53" t="s">
        <v>341</v>
      </c>
      <c r="AO418" s="61" t="s">
        <v>342</v>
      </c>
      <c r="AP418" s="62" t="s">
        <v>343</v>
      </c>
      <c r="AQ418" s="55" t="s">
        <v>344</v>
      </c>
      <c r="AR418" s="53" t="s">
        <v>345</v>
      </c>
      <c r="AS418" s="53" t="s">
        <v>346</v>
      </c>
      <c r="AT418" s="53" t="s">
        <v>364</v>
      </c>
      <c r="AU418" s="60" t="s">
        <v>347</v>
      </c>
      <c r="AV418" s="58" t="s">
        <v>363</v>
      </c>
      <c r="AW418" s="53" t="s">
        <v>348</v>
      </c>
      <c r="AX418" s="58" t="s">
        <v>349</v>
      </c>
      <c r="AY418" s="53" t="s">
        <v>366</v>
      </c>
      <c r="AZ418" s="60" t="s">
        <v>350</v>
      </c>
      <c r="BA418" s="53" t="s">
        <v>365</v>
      </c>
      <c r="BB418" s="60" t="s">
        <v>1827</v>
      </c>
      <c r="BC418" s="63" t="s">
        <v>351</v>
      </c>
      <c r="BD418" s="71" t="s">
        <v>1811</v>
      </c>
      <c r="BE418" s="57" t="s">
        <v>352</v>
      </c>
      <c r="BF418" s="58" t="s">
        <v>1812</v>
      </c>
      <c r="BG418" s="57" t="s">
        <v>1752</v>
      </c>
      <c r="BH418" s="60" t="s">
        <v>1813</v>
      </c>
      <c r="BI418" s="59" t="s">
        <v>353</v>
      </c>
      <c r="BJ418" s="71" t="s">
        <v>1828</v>
      </c>
      <c r="BK418" s="58" t="s">
        <v>1829</v>
      </c>
      <c r="BL418" s="58" t="s">
        <v>1830</v>
      </c>
      <c r="BM418" s="72" t="s">
        <v>1831</v>
      </c>
      <c r="BN418" s="64" t="s">
        <v>1154</v>
      </c>
      <c r="BO418" s="65" t="s">
        <v>1742</v>
      </c>
      <c r="BP418" s="64" t="s">
        <v>1155</v>
      </c>
      <c r="BQ418" s="65" t="s">
        <v>1755</v>
      </c>
      <c r="BR418" s="58" t="s">
        <v>367</v>
      </c>
      <c r="BS418" s="58" t="s">
        <v>1751</v>
      </c>
      <c r="BT418" s="58" t="s">
        <v>368</v>
      </c>
      <c r="BU418" s="60" t="s">
        <v>1814</v>
      </c>
      <c r="BV418" s="61" t="s">
        <v>369</v>
      </c>
      <c r="BW418" s="53" t="s">
        <v>370</v>
      </c>
      <c r="BX418" s="62" t="s">
        <v>371</v>
      </c>
      <c r="BY418" s="53" t="s">
        <v>359</v>
      </c>
      <c r="BZ418" s="53" t="s">
        <v>361</v>
      </c>
      <c r="CA418" s="61" t="s">
        <v>1815</v>
      </c>
      <c r="CB418" s="53" t="s">
        <v>1816</v>
      </c>
      <c r="CC418" s="53" t="s">
        <v>1817</v>
      </c>
      <c r="CD418" s="53" t="s">
        <v>1818</v>
      </c>
      <c r="CE418" s="53" t="s">
        <v>1819</v>
      </c>
      <c r="CF418" s="53" t="s">
        <v>1820</v>
      </c>
      <c r="CG418" s="53" t="s">
        <v>1821</v>
      </c>
      <c r="CH418" s="53" t="s">
        <v>1822</v>
      </c>
      <c r="CI418" s="53" t="s">
        <v>1823</v>
      </c>
      <c r="CJ418" s="53" t="s">
        <v>1824</v>
      </c>
      <c r="CK418" s="53" t="s">
        <v>1825</v>
      </c>
      <c r="CL418" s="53" t="s">
        <v>1826</v>
      </c>
    </row>
    <row r="419" spans="2:90" x14ac:dyDescent="0.25">
      <c r="B419" s="27" t="s">
        <v>321</v>
      </c>
      <c r="C419" s="2" t="s">
        <v>2122</v>
      </c>
      <c r="D419" s="2" t="s">
        <v>1832</v>
      </c>
      <c r="E419" s="2" t="s">
        <v>1835</v>
      </c>
      <c r="F419" s="90">
        <v>105</v>
      </c>
      <c r="G419" s="2" t="s">
        <v>2123</v>
      </c>
      <c r="H419" s="2" t="s">
        <v>2124</v>
      </c>
      <c r="I419" s="2" t="s">
        <v>1841</v>
      </c>
      <c r="J419" s="2" t="s">
        <v>2341</v>
      </c>
      <c r="K419" s="2" t="s">
        <v>1748</v>
      </c>
      <c r="L419" s="2" t="s">
        <v>1750</v>
      </c>
      <c r="M419" s="2" t="s">
        <v>358</v>
      </c>
      <c r="N419" s="49"/>
      <c r="O419" s="2" t="s">
        <v>2078</v>
      </c>
      <c r="P419" s="2">
        <v>42</v>
      </c>
      <c r="Q419" s="2">
        <v>5</v>
      </c>
      <c r="R419" s="2">
        <v>6.7</v>
      </c>
      <c r="S419" s="2">
        <v>28</v>
      </c>
      <c r="T419" s="2">
        <v>35</v>
      </c>
      <c r="U419" s="253">
        <v>6</v>
      </c>
      <c r="V419" s="2">
        <v>124</v>
      </c>
      <c r="W419" s="86">
        <v>140</v>
      </c>
      <c r="X419" s="40">
        <f>_xlfn.XLOOKUP("Ripening", CropPhenology_Wheat[Main_Stage], CropPhenology_Wheat[Start_GDD], "Not Found")</f>
        <v>1501</v>
      </c>
      <c r="Y419" s="4" cm="1">
        <f t="array" ref="Y41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19" s="3">
        <f t="shared" ref="Z419:Z450" si="264">MIN(Y419/V419,MAX(X419/W419,R419,(X419/W419+Y419/V419)/2))</f>
        <v>12.215552995391704</v>
      </c>
      <c r="AA419" s="41">
        <f t="shared" ref="AA419:AA439" si="265">Y419/Z419</f>
        <v>139.16684743141158</v>
      </c>
      <c r="AB419" s="2">
        <v>7</v>
      </c>
      <c r="AC419" s="2">
        <v>5</v>
      </c>
      <c r="AD419" s="2">
        <v>2</v>
      </c>
      <c r="AE419" s="2">
        <v>80</v>
      </c>
      <c r="AF419" s="2">
        <v>0</v>
      </c>
      <c r="AG419" s="2">
        <v>5</v>
      </c>
      <c r="AH419" s="49">
        <f>IFERROR((Y419-X419)/AA419,0)</f>
        <v>1.4299382624017347</v>
      </c>
      <c r="AI419" s="2">
        <v>5.5</v>
      </c>
      <c r="AJ419" s="2">
        <v>8</v>
      </c>
      <c r="AK419" s="159">
        <v>6</v>
      </c>
      <c r="AL419" s="150">
        <v>7.0999999999999994E-2</v>
      </c>
      <c r="AM419" s="2">
        <v>195</v>
      </c>
      <c r="AN419" s="2">
        <v>285</v>
      </c>
      <c r="AO419" s="85">
        <v>5</v>
      </c>
      <c r="AP419" s="86">
        <v>100</v>
      </c>
      <c r="AQ419" s="149">
        <v>0.8</v>
      </c>
      <c r="AR419" s="2">
        <v>20</v>
      </c>
      <c r="AS419" s="2">
        <v>2.5</v>
      </c>
      <c r="AT419" s="2">
        <v>1</v>
      </c>
      <c r="AU419" s="4">
        <f t="shared" ref="AU419:AU439" si="266">IFERROR(10000/(AS419*AR419),0)*AT419</f>
        <v>200</v>
      </c>
      <c r="AV419" s="3">
        <f t="shared" ref="AV419:AV450" si="267">ROUND((P419/1000000)*AU419*10000,2)</f>
        <v>84</v>
      </c>
      <c r="AW419" s="2">
        <v>90</v>
      </c>
      <c r="AX419" s="3">
        <f>IFERROR((AU419*AW419/100),0)</f>
        <v>180</v>
      </c>
      <c r="AY419" s="2">
        <v>4</v>
      </c>
      <c r="AZ419" s="4">
        <f t="shared" ref="AZ419:AZ439" si="268">IFERROR(AX419*AY419,0)</f>
        <v>720</v>
      </c>
      <c r="BA419" s="49">
        <v>0.8</v>
      </c>
      <c r="BB419" s="4">
        <f t="shared" ref="BB419:BB439" si="269">IFERROR(AZ419*BA419,0)</f>
        <v>576</v>
      </c>
      <c r="BC419" s="150">
        <v>8.0000000000000002E-3</v>
      </c>
      <c r="BD419" s="69">
        <f>IFERROR(
  MAX(0.05, MIN(0.5, CropNorms_Wheat[[#This Row],[Leaf_Area_Per_Shoot_m2]] * CropNorms_Wheat[[#This Row],[Shoot_Bearing_m2]] )),
  0.2
)</f>
        <v>0.5</v>
      </c>
      <c r="BE419" s="4">
        <f>_xlfn.XLOOKUP(CropNorms_Wheat[[#This Row],[LAI_Start_BBCH]], CropPhenology_Wheat[Sub_Stage], CropPhenology_Wheat[Start_GDD], "Not Found")</f>
        <v>151</v>
      </c>
      <c r="BF419" s="3">
        <f t="shared" ref="BF419:BF450" si="270">ROUND(BB419*BC419,2)</f>
        <v>4.6100000000000003</v>
      </c>
      <c r="BG41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19" s="3">
        <f>IF(CropNorms_Wheat[[#This Row],[Max_LAI]]&gt;=1.2, 0.85*CropNorms_Wheat[[#This Row],[Max_LAI]], 1)</f>
        <v>3.9185000000000003</v>
      </c>
      <c r="BI419" s="41">
        <f>_xlfn.XLOOKUP(CropNorms_Wheat[[#This Row],[LAI_End_BBCH]], CropPhenology_Wheat[Sub_Stage], CropPhenology_Wheat[End_GDD], "Not Found")</f>
        <v>1500</v>
      </c>
      <c r="BJ419" s="3" cm="1">
        <f t="array" ref="BJ41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19" s="3" cm="1">
        <f t="array" ref="BK41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19" s="3" cm="1">
        <f t="array" ref="BL41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19" s="3" cm="1">
        <f t="array" ref="BM41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19" s="42">
        <v>0.4</v>
      </c>
      <c r="BO419" s="43">
        <v>0</v>
      </c>
      <c r="BP419" s="42">
        <v>3.25</v>
      </c>
      <c r="BQ419" s="43" t="s">
        <v>1795</v>
      </c>
      <c r="BR419" s="3" t="str" cm="1">
        <f t="array" ref="BR41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19" s="3" t="str" cm="1">
        <f t="array" ref="BS41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19" s="3" t="str" cm="1">
        <f t="array" ref="BT41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19" s="3" t="str" cm="1">
        <f t="array" ref="BU41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19" s="48">
        <v>80</v>
      </c>
      <c r="BW419" s="1">
        <v>40</v>
      </c>
      <c r="BX419" s="44">
        <v>40</v>
      </c>
      <c r="BY419" s="151">
        <v>45962</v>
      </c>
      <c r="BZ419" s="151">
        <v>46022</v>
      </c>
      <c r="CA419" s="152">
        <v>0</v>
      </c>
      <c r="CB419" s="153">
        <v>0</v>
      </c>
      <c r="CC419" s="153">
        <v>1</v>
      </c>
      <c r="CD419" s="153">
        <v>1</v>
      </c>
      <c r="CE419" s="153">
        <v>1</v>
      </c>
      <c r="CF419" s="153">
        <v>0</v>
      </c>
      <c r="CG419" s="153">
        <v>0</v>
      </c>
      <c r="CH419" s="153">
        <v>0</v>
      </c>
      <c r="CI419" s="153">
        <v>0</v>
      </c>
      <c r="CJ419" s="153">
        <v>0</v>
      </c>
      <c r="CK419" s="153">
        <v>0</v>
      </c>
      <c r="CL419" s="153">
        <v>0</v>
      </c>
    </row>
    <row r="420" spans="2:90" x14ac:dyDescent="0.25">
      <c r="B420" s="27" t="s">
        <v>321</v>
      </c>
      <c r="C420" s="2" t="s">
        <v>2125</v>
      </c>
      <c r="D420" s="2" t="s">
        <v>2126</v>
      </c>
      <c r="E420" s="2" t="s">
        <v>2127</v>
      </c>
      <c r="F420" s="90">
        <v>117</v>
      </c>
      <c r="G420" s="2"/>
      <c r="H420" s="2" t="s">
        <v>2128</v>
      </c>
      <c r="I420" s="2"/>
      <c r="J420" s="2" t="s">
        <v>2341</v>
      </c>
      <c r="K420" s="2" t="s">
        <v>1748</v>
      </c>
      <c r="L420" s="2" t="s">
        <v>1750</v>
      </c>
      <c r="M420" s="2" t="s">
        <v>358</v>
      </c>
      <c r="N420" s="49"/>
      <c r="O420" s="2" t="s">
        <v>2078</v>
      </c>
      <c r="P420" s="2">
        <v>46</v>
      </c>
      <c r="Q420" s="2">
        <v>5</v>
      </c>
      <c r="R420" s="2">
        <v>6.7</v>
      </c>
      <c r="S420" s="2">
        <v>28</v>
      </c>
      <c r="T420" s="2">
        <v>35</v>
      </c>
      <c r="U420" s="251">
        <v>6</v>
      </c>
      <c r="V420" s="2">
        <v>130</v>
      </c>
      <c r="W420" s="86">
        <v>150</v>
      </c>
      <c r="X420" s="40">
        <f>_xlfn.XLOOKUP("Ripening", CropPhenology_Wheat[Main_Stage], CropPhenology_Wheat[Start_GDD], "Not Found")</f>
        <v>1501</v>
      </c>
      <c r="Y420" s="4" cm="1">
        <f t="array" ref="Y42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0" s="3">
        <f t="shared" si="264"/>
        <v>11.54179487179487</v>
      </c>
      <c r="AA420" s="41">
        <f t="shared" si="265"/>
        <v>147.29078266278631</v>
      </c>
      <c r="AB420" s="2">
        <v>6</v>
      </c>
      <c r="AC420" s="2">
        <v>5</v>
      </c>
      <c r="AD420" s="2">
        <v>2</v>
      </c>
      <c r="AE420" s="2">
        <v>80</v>
      </c>
      <c r="AF420" s="2">
        <v>0</v>
      </c>
      <c r="AG420" s="2">
        <v>5</v>
      </c>
      <c r="AH420" s="49">
        <f t="shared" ref="AH420:AH483" si="271">IFERROR((Y420-X420)/AA420,0)</f>
        <v>1.3510689291101055</v>
      </c>
      <c r="AI420" s="2">
        <v>5.5</v>
      </c>
      <c r="AJ420" s="2">
        <v>8</v>
      </c>
      <c r="AK420" s="165">
        <v>6</v>
      </c>
      <c r="AL420" s="166">
        <v>7.0999999999999994E-2</v>
      </c>
      <c r="AM420" s="2">
        <v>195</v>
      </c>
      <c r="AN420" s="2">
        <v>285</v>
      </c>
      <c r="AO420" s="85">
        <v>5</v>
      </c>
      <c r="AP420" s="86">
        <v>100</v>
      </c>
      <c r="AQ420" s="149">
        <v>0.8</v>
      </c>
      <c r="AR420" s="2">
        <v>20</v>
      </c>
      <c r="AS420" s="2">
        <v>2.5</v>
      </c>
      <c r="AT420" s="2">
        <v>1</v>
      </c>
      <c r="AU420" s="4">
        <f t="shared" si="266"/>
        <v>200</v>
      </c>
      <c r="AV420" s="3">
        <f t="shared" si="267"/>
        <v>92</v>
      </c>
      <c r="AW420" s="2">
        <v>90</v>
      </c>
      <c r="AX420" s="3">
        <f t="shared" ref="AX420:AX439" si="272">IFERROR((AU420*AW420/100),0)</f>
        <v>180</v>
      </c>
      <c r="AY420" s="2">
        <v>5</v>
      </c>
      <c r="AZ420" s="4">
        <f t="shared" si="268"/>
        <v>900</v>
      </c>
      <c r="BA420" s="49">
        <v>0.8</v>
      </c>
      <c r="BB420" s="4">
        <f t="shared" si="269"/>
        <v>720</v>
      </c>
      <c r="BC420" s="150">
        <v>8.0000000000000002E-3</v>
      </c>
      <c r="BD420" s="69">
        <f>IFERROR(
  MAX(0.05, MIN(0.5, CropNorms_Wheat[[#This Row],[Leaf_Area_Per_Shoot_m2]] * CropNorms_Wheat[[#This Row],[Shoot_Bearing_m2]] )),
  0.2
)</f>
        <v>0.5</v>
      </c>
      <c r="BE420" s="4">
        <f>_xlfn.XLOOKUP(CropNorms_Wheat[[#This Row],[LAI_Start_BBCH]], CropPhenology_Wheat[Sub_Stage], CropPhenology_Wheat[Start_GDD], "Not Found")</f>
        <v>151</v>
      </c>
      <c r="BF420" s="3">
        <f t="shared" si="270"/>
        <v>5.76</v>
      </c>
      <c r="BG42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0" s="3">
        <f>IF(CropNorms_Wheat[[#This Row],[Max_LAI]]&gt;=1.2, 0.85*CropNorms_Wheat[[#This Row],[Max_LAI]], 1)</f>
        <v>4.8959999999999999</v>
      </c>
      <c r="BI420" s="41">
        <f>_xlfn.XLOOKUP(CropNorms_Wheat[[#This Row],[LAI_End_BBCH]], CropPhenology_Wheat[Sub_Stage], CropPhenology_Wheat[End_GDD], "Not Found")</f>
        <v>1500</v>
      </c>
      <c r="BJ420" s="3" cm="1">
        <f t="array" ref="BJ42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0" s="3" cm="1">
        <f t="array" ref="BK42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20" s="3" cm="1">
        <f t="array" ref="BL42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20" s="3" cm="1">
        <f t="array" ref="BM42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0" s="42">
        <f>0.42</f>
        <v>0.42</v>
      </c>
      <c r="BO420" s="43">
        <v>0</v>
      </c>
      <c r="BP420" s="42">
        <v>3.4125000000000001</v>
      </c>
      <c r="BQ420" s="43" t="s">
        <v>1795</v>
      </c>
      <c r="BR420" s="3" t="str" cm="1">
        <f t="array" ref="BR42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0" s="3" t="str" cm="1">
        <f t="array" ref="BS42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0" s="3" t="str" cm="1">
        <f t="array" ref="BT42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0" s="3" t="str" cm="1">
        <f t="array" ref="BU42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0" s="48">
        <v>80</v>
      </c>
      <c r="BW420" s="1">
        <v>40</v>
      </c>
      <c r="BX420" s="44">
        <v>40</v>
      </c>
      <c r="BY420" s="151">
        <v>45962</v>
      </c>
      <c r="BZ420" s="151">
        <v>46022</v>
      </c>
      <c r="CA420" s="152">
        <v>0</v>
      </c>
      <c r="CB420" s="153">
        <v>0</v>
      </c>
      <c r="CC420" s="153">
        <v>1</v>
      </c>
      <c r="CD420" s="153">
        <v>1</v>
      </c>
      <c r="CE420" s="153">
        <v>1</v>
      </c>
      <c r="CF420" s="153">
        <v>0</v>
      </c>
      <c r="CG420" s="153">
        <v>0</v>
      </c>
      <c r="CH420" s="153">
        <v>0</v>
      </c>
      <c r="CI420" s="153">
        <v>0</v>
      </c>
      <c r="CJ420" s="153">
        <v>0</v>
      </c>
      <c r="CK420" s="153">
        <v>0</v>
      </c>
      <c r="CL420" s="153">
        <v>0</v>
      </c>
    </row>
    <row r="421" spans="2:90" x14ac:dyDescent="0.25">
      <c r="B421" s="27" t="s">
        <v>321</v>
      </c>
      <c r="C421" s="2" t="s">
        <v>2129</v>
      </c>
      <c r="D421" s="2" t="s">
        <v>1832</v>
      </c>
      <c r="E421" s="2" t="s">
        <v>2127</v>
      </c>
      <c r="F421" s="90">
        <v>120</v>
      </c>
      <c r="G421" s="2" t="s">
        <v>2130</v>
      </c>
      <c r="H421" s="2" t="s">
        <v>2131</v>
      </c>
      <c r="I421" s="2" t="s">
        <v>1841</v>
      </c>
      <c r="J421" s="2" t="s">
        <v>2132</v>
      </c>
      <c r="K421" s="2" t="s">
        <v>1748</v>
      </c>
      <c r="L421" s="2" t="s">
        <v>1750</v>
      </c>
      <c r="M421" s="2" t="s">
        <v>358</v>
      </c>
      <c r="N421" s="49"/>
      <c r="O421" s="2" t="s">
        <v>2078</v>
      </c>
      <c r="P421" s="2">
        <v>41</v>
      </c>
      <c r="Q421" s="2">
        <v>5</v>
      </c>
      <c r="R421" s="2">
        <v>6.7</v>
      </c>
      <c r="S421" s="2">
        <v>28</v>
      </c>
      <c r="T421" s="2">
        <v>35</v>
      </c>
      <c r="U421" s="251">
        <v>6</v>
      </c>
      <c r="V421" s="2">
        <v>123</v>
      </c>
      <c r="W421" s="86">
        <v>145</v>
      </c>
      <c r="X421" s="40">
        <f>_xlfn.XLOOKUP("Ripening", CropPhenology_Wheat[Main_Stage], CropPhenology_Wheat[Start_GDD], "Not Found")</f>
        <v>1501</v>
      </c>
      <c r="Y421" s="4" cm="1">
        <f t="array" ref="Y42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1" s="3">
        <f t="shared" si="264"/>
        <v>12.086431174656575</v>
      </c>
      <c r="AA421" s="41">
        <f t="shared" si="265"/>
        <v>140.65359537765323</v>
      </c>
      <c r="AB421" s="2">
        <v>7</v>
      </c>
      <c r="AC421" s="2">
        <v>5</v>
      </c>
      <c r="AD421" s="2">
        <v>2</v>
      </c>
      <c r="AE421" s="2">
        <v>80</v>
      </c>
      <c r="AF421" s="2">
        <v>0</v>
      </c>
      <c r="AG421" s="2">
        <v>5</v>
      </c>
      <c r="AH421" s="49">
        <f t="shared" si="271"/>
        <v>1.4148234139745051</v>
      </c>
      <c r="AI421" s="2">
        <v>5.5</v>
      </c>
      <c r="AJ421" s="2">
        <v>8</v>
      </c>
      <c r="AK421" s="165">
        <v>6</v>
      </c>
      <c r="AL421" s="166">
        <v>7.0999999999999994E-2</v>
      </c>
      <c r="AM421" s="2">
        <v>195</v>
      </c>
      <c r="AN421" s="2">
        <v>285</v>
      </c>
      <c r="AO421" s="85">
        <v>5</v>
      </c>
      <c r="AP421" s="86">
        <v>100</v>
      </c>
      <c r="AQ421" s="149">
        <v>0.8</v>
      </c>
      <c r="AR421" s="2">
        <v>20</v>
      </c>
      <c r="AS421" s="2">
        <v>2.5</v>
      </c>
      <c r="AT421" s="2">
        <v>1</v>
      </c>
      <c r="AU421" s="4">
        <f t="shared" si="266"/>
        <v>200</v>
      </c>
      <c r="AV421" s="3">
        <f t="shared" si="267"/>
        <v>82</v>
      </c>
      <c r="AW421" s="2">
        <v>90</v>
      </c>
      <c r="AX421" s="3">
        <f t="shared" si="272"/>
        <v>180</v>
      </c>
      <c r="AY421" s="2">
        <v>4</v>
      </c>
      <c r="AZ421" s="4">
        <f t="shared" si="268"/>
        <v>720</v>
      </c>
      <c r="BA421" s="49">
        <v>0.8</v>
      </c>
      <c r="BB421" s="4">
        <f t="shared" si="269"/>
        <v>576</v>
      </c>
      <c r="BC421" s="150">
        <v>8.0000000000000002E-3</v>
      </c>
      <c r="BD421" s="69">
        <f>IFERROR(
  MAX(0.05, MIN(0.5, CropNorms_Wheat[[#This Row],[Leaf_Area_Per_Shoot_m2]] * CropNorms_Wheat[[#This Row],[Shoot_Bearing_m2]] )),
  0.2
)</f>
        <v>0.5</v>
      </c>
      <c r="BE421" s="4">
        <f>_xlfn.XLOOKUP(CropNorms_Wheat[[#This Row],[LAI_Start_BBCH]], CropPhenology_Wheat[Sub_Stage], CropPhenology_Wheat[Start_GDD], "Not Found")</f>
        <v>151</v>
      </c>
      <c r="BF421" s="3">
        <f t="shared" si="270"/>
        <v>4.6100000000000003</v>
      </c>
      <c r="BG42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1" s="3">
        <f>IF(CropNorms_Wheat[[#This Row],[Max_LAI]]&gt;=1.2, 0.85*CropNorms_Wheat[[#This Row],[Max_LAI]], 1)</f>
        <v>3.9185000000000003</v>
      </c>
      <c r="BI421" s="41">
        <f>_xlfn.XLOOKUP(CropNorms_Wheat[[#This Row],[LAI_End_BBCH]], CropPhenology_Wheat[Sub_Stage], CropPhenology_Wheat[End_GDD], "Not Found")</f>
        <v>1500</v>
      </c>
      <c r="BJ421" s="3" cm="1">
        <f t="array" ref="BJ42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1" s="3" cm="1">
        <f t="array" ref="BK42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21" s="3" cm="1">
        <f t="array" ref="BL42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21" s="3" cm="1">
        <f t="array" ref="BM42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1" s="42">
        <v>0.4</v>
      </c>
      <c r="BO421" s="43">
        <v>0</v>
      </c>
      <c r="BP421" s="42">
        <v>3.25</v>
      </c>
      <c r="BQ421" s="43" t="s">
        <v>1795</v>
      </c>
      <c r="BR421" s="3" t="str" cm="1">
        <f t="array" ref="BR42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1" s="3" t="str" cm="1">
        <f t="array" ref="BS42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1" s="3" t="str" cm="1">
        <f t="array" ref="BT42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1" s="3" t="str" cm="1">
        <f t="array" ref="BU42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1" s="48">
        <v>80</v>
      </c>
      <c r="BW421" s="1">
        <v>40</v>
      </c>
      <c r="BX421" s="44">
        <v>40</v>
      </c>
      <c r="BY421" s="151">
        <v>45962</v>
      </c>
      <c r="BZ421" s="151">
        <v>46022</v>
      </c>
      <c r="CA421" s="152">
        <v>0</v>
      </c>
      <c r="CB421" s="153">
        <v>0</v>
      </c>
      <c r="CC421" s="153">
        <v>1</v>
      </c>
      <c r="CD421" s="153">
        <v>1</v>
      </c>
      <c r="CE421" s="153">
        <v>1</v>
      </c>
      <c r="CF421" s="153">
        <v>0</v>
      </c>
      <c r="CG421" s="153">
        <v>0</v>
      </c>
      <c r="CH421" s="153">
        <v>0</v>
      </c>
      <c r="CI421" s="153">
        <v>0</v>
      </c>
      <c r="CJ421" s="153">
        <v>0</v>
      </c>
      <c r="CK421" s="153">
        <v>0</v>
      </c>
      <c r="CL421" s="153">
        <v>0</v>
      </c>
    </row>
    <row r="422" spans="2:90" x14ac:dyDescent="0.25">
      <c r="B422" s="27" t="s">
        <v>321</v>
      </c>
      <c r="C422" s="2" t="s">
        <v>2133</v>
      </c>
      <c r="D422" s="2" t="s">
        <v>1832</v>
      </c>
      <c r="E422" s="2" t="s">
        <v>1835</v>
      </c>
      <c r="F422" s="90">
        <v>103</v>
      </c>
      <c r="G422" s="2" t="s">
        <v>2134</v>
      </c>
      <c r="H422" s="2" t="s">
        <v>2131</v>
      </c>
      <c r="I422" s="2" t="s">
        <v>1841</v>
      </c>
      <c r="J422" s="2"/>
      <c r="K422" s="2" t="s">
        <v>1748</v>
      </c>
      <c r="L422" s="2" t="s">
        <v>1750</v>
      </c>
      <c r="M422" s="2" t="s">
        <v>358</v>
      </c>
      <c r="N422" s="49"/>
      <c r="O422" s="2" t="s">
        <v>2078</v>
      </c>
      <c r="P422" s="2">
        <v>29</v>
      </c>
      <c r="Q422" s="2">
        <v>5</v>
      </c>
      <c r="R422" s="2">
        <v>6.7</v>
      </c>
      <c r="S422" s="2">
        <v>28</v>
      </c>
      <c r="T422" s="2">
        <v>35</v>
      </c>
      <c r="U422" s="251">
        <v>6</v>
      </c>
      <c r="V422" s="2">
        <v>136</v>
      </c>
      <c r="W422" s="86">
        <v>159</v>
      </c>
      <c r="X422" s="40">
        <f>_xlfn.XLOOKUP("Ripening", CropPhenology_Wheat[Main_Stage], CropPhenology_Wheat[Start_GDD], "Not Found")</f>
        <v>1501</v>
      </c>
      <c r="Y422" s="4" cm="1">
        <f t="array" ref="Y42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2" s="3">
        <f t="shared" si="264"/>
        <v>10.970125786163521</v>
      </c>
      <c r="AA422" s="41">
        <f t="shared" si="265"/>
        <v>154.96631790167694</v>
      </c>
      <c r="AB422" s="2">
        <v>6</v>
      </c>
      <c r="AC422" s="2">
        <v>5</v>
      </c>
      <c r="AD422" s="2">
        <v>2</v>
      </c>
      <c r="AE422" s="2">
        <v>80</v>
      </c>
      <c r="AF422" s="2">
        <v>0</v>
      </c>
      <c r="AG422" s="2">
        <v>5</v>
      </c>
      <c r="AH422" s="49">
        <f t="shared" si="271"/>
        <v>1.2841500184979651</v>
      </c>
      <c r="AI422" s="2">
        <v>5.5</v>
      </c>
      <c r="AJ422" s="2">
        <v>8</v>
      </c>
      <c r="AK422" s="165">
        <v>6</v>
      </c>
      <c r="AL422" s="166">
        <v>7.0999999999999994E-2</v>
      </c>
      <c r="AM422" s="2">
        <v>195</v>
      </c>
      <c r="AN422" s="2">
        <v>285</v>
      </c>
      <c r="AO422" s="85">
        <v>5</v>
      </c>
      <c r="AP422" s="86">
        <v>100</v>
      </c>
      <c r="AQ422" s="149">
        <v>0.8</v>
      </c>
      <c r="AR422" s="2">
        <v>20</v>
      </c>
      <c r="AS422" s="2">
        <v>2.5</v>
      </c>
      <c r="AT422" s="2">
        <v>1</v>
      </c>
      <c r="AU422" s="4">
        <f t="shared" si="266"/>
        <v>200</v>
      </c>
      <c r="AV422" s="3">
        <f t="shared" si="267"/>
        <v>58</v>
      </c>
      <c r="AW422" s="2">
        <v>90</v>
      </c>
      <c r="AX422" s="3">
        <f t="shared" si="272"/>
        <v>180</v>
      </c>
      <c r="AY422" s="2">
        <v>3</v>
      </c>
      <c r="AZ422" s="4">
        <f t="shared" si="268"/>
        <v>540</v>
      </c>
      <c r="BA422" s="49">
        <v>0.8</v>
      </c>
      <c r="BB422" s="4">
        <f t="shared" si="269"/>
        <v>432</v>
      </c>
      <c r="BC422" s="150">
        <v>8.0000000000000002E-3</v>
      </c>
      <c r="BD422" s="69">
        <f>IFERROR(
  MAX(0.05, MIN(0.5, CropNorms_Wheat[[#This Row],[Leaf_Area_Per_Shoot_m2]] * CropNorms_Wheat[[#This Row],[Shoot_Bearing_m2]] )),
  0.2
)</f>
        <v>0.5</v>
      </c>
      <c r="BE422" s="4">
        <f>_xlfn.XLOOKUP(CropNorms_Wheat[[#This Row],[LAI_Start_BBCH]], CropPhenology_Wheat[Sub_Stage], CropPhenology_Wheat[Start_GDD], "Not Found")</f>
        <v>151</v>
      </c>
      <c r="BF422" s="3">
        <f t="shared" si="270"/>
        <v>3.46</v>
      </c>
      <c r="BG42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2" s="3">
        <f>IF(CropNorms_Wheat[[#This Row],[Max_LAI]]&gt;=1.2, 0.85*CropNorms_Wheat[[#This Row],[Max_LAI]], 1)</f>
        <v>2.9409999999999998</v>
      </c>
      <c r="BI422" s="41">
        <f>_xlfn.XLOOKUP(CropNorms_Wheat[[#This Row],[LAI_End_BBCH]], CropPhenology_Wheat[Sub_Stage], CropPhenology_Wheat[End_GDD], "Not Found")</f>
        <v>1500</v>
      </c>
      <c r="BJ422" s="3" cm="1">
        <f t="array" ref="BJ42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2" s="3" cm="1">
        <f t="array" ref="BK42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0.93770812464768794</v>
      </c>
      <c r="BL422" s="3" cm="1">
        <f t="array" ref="BL42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1.6533165957706792</v>
      </c>
      <c r="BM422" s="3" cm="1">
        <f t="array" ref="BM42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2" s="42">
        <v>0.38</v>
      </c>
      <c r="BO422" s="43">
        <v>0</v>
      </c>
      <c r="BP422" s="42">
        <v>3.0874999999999999</v>
      </c>
      <c r="BQ422" s="43" t="s">
        <v>1795</v>
      </c>
      <c r="BR422" s="3" t="str" cm="1">
        <f t="array" ref="BR42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2" s="3" t="str" cm="1">
        <f t="array" ref="BS42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2" s="3" t="str" cm="1">
        <f t="array" ref="BT42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2" s="3" t="str" cm="1">
        <f t="array" ref="BU42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2" s="48">
        <v>80</v>
      </c>
      <c r="BW422" s="1">
        <v>40</v>
      </c>
      <c r="BX422" s="44">
        <v>40</v>
      </c>
      <c r="BY422" s="151">
        <v>45962</v>
      </c>
      <c r="BZ422" s="151">
        <v>46022</v>
      </c>
      <c r="CA422" s="152">
        <v>0</v>
      </c>
      <c r="CB422" s="153">
        <v>0</v>
      </c>
      <c r="CC422" s="153">
        <v>1</v>
      </c>
      <c r="CD422" s="153">
        <v>1</v>
      </c>
      <c r="CE422" s="153">
        <v>1</v>
      </c>
      <c r="CF422" s="153">
        <v>0</v>
      </c>
      <c r="CG422" s="153">
        <v>0</v>
      </c>
      <c r="CH422" s="153">
        <v>0</v>
      </c>
      <c r="CI422" s="153">
        <v>0</v>
      </c>
      <c r="CJ422" s="153">
        <v>0</v>
      </c>
      <c r="CK422" s="153">
        <v>0</v>
      </c>
      <c r="CL422" s="153">
        <v>0</v>
      </c>
    </row>
    <row r="423" spans="2:90" x14ac:dyDescent="0.25">
      <c r="B423" s="27" t="s">
        <v>321</v>
      </c>
      <c r="C423" s="2" t="s">
        <v>2135</v>
      </c>
      <c r="D423" s="2" t="s">
        <v>1832</v>
      </c>
      <c r="E423" s="2" t="s">
        <v>1835</v>
      </c>
      <c r="F423" s="90">
        <v>105</v>
      </c>
      <c r="G423" s="2" t="s">
        <v>2136</v>
      </c>
      <c r="H423" s="2" t="s">
        <v>1840</v>
      </c>
      <c r="I423" s="2" t="s">
        <v>1841</v>
      </c>
      <c r="J423" s="2"/>
      <c r="K423" s="2" t="s">
        <v>1748</v>
      </c>
      <c r="L423" s="2" t="s">
        <v>1750</v>
      </c>
      <c r="M423" s="2" t="s">
        <v>358</v>
      </c>
      <c r="N423" s="49"/>
      <c r="O423" s="2" t="s">
        <v>2078</v>
      </c>
      <c r="P423" s="2">
        <v>41</v>
      </c>
      <c r="Q423" s="2">
        <v>5</v>
      </c>
      <c r="R423" s="2">
        <v>6.7</v>
      </c>
      <c r="S423" s="2">
        <v>28</v>
      </c>
      <c r="T423" s="2">
        <v>35</v>
      </c>
      <c r="U423" s="251">
        <v>6</v>
      </c>
      <c r="V423" s="2">
        <v>124</v>
      </c>
      <c r="W423" s="86">
        <v>150</v>
      </c>
      <c r="X423" s="40">
        <f>_xlfn.XLOOKUP("Ripening", CropPhenology_Wheat[Main_Stage], CropPhenology_Wheat[Start_GDD], "Not Found")</f>
        <v>1501</v>
      </c>
      <c r="Y423" s="4" cm="1">
        <f t="array" ref="Y42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3" s="3">
        <f t="shared" si="264"/>
        <v>11.858172043010752</v>
      </c>
      <c r="AA423" s="41">
        <f t="shared" si="265"/>
        <v>143.36105040759514</v>
      </c>
      <c r="AB423" s="2">
        <v>7</v>
      </c>
      <c r="AC423" s="2">
        <v>5</v>
      </c>
      <c r="AD423" s="2">
        <v>2</v>
      </c>
      <c r="AE423" s="2">
        <v>80</v>
      </c>
      <c r="AF423" s="2">
        <v>0</v>
      </c>
      <c r="AG423" s="2">
        <v>5</v>
      </c>
      <c r="AH423" s="49">
        <f t="shared" si="271"/>
        <v>1.3881036685641999</v>
      </c>
      <c r="AI423" s="2">
        <v>5.5</v>
      </c>
      <c r="AJ423" s="2">
        <v>8</v>
      </c>
      <c r="AK423" s="165">
        <v>6</v>
      </c>
      <c r="AL423" s="166">
        <v>7.0999999999999994E-2</v>
      </c>
      <c r="AM423" s="2">
        <v>195</v>
      </c>
      <c r="AN423" s="2">
        <v>285</v>
      </c>
      <c r="AO423" s="85">
        <v>5</v>
      </c>
      <c r="AP423" s="86">
        <v>100</v>
      </c>
      <c r="AQ423" s="149">
        <v>0.8</v>
      </c>
      <c r="AR423" s="2">
        <v>20</v>
      </c>
      <c r="AS423" s="2">
        <v>2.5</v>
      </c>
      <c r="AT423" s="2">
        <v>1</v>
      </c>
      <c r="AU423" s="4">
        <f t="shared" si="266"/>
        <v>200</v>
      </c>
      <c r="AV423" s="3">
        <f t="shared" si="267"/>
        <v>82</v>
      </c>
      <c r="AW423" s="2">
        <v>90</v>
      </c>
      <c r="AX423" s="3">
        <f t="shared" si="272"/>
        <v>180</v>
      </c>
      <c r="AY423" s="2">
        <v>4</v>
      </c>
      <c r="AZ423" s="4">
        <f t="shared" si="268"/>
        <v>720</v>
      </c>
      <c r="BA423" s="49">
        <v>0.8</v>
      </c>
      <c r="BB423" s="4">
        <f t="shared" si="269"/>
        <v>576</v>
      </c>
      <c r="BC423" s="150">
        <v>8.0000000000000002E-3</v>
      </c>
      <c r="BD423" s="69">
        <f>IFERROR(
  MAX(0.05, MIN(0.5, CropNorms_Wheat[[#This Row],[Leaf_Area_Per_Shoot_m2]] * CropNorms_Wheat[[#This Row],[Shoot_Bearing_m2]] )),
  0.2
)</f>
        <v>0.5</v>
      </c>
      <c r="BE423" s="4">
        <f>_xlfn.XLOOKUP(CropNorms_Wheat[[#This Row],[LAI_Start_BBCH]], CropPhenology_Wheat[Sub_Stage], CropPhenology_Wheat[Start_GDD], "Not Found")</f>
        <v>151</v>
      </c>
      <c r="BF423" s="3">
        <f t="shared" si="270"/>
        <v>4.6100000000000003</v>
      </c>
      <c r="BG42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3" s="3">
        <f>IF(CropNorms_Wheat[[#This Row],[Max_LAI]]&gt;=1.2, 0.85*CropNorms_Wheat[[#This Row],[Max_LAI]], 1)</f>
        <v>3.9185000000000003</v>
      </c>
      <c r="BI423" s="41">
        <f>_xlfn.XLOOKUP(CropNorms_Wheat[[#This Row],[LAI_End_BBCH]], CropPhenology_Wheat[Sub_Stage], CropPhenology_Wheat[End_GDD], "Not Found")</f>
        <v>1500</v>
      </c>
      <c r="BJ423" s="3" cm="1">
        <f t="array" ref="BJ42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3" s="3" cm="1">
        <f t="array" ref="BK42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23" s="3" cm="1">
        <f t="array" ref="BL42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23" s="3" cm="1">
        <f t="array" ref="BM42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3" s="42">
        <v>0.4</v>
      </c>
      <c r="BO423" s="43">
        <v>0</v>
      </c>
      <c r="BP423" s="42">
        <v>3.25</v>
      </c>
      <c r="BQ423" s="43" t="s">
        <v>1795</v>
      </c>
      <c r="BR423" s="3" t="str" cm="1">
        <f t="array" ref="BR42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3" s="3" t="str" cm="1">
        <f t="array" ref="BS42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3" s="3" t="str" cm="1">
        <f t="array" ref="BT42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3" s="3" t="str" cm="1">
        <f t="array" ref="BU42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3" s="48">
        <v>80</v>
      </c>
      <c r="BW423" s="1">
        <v>40</v>
      </c>
      <c r="BX423" s="44">
        <v>40</v>
      </c>
      <c r="BY423" s="151">
        <v>45962</v>
      </c>
      <c r="BZ423" s="151">
        <v>46022</v>
      </c>
      <c r="CA423" s="152">
        <v>0</v>
      </c>
      <c r="CB423" s="153">
        <v>0</v>
      </c>
      <c r="CC423" s="153">
        <v>1</v>
      </c>
      <c r="CD423" s="153">
        <v>1</v>
      </c>
      <c r="CE423" s="153">
        <v>1</v>
      </c>
      <c r="CF423" s="153">
        <v>0</v>
      </c>
      <c r="CG423" s="153">
        <v>0</v>
      </c>
      <c r="CH423" s="153">
        <v>0</v>
      </c>
      <c r="CI423" s="153">
        <v>0</v>
      </c>
      <c r="CJ423" s="153">
        <v>0</v>
      </c>
      <c r="CK423" s="153">
        <v>0</v>
      </c>
      <c r="CL423" s="153">
        <v>0</v>
      </c>
    </row>
    <row r="424" spans="2:90" x14ac:dyDescent="0.25">
      <c r="B424" s="27" t="s">
        <v>321</v>
      </c>
      <c r="C424" s="2" t="s">
        <v>2137</v>
      </c>
      <c r="D424" s="2" t="s">
        <v>1832</v>
      </c>
      <c r="E424" s="2" t="s">
        <v>2127</v>
      </c>
      <c r="F424" s="90">
        <v>115</v>
      </c>
      <c r="G424" s="2" t="s">
        <v>2138</v>
      </c>
      <c r="H424" s="2" t="s">
        <v>2139</v>
      </c>
      <c r="I424" s="2"/>
      <c r="J424" s="2" t="s">
        <v>2341</v>
      </c>
      <c r="K424" s="2" t="s">
        <v>1748</v>
      </c>
      <c r="L424" s="2" t="s">
        <v>1750</v>
      </c>
      <c r="M424" s="2" t="s">
        <v>358</v>
      </c>
      <c r="N424" s="49"/>
      <c r="O424" s="2" t="s">
        <v>2078</v>
      </c>
      <c r="P424" s="2">
        <v>43</v>
      </c>
      <c r="Q424" s="2">
        <v>5</v>
      </c>
      <c r="R424" s="2">
        <v>6.7</v>
      </c>
      <c r="S424" s="2">
        <v>28</v>
      </c>
      <c r="T424" s="2">
        <v>35</v>
      </c>
      <c r="U424" s="251">
        <v>6</v>
      </c>
      <c r="V424" s="2">
        <v>125</v>
      </c>
      <c r="W424" s="86">
        <v>150</v>
      </c>
      <c r="X424" s="40">
        <f>_xlfn.XLOOKUP("Ripening", CropPhenology_Wheat[Main_Stage], CropPhenology_Wheat[Start_GDD], "Not Found")</f>
        <v>1501</v>
      </c>
      <c r="Y424" s="4" cm="1">
        <f t="array" ref="Y42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4" s="3">
        <f t="shared" si="264"/>
        <v>11.803333333333333</v>
      </c>
      <c r="AA424" s="41">
        <f t="shared" si="265"/>
        <v>144.02711098559729</v>
      </c>
      <c r="AB424" s="2">
        <v>6</v>
      </c>
      <c r="AC424" s="2">
        <v>5</v>
      </c>
      <c r="AD424" s="2">
        <v>2</v>
      </c>
      <c r="AE424" s="2">
        <v>80</v>
      </c>
      <c r="AF424" s="2">
        <v>0</v>
      </c>
      <c r="AG424" s="2">
        <v>5</v>
      </c>
      <c r="AH424" s="49">
        <f t="shared" si="271"/>
        <v>1.3816843137254902</v>
      </c>
      <c r="AI424" s="2">
        <v>5.5</v>
      </c>
      <c r="AJ424" s="2">
        <v>8</v>
      </c>
      <c r="AK424" s="165">
        <v>6</v>
      </c>
      <c r="AL424" s="166">
        <v>7.0999999999999994E-2</v>
      </c>
      <c r="AM424" s="2">
        <v>195</v>
      </c>
      <c r="AN424" s="2">
        <v>285</v>
      </c>
      <c r="AO424" s="85">
        <v>5</v>
      </c>
      <c r="AP424" s="86">
        <v>100</v>
      </c>
      <c r="AQ424" s="149">
        <v>0.8</v>
      </c>
      <c r="AR424" s="2">
        <v>20</v>
      </c>
      <c r="AS424" s="2">
        <v>2.5</v>
      </c>
      <c r="AT424" s="2">
        <v>1</v>
      </c>
      <c r="AU424" s="4">
        <f t="shared" si="266"/>
        <v>200</v>
      </c>
      <c r="AV424" s="3">
        <f t="shared" si="267"/>
        <v>86</v>
      </c>
      <c r="AW424" s="2">
        <v>90</v>
      </c>
      <c r="AX424" s="3">
        <f t="shared" si="272"/>
        <v>180</v>
      </c>
      <c r="AY424" s="2">
        <v>5</v>
      </c>
      <c r="AZ424" s="4">
        <f t="shared" si="268"/>
        <v>900</v>
      </c>
      <c r="BA424" s="49">
        <v>0.8</v>
      </c>
      <c r="BB424" s="4">
        <f t="shared" si="269"/>
        <v>720</v>
      </c>
      <c r="BC424" s="150">
        <v>8.0000000000000002E-3</v>
      </c>
      <c r="BD424" s="69">
        <f>IFERROR(
  MAX(0.05, MIN(0.5, CropNorms_Wheat[[#This Row],[Leaf_Area_Per_Shoot_m2]] * CropNorms_Wheat[[#This Row],[Shoot_Bearing_m2]] )),
  0.2
)</f>
        <v>0.5</v>
      </c>
      <c r="BE424" s="4">
        <f>_xlfn.XLOOKUP(CropNorms_Wheat[[#This Row],[LAI_Start_BBCH]], CropPhenology_Wheat[Sub_Stage], CropPhenology_Wheat[Start_GDD], "Not Found")</f>
        <v>151</v>
      </c>
      <c r="BF424" s="3">
        <f t="shared" si="270"/>
        <v>5.76</v>
      </c>
      <c r="BG42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4" s="3">
        <f>IF(CropNorms_Wheat[[#This Row],[Max_LAI]]&gt;=1.2, 0.85*CropNorms_Wheat[[#This Row],[Max_LAI]], 1)</f>
        <v>4.8959999999999999</v>
      </c>
      <c r="BI424" s="41">
        <f>_xlfn.XLOOKUP(CropNorms_Wheat[[#This Row],[LAI_End_BBCH]], CropPhenology_Wheat[Sub_Stage], CropPhenology_Wheat[End_GDD], "Not Found")</f>
        <v>1500</v>
      </c>
      <c r="BJ424" s="3" cm="1">
        <f t="array" ref="BJ42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4" s="3" cm="1">
        <f t="array" ref="BK42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24" s="3" cm="1">
        <f t="array" ref="BL42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24" s="3" cm="1">
        <f t="array" ref="BM42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4" s="42">
        <v>0.45</v>
      </c>
      <c r="BO424" s="43">
        <v>0</v>
      </c>
      <c r="BP424" s="42">
        <v>3.65625</v>
      </c>
      <c r="BQ424" s="43" t="s">
        <v>1795</v>
      </c>
      <c r="BR424" s="3" t="str" cm="1">
        <f t="array" ref="BR42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4" s="3" t="str" cm="1">
        <f t="array" ref="BS42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4" s="3" t="str" cm="1">
        <f t="array" ref="BT42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4" s="3" t="str" cm="1">
        <f t="array" ref="BU42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4" s="48">
        <v>80</v>
      </c>
      <c r="BW424" s="1">
        <v>40</v>
      </c>
      <c r="BX424" s="44">
        <v>40</v>
      </c>
      <c r="BY424" s="151">
        <v>45962</v>
      </c>
      <c r="BZ424" s="151">
        <v>46022</v>
      </c>
      <c r="CA424" s="152">
        <v>0</v>
      </c>
      <c r="CB424" s="153">
        <v>0</v>
      </c>
      <c r="CC424" s="153">
        <v>1</v>
      </c>
      <c r="CD424" s="153">
        <v>1</v>
      </c>
      <c r="CE424" s="153">
        <v>1</v>
      </c>
      <c r="CF424" s="153">
        <v>0</v>
      </c>
      <c r="CG424" s="153">
        <v>0</v>
      </c>
      <c r="CH424" s="153">
        <v>0</v>
      </c>
      <c r="CI424" s="153">
        <v>0</v>
      </c>
      <c r="CJ424" s="153">
        <v>0</v>
      </c>
      <c r="CK424" s="153">
        <v>0</v>
      </c>
      <c r="CL424" s="153">
        <v>0</v>
      </c>
    </row>
    <row r="425" spans="2:90" x14ac:dyDescent="0.25">
      <c r="B425" s="27" t="s">
        <v>321</v>
      </c>
      <c r="C425" s="2" t="s">
        <v>2140</v>
      </c>
      <c r="D425" s="2" t="s">
        <v>1834</v>
      </c>
      <c r="E425" s="2" t="s">
        <v>1835</v>
      </c>
      <c r="F425" s="90">
        <v>105</v>
      </c>
      <c r="G425" s="2" t="s">
        <v>1836</v>
      </c>
      <c r="H425" s="2" t="s">
        <v>1840</v>
      </c>
      <c r="I425" s="2" t="s">
        <v>1841</v>
      </c>
      <c r="J425" s="2" t="s">
        <v>1156</v>
      </c>
      <c r="K425" s="2" t="s">
        <v>1748</v>
      </c>
      <c r="L425" s="2" t="s">
        <v>1750</v>
      </c>
      <c r="M425" s="2" t="s">
        <v>358</v>
      </c>
      <c r="N425" s="49"/>
      <c r="O425" s="2" t="s">
        <v>2141</v>
      </c>
      <c r="P425" s="2">
        <v>35</v>
      </c>
      <c r="Q425" s="2">
        <v>5</v>
      </c>
      <c r="R425" s="2">
        <v>6.7</v>
      </c>
      <c r="S425" s="2">
        <v>28</v>
      </c>
      <c r="T425" s="2">
        <v>35</v>
      </c>
      <c r="U425" s="251">
        <v>6</v>
      </c>
      <c r="V425" s="2">
        <v>140</v>
      </c>
      <c r="W425" s="86">
        <v>160</v>
      </c>
      <c r="X425" s="40">
        <f>_xlfn.XLOOKUP("Ripening", CropPhenology_Wheat[Main_Stage], CropPhenology_Wheat[Start_GDD], "Not Found")</f>
        <v>1501</v>
      </c>
      <c r="Y425" s="4" cm="1">
        <f t="array" ref="Y42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5" s="3">
        <f t="shared" si="264"/>
        <v>10.76205357142857</v>
      </c>
      <c r="AA425" s="41">
        <f t="shared" si="265"/>
        <v>157.96241755506702</v>
      </c>
      <c r="AB425" s="2">
        <v>7</v>
      </c>
      <c r="AC425" s="2">
        <v>5</v>
      </c>
      <c r="AD425" s="2">
        <v>2</v>
      </c>
      <c r="AE425" s="2">
        <v>80</v>
      </c>
      <c r="AF425" s="2">
        <v>0</v>
      </c>
      <c r="AG425" s="2">
        <v>5</v>
      </c>
      <c r="AH425" s="49">
        <f t="shared" si="271"/>
        <v>1.2597933298319326</v>
      </c>
      <c r="AI425" s="2">
        <v>5.5</v>
      </c>
      <c r="AJ425" s="2">
        <v>8</v>
      </c>
      <c r="AK425" s="165">
        <v>6</v>
      </c>
      <c r="AL425" s="166">
        <v>7.0999999999999994E-2</v>
      </c>
      <c r="AM425" s="2">
        <v>195</v>
      </c>
      <c r="AN425" s="2">
        <v>285</v>
      </c>
      <c r="AO425" s="85">
        <v>5</v>
      </c>
      <c r="AP425" s="86">
        <v>100</v>
      </c>
      <c r="AQ425" s="149">
        <v>0.6</v>
      </c>
      <c r="AR425" s="2">
        <v>20</v>
      </c>
      <c r="AS425" s="2">
        <v>2.5</v>
      </c>
      <c r="AT425" s="2">
        <v>1</v>
      </c>
      <c r="AU425" s="4">
        <f t="shared" si="266"/>
        <v>200</v>
      </c>
      <c r="AV425" s="3">
        <f t="shared" si="267"/>
        <v>70</v>
      </c>
      <c r="AW425" s="2">
        <v>90</v>
      </c>
      <c r="AX425" s="3">
        <f t="shared" si="272"/>
        <v>180</v>
      </c>
      <c r="AY425" s="2">
        <v>3</v>
      </c>
      <c r="AZ425" s="4">
        <f t="shared" si="268"/>
        <v>540</v>
      </c>
      <c r="BA425" s="49">
        <v>0.6</v>
      </c>
      <c r="BB425" s="4">
        <f t="shared" si="269"/>
        <v>324</v>
      </c>
      <c r="BC425" s="150">
        <v>6.0000000000000001E-3</v>
      </c>
      <c r="BD425" s="69">
        <f>IFERROR(
  MAX(0.05, MIN(0.5, CropNorms_Wheat[[#This Row],[Leaf_Area_Per_Shoot_m2]] * CropNorms_Wheat[[#This Row],[Shoot_Bearing_m2]] )),
  0.2
)</f>
        <v>0.5</v>
      </c>
      <c r="BE425" s="4">
        <f>_xlfn.XLOOKUP(CropNorms_Wheat[[#This Row],[LAI_Start_BBCH]], CropPhenology_Wheat[Sub_Stage], CropPhenology_Wheat[Start_GDD], "Not Found")</f>
        <v>151</v>
      </c>
      <c r="BF425" s="3">
        <f t="shared" si="270"/>
        <v>1.94</v>
      </c>
      <c r="BG42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5" s="3">
        <f>IF(CropNorms_Wheat[[#This Row],[Max_LAI]]&gt;=1.2, 0.85*CropNorms_Wheat[[#This Row],[Max_LAI]], 1)</f>
        <v>1.649</v>
      </c>
      <c r="BI425" s="41">
        <f>_xlfn.XLOOKUP(CropNorms_Wheat[[#This Row],[LAI_End_BBCH]], CropPhenology_Wheat[Sub_Stage], CropPhenology_Wheat[End_GDD], "Not Found")</f>
        <v>1500</v>
      </c>
      <c r="BJ425" s="3" cm="1">
        <f t="array" ref="BJ42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5" s="3" cm="1">
        <f t="array" ref="BK42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0.93829607572061335</v>
      </c>
      <c r="BL425" s="3" cm="1">
        <f t="array" ref="BL42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0.88425217024030944</v>
      </c>
      <c r="BM425" s="3" cm="1">
        <f t="array" ref="BM42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5" s="42">
        <v>0.37</v>
      </c>
      <c r="BO425" s="43">
        <v>0</v>
      </c>
      <c r="BP425" s="42">
        <v>3.0062500000000001</v>
      </c>
      <c r="BQ425" s="43" t="s">
        <v>1795</v>
      </c>
      <c r="BR425" s="3" t="str" cm="1">
        <f t="array" ref="BR42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5" s="3" t="str" cm="1">
        <f t="array" ref="BS42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5" s="3" t="str" cm="1">
        <f t="array" ref="BT42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5" s="3" t="str" cm="1">
        <f t="array" ref="BU42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5" s="48">
        <v>80</v>
      </c>
      <c r="BW425" s="1">
        <v>40</v>
      </c>
      <c r="BX425" s="44">
        <v>40</v>
      </c>
      <c r="BY425" s="151">
        <v>45962</v>
      </c>
      <c r="BZ425" s="151">
        <v>46022</v>
      </c>
      <c r="CA425" s="152">
        <v>0</v>
      </c>
      <c r="CB425" s="153">
        <v>0</v>
      </c>
      <c r="CC425" s="153">
        <v>1</v>
      </c>
      <c r="CD425" s="153">
        <v>1</v>
      </c>
      <c r="CE425" s="153">
        <v>1</v>
      </c>
      <c r="CF425" s="153">
        <v>0</v>
      </c>
      <c r="CG425" s="153">
        <v>0</v>
      </c>
      <c r="CH425" s="153">
        <v>0</v>
      </c>
      <c r="CI425" s="153">
        <v>0</v>
      </c>
      <c r="CJ425" s="153">
        <v>0</v>
      </c>
      <c r="CK425" s="153">
        <v>0</v>
      </c>
      <c r="CL425" s="153">
        <v>0</v>
      </c>
    </row>
    <row r="426" spans="2:90" x14ac:dyDescent="0.25">
      <c r="B426" s="27" t="s">
        <v>321</v>
      </c>
      <c r="C426" s="2" t="s">
        <v>2142</v>
      </c>
      <c r="D426" s="2" t="s">
        <v>1832</v>
      </c>
      <c r="E426" s="2" t="s">
        <v>1835</v>
      </c>
      <c r="F426" s="90">
        <v>98</v>
      </c>
      <c r="G426" s="2" t="s">
        <v>1836</v>
      </c>
      <c r="H426" s="2" t="s">
        <v>1988</v>
      </c>
      <c r="I426" s="2" t="s">
        <v>1841</v>
      </c>
      <c r="J426" s="2" t="s">
        <v>1156</v>
      </c>
      <c r="K426" s="2" t="s">
        <v>1748</v>
      </c>
      <c r="L426" s="2" t="s">
        <v>1750</v>
      </c>
      <c r="M426" s="2" t="s">
        <v>358</v>
      </c>
      <c r="N426" s="49">
        <v>6.8007158981989253</v>
      </c>
      <c r="O426" s="2" t="s">
        <v>2141</v>
      </c>
      <c r="P426" s="2">
        <v>41</v>
      </c>
      <c r="Q426" s="2">
        <v>5</v>
      </c>
      <c r="R426" s="2">
        <v>6.7</v>
      </c>
      <c r="S426" s="2">
        <v>28</v>
      </c>
      <c r="T426" s="2">
        <v>35</v>
      </c>
      <c r="U426" s="251">
        <v>6</v>
      </c>
      <c r="V426" s="2">
        <v>147</v>
      </c>
      <c r="W426" s="86">
        <v>175</v>
      </c>
      <c r="X426" s="40">
        <f>_xlfn.XLOOKUP("Ripening", CropPhenology_Wheat[Main_Stage], CropPhenology_Wheat[Start_GDD], "Not Found")</f>
        <v>1501</v>
      </c>
      <c r="Y426" s="4" cm="1">
        <f t="array" ref="Y42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6" s="3">
        <f t="shared" si="264"/>
        <v>10.070884353741496</v>
      </c>
      <c r="AA426" s="41">
        <f t="shared" si="265"/>
        <v>168.80344767025574</v>
      </c>
      <c r="AB426" s="2">
        <v>7</v>
      </c>
      <c r="AC426" s="2">
        <v>5</v>
      </c>
      <c r="AD426" s="2">
        <v>2</v>
      </c>
      <c r="AE426" s="2">
        <v>80</v>
      </c>
      <c r="AF426" s="2">
        <v>0</v>
      </c>
      <c r="AG426" s="2">
        <v>5</v>
      </c>
      <c r="AH426" s="49">
        <f t="shared" si="271"/>
        <v>1.1788858743497399</v>
      </c>
      <c r="AI426" s="2">
        <v>5.5</v>
      </c>
      <c r="AJ426" s="2">
        <v>8</v>
      </c>
      <c r="AK426" s="165">
        <v>6</v>
      </c>
      <c r="AL426" s="166">
        <v>7.0999999999999994E-2</v>
      </c>
      <c r="AM426" s="2">
        <v>195</v>
      </c>
      <c r="AN426" s="2">
        <v>285</v>
      </c>
      <c r="AO426" s="85">
        <v>5</v>
      </c>
      <c r="AP426" s="86">
        <v>100</v>
      </c>
      <c r="AQ426" s="149">
        <v>0.6</v>
      </c>
      <c r="AR426" s="2">
        <v>20</v>
      </c>
      <c r="AS426" s="2">
        <v>2.5</v>
      </c>
      <c r="AT426" s="2">
        <v>1</v>
      </c>
      <c r="AU426" s="4">
        <f t="shared" si="266"/>
        <v>200</v>
      </c>
      <c r="AV426" s="3">
        <f t="shared" si="267"/>
        <v>82</v>
      </c>
      <c r="AW426" s="2">
        <v>90</v>
      </c>
      <c r="AX426" s="3">
        <f t="shared" si="272"/>
        <v>180</v>
      </c>
      <c r="AY426" s="2">
        <v>4</v>
      </c>
      <c r="AZ426" s="4">
        <f t="shared" si="268"/>
        <v>720</v>
      </c>
      <c r="BA426" s="49">
        <v>0.6</v>
      </c>
      <c r="BB426" s="4">
        <f t="shared" si="269"/>
        <v>432</v>
      </c>
      <c r="BC426" s="150">
        <v>6.0000000000000001E-3</v>
      </c>
      <c r="BD426" s="69">
        <f>IFERROR(
  MAX(0.05, MIN(0.5, CropNorms_Wheat[[#This Row],[Leaf_Area_Per_Shoot_m2]] * CropNorms_Wheat[[#This Row],[Shoot_Bearing_m2]] )),
  0.2
)</f>
        <v>0.5</v>
      </c>
      <c r="BE426" s="4">
        <f>_xlfn.XLOOKUP(CropNorms_Wheat[[#This Row],[LAI_Start_BBCH]], CropPhenology_Wheat[Sub_Stage], CropPhenology_Wheat[Start_GDD], "Not Found")</f>
        <v>151</v>
      </c>
      <c r="BF426" s="3">
        <f t="shared" si="270"/>
        <v>2.59</v>
      </c>
      <c r="BG42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6" s="3">
        <f>IF(CropNorms_Wheat[[#This Row],[Max_LAI]]&gt;=1.2, 0.85*CropNorms_Wheat[[#This Row],[Max_LAI]], 1)</f>
        <v>2.2014999999999998</v>
      </c>
      <c r="BI426" s="41">
        <f>_xlfn.XLOOKUP(CropNorms_Wheat[[#This Row],[LAI_End_BBCH]], CropPhenology_Wheat[Sub_Stage], CropPhenology_Wheat[End_GDD], "Not Found")</f>
        <v>1500</v>
      </c>
      <c r="BJ426" s="3" cm="1">
        <f t="array" ref="BJ42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1.6375809611399395</v>
      </c>
      <c r="BK426" s="3" cm="1">
        <f t="array" ref="BK42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26" s="3" cm="1">
        <f t="array" ref="BL42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26" s="3" cm="1">
        <f t="array" ref="BM42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6" s="42">
        <f t="shared" ref="BN426" si="273">(0.28+0.4)/2</f>
        <v>0.34</v>
      </c>
      <c r="BO426" s="43">
        <v>0</v>
      </c>
      <c r="BP426" s="42">
        <v>2.7625000000000002</v>
      </c>
      <c r="BQ426" s="43" t="s">
        <v>1795</v>
      </c>
      <c r="BR426" s="3" t="str" cm="1">
        <f t="array" ref="BR42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6" s="3" t="str" cm="1">
        <f t="array" ref="BS42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6" s="3" t="str" cm="1">
        <f t="array" ref="BT42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6" s="3" t="str" cm="1">
        <f t="array" ref="BU42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6" s="48">
        <v>80</v>
      </c>
      <c r="BW426" s="1">
        <v>40</v>
      </c>
      <c r="BX426" s="44">
        <v>40</v>
      </c>
      <c r="BY426" s="151">
        <v>45962</v>
      </c>
      <c r="BZ426" s="151">
        <v>46022</v>
      </c>
      <c r="CA426" s="152">
        <v>0</v>
      </c>
      <c r="CB426" s="153">
        <v>0</v>
      </c>
      <c r="CC426" s="153">
        <v>1</v>
      </c>
      <c r="CD426" s="153">
        <v>1</v>
      </c>
      <c r="CE426" s="153">
        <v>1</v>
      </c>
      <c r="CF426" s="153">
        <v>0</v>
      </c>
      <c r="CG426" s="153">
        <v>0</v>
      </c>
      <c r="CH426" s="153">
        <v>0</v>
      </c>
      <c r="CI426" s="153">
        <v>0</v>
      </c>
      <c r="CJ426" s="153">
        <v>0</v>
      </c>
      <c r="CK426" s="153">
        <v>0</v>
      </c>
      <c r="CL426" s="153">
        <v>0</v>
      </c>
    </row>
    <row r="427" spans="2:90" x14ac:dyDescent="0.25">
      <c r="B427" s="27" t="s">
        <v>321</v>
      </c>
      <c r="C427" s="2" t="s">
        <v>2143</v>
      </c>
      <c r="D427" s="2" t="s">
        <v>1832</v>
      </c>
      <c r="E427" s="2" t="s">
        <v>2144</v>
      </c>
      <c r="F427" s="90">
        <v>88</v>
      </c>
      <c r="G427" s="2" t="s">
        <v>2145</v>
      </c>
      <c r="H427" s="2" t="s">
        <v>1988</v>
      </c>
      <c r="I427" s="2"/>
      <c r="J427" s="2" t="s">
        <v>1156</v>
      </c>
      <c r="K427" s="2" t="s">
        <v>1748</v>
      </c>
      <c r="L427" s="2" t="s">
        <v>1750</v>
      </c>
      <c r="M427" s="2" t="s">
        <v>358</v>
      </c>
      <c r="N427" s="49"/>
      <c r="O427" s="2" t="s">
        <v>2078</v>
      </c>
      <c r="P427" s="2">
        <v>53</v>
      </c>
      <c r="Q427" s="2">
        <v>5</v>
      </c>
      <c r="R427" s="2">
        <v>6.7</v>
      </c>
      <c r="S427" s="2">
        <v>28</v>
      </c>
      <c r="T427" s="2">
        <v>35</v>
      </c>
      <c r="U427" s="251">
        <v>6</v>
      </c>
      <c r="V427" s="2">
        <v>133</v>
      </c>
      <c r="W427" s="86">
        <v>158</v>
      </c>
      <c r="X427" s="40">
        <f>_xlfn.XLOOKUP("Ripening", CropPhenology_Wheat[Main_Stage], CropPhenology_Wheat[Start_GDD], "Not Found")</f>
        <v>1501</v>
      </c>
      <c r="Y427" s="4" cm="1">
        <f t="array" ref="Y42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7" s="3">
        <f t="shared" si="264"/>
        <v>11.140977443609023</v>
      </c>
      <c r="AA427" s="41">
        <f t="shared" si="265"/>
        <v>152.58984309093975</v>
      </c>
      <c r="AB427" s="2">
        <v>6</v>
      </c>
      <c r="AC427" s="2">
        <v>5</v>
      </c>
      <c r="AD427" s="2">
        <v>2</v>
      </c>
      <c r="AE427" s="2">
        <v>80</v>
      </c>
      <c r="AF427" s="2">
        <v>0</v>
      </c>
      <c r="AG427" s="2">
        <v>5</v>
      </c>
      <c r="AH427" s="49">
        <f t="shared" si="271"/>
        <v>1.3041497125165857</v>
      </c>
      <c r="AI427" s="2">
        <v>5.5</v>
      </c>
      <c r="AJ427" s="2">
        <v>8</v>
      </c>
      <c r="AK427" s="165">
        <v>6</v>
      </c>
      <c r="AL427" s="166">
        <v>7.0999999999999994E-2</v>
      </c>
      <c r="AM427" s="2">
        <v>195</v>
      </c>
      <c r="AN427" s="2">
        <v>285</v>
      </c>
      <c r="AO427" s="85">
        <v>5</v>
      </c>
      <c r="AP427" s="86">
        <v>100</v>
      </c>
      <c r="AQ427" s="149">
        <v>0.8</v>
      </c>
      <c r="AR427" s="2">
        <v>20</v>
      </c>
      <c r="AS427" s="2">
        <v>2.5</v>
      </c>
      <c r="AT427" s="2">
        <v>1</v>
      </c>
      <c r="AU427" s="4">
        <f t="shared" si="266"/>
        <v>200</v>
      </c>
      <c r="AV427" s="3">
        <f t="shared" si="267"/>
        <v>106</v>
      </c>
      <c r="AW427" s="2">
        <v>90</v>
      </c>
      <c r="AX427" s="3">
        <f t="shared" si="272"/>
        <v>180</v>
      </c>
      <c r="AY427" s="2">
        <v>4</v>
      </c>
      <c r="AZ427" s="4">
        <f t="shared" si="268"/>
        <v>720</v>
      </c>
      <c r="BA427" s="49">
        <v>0.8</v>
      </c>
      <c r="BB427" s="4">
        <f t="shared" si="269"/>
        <v>576</v>
      </c>
      <c r="BC427" s="150">
        <v>8.0000000000000002E-3</v>
      </c>
      <c r="BD427" s="69">
        <f>IFERROR(
  MAX(0.05, MIN(0.5, CropNorms_Wheat[[#This Row],[Leaf_Area_Per_Shoot_m2]] * CropNorms_Wheat[[#This Row],[Shoot_Bearing_m2]] )),
  0.2
)</f>
        <v>0.5</v>
      </c>
      <c r="BE427" s="4">
        <f>_xlfn.XLOOKUP(CropNorms_Wheat[[#This Row],[LAI_Start_BBCH]], CropPhenology_Wheat[Sub_Stage], CropPhenology_Wheat[Start_GDD], "Not Found")</f>
        <v>151</v>
      </c>
      <c r="BF427" s="3">
        <f t="shared" si="270"/>
        <v>4.6100000000000003</v>
      </c>
      <c r="BG42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7" s="3">
        <f>IF(CropNorms_Wheat[[#This Row],[Max_LAI]]&gt;=1.2, 0.85*CropNorms_Wheat[[#This Row],[Max_LAI]], 1)</f>
        <v>3.9185000000000003</v>
      </c>
      <c r="BI427" s="41">
        <f>_xlfn.XLOOKUP(CropNorms_Wheat[[#This Row],[LAI_End_BBCH]], CropPhenology_Wheat[Sub_Stage], CropPhenology_Wheat[End_GDD], "Not Found")</f>
        <v>1500</v>
      </c>
      <c r="BJ427" s="3" cm="1">
        <f t="array" ref="BJ42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7" s="3" cm="1">
        <f t="array" ref="BK42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27" s="3" cm="1">
        <f t="array" ref="BL42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27" s="3" cm="1">
        <f t="array" ref="BM42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7" s="42">
        <v>0.40699999999999997</v>
      </c>
      <c r="BO427" s="43">
        <v>0</v>
      </c>
      <c r="BP427" s="42">
        <v>3.3068749999999998</v>
      </c>
      <c r="BQ427" s="43" t="s">
        <v>1795</v>
      </c>
      <c r="BR427" s="3" t="str" cm="1">
        <f t="array" ref="BR42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7" s="3" t="str" cm="1">
        <f t="array" ref="BS42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7" s="3" t="str" cm="1">
        <f t="array" ref="BT42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7" s="3" t="str" cm="1">
        <f t="array" ref="BU42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7" s="48">
        <v>80</v>
      </c>
      <c r="BW427" s="1">
        <v>40</v>
      </c>
      <c r="BX427" s="44">
        <v>40</v>
      </c>
      <c r="BY427" s="151">
        <v>45962</v>
      </c>
      <c r="BZ427" s="151">
        <v>46022</v>
      </c>
      <c r="CA427" s="152">
        <v>0</v>
      </c>
      <c r="CB427" s="153">
        <v>0</v>
      </c>
      <c r="CC427" s="153">
        <v>1</v>
      </c>
      <c r="CD427" s="153">
        <v>1</v>
      </c>
      <c r="CE427" s="153">
        <v>1</v>
      </c>
      <c r="CF427" s="153">
        <v>0</v>
      </c>
      <c r="CG427" s="153">
        <v>0</v>
      </c>
      <c r="CH427" s="153">
        <v>0</v>
      </c>
      <c r="CI427" s="153">
        <v>0</v>
      </c>
      <c r="CJ427" s="153">
        <v>0</v>
      </c>
      <c r="CK427" s="153">
        <v>0</v>
      </c>
      <c r="CL427" s="153">
        <v>0</v>
      </c>
    </row>
    <row r="428" spans="2:90" x14ac:dyDescent="0.25">
      <c r="B428" s="27" t="s">
        <v>321</v>
      </c>
      <c r="C428" s="2" t="s">
        <v>2146</v>
      </c>
      <c r="D428" s="2" t="s">
        <v>1832</v>
      </c>
      <c r="E428" s="2" t="s">
        <v>2127</v>
      </c>
      <c r="F428" s="90">
        <v>111</v>
      </c>
      <c r="G428" s="2" t="s">
        <v>2147</v>
      </c>
      <c r="H428" s="2" t="s">
        <v>1988</v>
      </c>
      <c r="I428" s="2" t="s">
        <v>1841</v>
      </c>
      <c r="J428" s="2"/>
      <c r="K428" s="2" t="s">
        <v>1748</v>
      </c>
      <c r="L428" s="2" t="s">
        <v>1750</v>
      </c>
      <c r="M428" s="2" t="s">
        <v>358</v>
      </c>
      <c r="N428" s="49"/>
      <c r="O428" s="2" t="s">
        <v>2078</v>
      </c>
      <c r="P428" s="2">
        <v>46</v>
      </c>
      <c r="Q428" s="2">
        <v>5</v>
      </c>
      <c r="R428" s="2">
        <v>6.7</v>
      </c>
      <c r="S428" s="2">
        <v>28</v>
      </c>
      <c r="T428" s="2">
        <v>35</v>
      </c>
      <c r="U428" s="251">
        <v>6</v>
      </c>
      <c r="V428" s="2">
        <v>140</v>
      </c>
      <c r="W428" s="86">
        <v>156</v>
      </c>
      <c r="X428" s="40">
        <f>_xlfn.XLOOKUP("Ripening", CropPhenology_Wheat[Main_Stage], CropPhenology_Wheat[Start_GDD], "Not Found")</f>
        <v>1501</v>
      </c>
      <c r="Y428" s="4" cm="1">
        <f t="array" ref="Y42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8" s="3">
        <f t="shared" si="264"/>
        <v>10.882326007326007</v>
      </c>
      <c r="AA428" s="41">
        <f t="shared" si="265"/>
        <v>156.2166028526949</v>
      </c>
      <c r="AB428" s="2">
        <v>7</v>
      </c>
      <c r="AC428" s="2">
        <v>5</v>
      </c>
      <c r="AD428" s="2">
        <v>2</v>
      </c>
      <c r="AE428" s="2">
        <v>80</v>
      </c>
      <c r="AF428" s="2">
        <v>0</v>
      </c>
      <c r="AG428" s="2">
        <v>5</v>
      </c>
      <c r="AH428" s="49">
        <f t="shared" si="271"/>
        <v>1.2738722796811033</v>
      </c>
      <c r="AI428" s="2">
        <v>5.5</v>
      </c>
      <c r="AJ428" s="2">
        <v>8</v>
      </c>
      <c r="AK428" s="165">
        <v>6</v>
      </c>
      <c r="AL428" s="166">
        <v>7.0999999999999994E-2</v>
      </c>
      <c r="AM428" s="2">
        <v>195</v>
      </c>
      <c r="AN428" s="2">
        <v>285</v>
      </c>
      <c r="AO428" s="85">
        <v>5</v>
      </c>
      <c r="AP428" s="86">
        <v>100</v>
      </c>
      <c r="AQ428" s="149">
        <v>0.8</v>
      </c>
      <c r="AR428" s="2">
        <v>20</v>
      </c>
      <c r="AS428" s="2">
        <v>2.5</v>
      </c>
      <c r="AT428" s="2">
        <v>1</v>
      </c>
      <c r="AU428" s="4">
        <f t="shared" si="266"/>
        <v>200</v>
      </c>
      <c r="AV428" s="3">
        <f t="shared" si="267"/>
        <v>92</v>
      </c>
      <c r="AW428" s="2">
        <v>90</v>
      </c>
      <c r="AX428" s="3">
        <f t="shared" si="272"/>
        <v>180</v>
      </c>
      <c r="AY428" s="2">
        <v>5</v>
      </c>
      <c r="AZ428" s="4">
        <f t="shared" si="268"/>
        <v>900</v>
      </c>
      <c r="BA428" s="49">
        <v>0.8</v>
      </c>
      <c r="BB428" s="4">
        <f t="shared" si="269"/>
        <v>720</v>
      </c>
      <c r="BC428" s="150">
        <v>8.0000000000000002E-3</v>
      </c>
      <c r="BD428" s="69">
        <f>IFERROR(
  MAX(0.05, MIN(0.5, CropNorms_Wheat[[#This Row],[Leaf_Area_Per_Shoot_m2]] * CropNorms_Wheat[[#This Row],[Shoot_Bearing_m2]] )),
  0.2
)</f>
        <v>0.5</v>
      </c>
      <c r="BE428" s="4">
        <f>_xlfn.XLOOKUP(CropNorms_Wheat[[#This Row],[LAI_Start_BBCH]], CropPhenology_Wheat[Sub_Stage], CropPhenology_Wheat[Start_GDD], "Not Found")</f>
        <v>151</v>
      </c>
      <c r="BF428" s="3">
        <f t="shared" si="270"/>
        <v>5.76</v>
      </c>
      <c r="BG42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8" s="3">
        <f>IF(CropNorms_Wheat[[#This Row],[Max_LAI]]&gt;=1.2, 0.85*CropNorms_Wheat[[#This Row],[Max_LAI]], 1)</f>
        <v>4.8959999999999999</v>
      </c>
      <c r="BI428" s="41">
        <f>_xlfn.XLOOKUP(CropNorms_Wheat[[#This Row],[LAI_End_BBCH]], CropPhenology_Wheat[Sub_Stage], CropPhenology_Wheat[End_GDD], "Not Found")</f>
        <v>1500</v>
      </c>
      <c r="BJ428" s="3" cm="1">
        <f t="array" ref="BJ42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8" s="3" cm="1">
        <f t="array" ref="BK42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28" s="3" cm="1">
        <f t="array" ref="BL42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28" s="3" cm="1">
        <f t="array" ref="BM42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8" s="42">
        <f>0.42</f>
        <v>0.42</v>
      </c>
      <c r="BO428" s="43">
        <v>0</v>
      </c>
      <c r="BP428" s="42">
        <v>3.4125000000000001</v>
      </c>
      <c r="BQ428" s="43" t="s">
        <v>1795</v>
      </c>
      <c r="BR428" s="3" t="str" cm="1">
        <f t="array" ref="BR42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8" s="3" t="str" cm="1">
        <f t="array" ref="BS42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8" s="3" t="str" cm="1">
        <f t="array" ref="BT42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8" s="3" t="str" cm="1">
        <f t="array" ref="BU42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8" s="48">
        <v>80</v>
      </c>
      <c r="BW428" s="1">
        <v>40</v>
      </c>
      <c r="BX428" s="44">
        <v>40</v>
      </c>
      <c r="BY428" s="151">
        <v>45962</v>
      </c>
      <c r="BZ428" s="151">
        <v>46022</v>
      </c>
      <c r="CA428" s="152">
        <v>0</v>
      </c>
      <c r="CB428" s="153">
        <v>0</v>
      </c>
      <c r="CC428" s="153">
        <v>1</v>
      </c>
      <c r="CD428" s="153">
        <v>1</v>
      </c>
      <c r="CE428" s="153">
        <v>1</v>
      </c>
      <c r="CF428" s="153">
        <v>0</v>
      </c>
      <c r="CG428" s="153">
        <v>0</v>
      </c>
      <c r="CH428" s="153">
        <v>0</v>
      </c>
      <c r="CI428" s="153">
        <v>0</v>
      </c>
      <c r="CJ428" s="153">
        <v>0</v>
      </c>
      <c r="CK428" s="153">
        <v>0</v>
      </c>
      <c r="CL428" s="153">
        <v>0</v>
      </c>
    </row>
    <row r="429" spans="2:90" x14ac:dyDescent="0.25">
      <c r="B429" s="27" t="s">
        <v>321</v>
      </c>
      <c r="C429" s="2" t="s">
        <v>2148</v>
      </c>
      <c r="D429" s="2" t="s">
        <v>1834</v>
      </c>
      <c r="E429" s="2" t="s">
        <v>1835</v>
      </c>
      <c r="F429" s="90">
        <v>105</v>
      </c>
      <c r="G429" s="2" t="s">
        <v>1836</v>
      </c>
      <c r="H429" s="2" t="s">
        <v>1840</v>
      </c>
      <c r="I429" s="2" t="s">
        <v>1841</v>
      </c>
      <c r="J429" s="2" t="s">
        <v>1156</v>
      </c>
      <c r="K429" s="2" t="s">
        <v>1748</v>
      </c>
      <c r="L429" s="2" t="s">
        <v>1750</v>
      </c>
      <c r="M429" s="2" t="s">
        <v>358</v>
      </c>
      <c r="N429" s="49"/>
      <c r="O429" s="2" t="s">
        <v>2141</v>
      </c>
      <c r="P429" s="2">
        <v>42</v>
      </c>
      <c r="Q429" s="2">
        <v>5</v>
      </c>
      <c r="R429" s="2">
        <v>6.7</v>
      </c>
      <c r="S429" s="2">
        <v>28</v>
      </c>
      <c r="T429" s="2">
        <v>35</v>
      </c>
      <c r="U429" s="251">
        <v>6</v>
      </c>
      <c r="V429" s="2">
        <v>139</v>
      </c>
      <c r="W429" s="86">
        <v>160</v>
      </c>
      <c r="X429" s="40">
        <f>_xlfn.XLOOKUP("Ripening", CropPhenology_Wheat[Main_Stage], CropPhenology_Wheat[Start_GDD], "Not Found")</f>
        <v>1501</v>
      </c>
      <c r="Y429" s="4" cm="1">
        <f t="array" ref="Y42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29" s="3">
        <f t="shared" si="264"/>
        <v>10.805732913669065</v>
      </c>
      <c r="AA429" s="41">
        <f t="shared" si="265"/>
        <v>157.32389589692056</v>
      </c>
      <c r="AB429" s="2">
        <v>7</v>
      </c>
      <c r="AC429" s="2">
        <v>5</v>
      </c>
      <c r="AD429" s="2">
        <v>2</v>
      </c>
      <c r="AE429" s="2">
        <v>80</v>
      </c>
      <c r="AF429" s="2">
        <v>0</v>
      </c>
      <c r="AG429" s="2">
        <v>5</v>
      </c>
      <c r="AH429" s="49">
        <f t="shared" si="271"/>
        <v>1.2649063822471434</v>
      </c>
      <c r="AI429" s="2">
        <v>5.5</v>
      </c>
      <c r="AJ429" s="2">
        <v>8</v>
      </c>
      <c r="AK429" s="165">
        <v>6</v>
      </c>
      <c r="AL429" s="166">
        <v>7.0999999999999994E-2</v>
      </c>
      <c r="AM429" s="2">
        <v>195</v>
      </c>
      <c r="AN429" s="2">
        <v>285</v>
      </c>
      <c r="AO429" s="85">
        <v>5</v>
      </c>
      <c r="AP429" s="86">
        <v>100</v>
      </c>
      <c r="AQ429" s="149">
        <v>0.6</v>
      </c>
      <c r="AR429" s="2">
        <v>20</v>
      </c>
      <c r="AS429" s="2">
        <v>2.5</v>
      </c>
      <c r="AT429" s="2">
        <v>1</v>
      </c>
      <c r="AU429" s="4">
        <f t="shared" si="266"/>
        <v>200</v>
      </c>
      <c r="AV429" s="3">
        <f t="shared" si="267"/>
        <v>84</v>
      </c>
      <c r="AW429" s="2">
        <v>90</v>
      </c>
      <c r="AX429" s="3">
        <f t="shared" si="272"/>
        <v>180</v>
      </c>
      <c r="AY429" s="2">
        <v>4</v>
      </c>
      <c r="AZ429" s="4">
        <f t="shared" si="268"/>
        <v>720</v>
      </c>
      <c r="BA429" s="49">
        <v>0.6</v>
      </c>
      <c r="BB429" s="4">
        <f t="shared" si="269"/>
        <v>432</v>
      </c>
      <c r="BC429" s="150">
        <v>6.0000000000000001E-3</v>
      </c>
      <c r="BD429" s="69">
        <f>IFERROR(
  MAX(0.05, MIN(0.5, CropNorms_Wheat[[#This Row],[Leaf_Area_Per_Shoot_m2]] * CropNorms_Wheat[[#This Row],[Shoot_Bearing_m2]] )),
  0.2
)</f>
        <v>0.5</v>
      </c>
      <c r="BE429" s="4">
        <f>_xlfn.XLOOKUP(CropNorms_Wheat[[#This Row],[LAI_Start_BBCH]], CropPhenology_Wheat[Sub_Stage], CropPhenology_Wheat[Start_GDD], "Not Found")</f>
        <v>151</v>
      </c>
      <c r="BF429" s="3">
        <f t="shared" si="270"/>
        <v>2.59</v>
      </c>
      <c r="BG42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29" s="3">
        <f>IF(CropNorms_Wheat[[#This Row],[Max_LAI]]&gt;=1.2, 0.85*CropNorms_Wheat[[#This Row],[Max_LAI]], 1)</f>
        <v>2.2014999999999998</v>
      </c>
      <c r="BI429" s="41">
        <f>_xlfn.XLOOKUP(CropNorms_Wheat[[#This Row],[LAI_End_BBCH]], CropPhenology_Wheat[Sub_Stage], CropPhenology_Wheat[End_GDD], "Not Found")</f>
        <v>1500</v>
      </c>
      <c r="BJ429" s="3" cm="1">
        <f t="array" ref="BJ42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29" s="3" cm="1">
        <f t="array" ref="BK42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29" s="3" cm="1">
        <f t="array" ref="BL42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29" s="3" cm="1">
        <f t="array" ref="BM42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29" s="42">
        <f t="shared" ref="BN429" si="274">(0.28+0.4)/2</f>
        <v>0.34</v>
      </c>
      <c r="BO429" s="43">
        <v>0</v>
      </c>
      <c r="BP429" s="42">
        <v>2.7625000000000002</v>
      </c>
      <c r="BQ429" s="43" t="s">
        <v>1795</v>
      </c>
      <c r="BR429" s="3" t="str" cm="1">
        <f t="array" ref="BR42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29" s="3" t="str" cm="1">
        <f t="array" ref="BS42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29" s="3" t="str" cm="1">
        <f t="array" ref="BT42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29" s="3" t="str" cm="1">
        <f t="array" ref="BU42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29" s="48">
        <v>80</v>
      </c>
      <c r="BW429" s="1">
        <v>40</v>
      </c>
      <c r="BX429" s="44">
        <v>40</v>
      </c>
      <c r="BY429" s="151">
        <v>45962</v>
      </c>
      <c r="BZ429" s="151">
        <v>46022</v>
      </c>
      <c r="CA429" s="152">
        <v>0</v>
      </c>
      <c r="CB429" s="153">
        <v>0</v>
      </c>
      <c r="CC429" s="153">
        <v>1</v>
      </c>
      <c r="CD429" s="153">
        <v>1</v>
      </c>
      <c r="CE429" s="153">
        <v>1</v>
      </c>
      <c r="CF429" s="153">
        <v>0</v>
      </c>
      <c r="CG429" s="153">
        <v>0</v>
      </c>
      <c r="CH429" s="153">
        <v>0</v>
      </c>
      <c r="CI429" s="153">
        <v>0</v>
      </c>
      <c r="CJ429" s="153">
        <v>0</v>
      </c>
      <c r="CK429" s="153">
        <v>0</v>
      </c>
      <c r="CL429" s="153">
        <v>0</v>
      </c>
    </row>
    <row r="430" spans="2:90" x14ac:dyDescent="0.25">
      <c r="B430" s="27" t="s">
        <v>321</v>
      </c>
      <c r="C430" s="2" t="s">
        <v>2149</v>
      </c>
      <c r="D430" s="2" t="s">
        <v>1832</v>
      </c>
      <c r="E430" s="2" t="s">
        <v>2127</v>
      </c>
      <c r="F430" s="90">
        <v>119</v>
      </c>
      <c r="G430" s="2" t="s">
        <v>2150</v>
      </c>
      <c r="H430" s="2" t="s">
        <v>2151</v>
      </c>
      <c r="I430" s="2" t="s">
        <v>2152</v>
      </c>
      <c r="J430" s="2" t="s">
        <v>2153</v>
      </c>
      <c r="K430" s="2" t="s">
        <v>1748</v>
      </c>
      <c r="L430" s="2" t="s">
        <v>1750</v>
      </c>
      <c r="M430" s="2" t="s">
        <v>358</v>
      </c>
      <c r="N430" s="49"/>
      <c r="O430" s="2" t="s">
        <v>2078</v>
      </c>
      <c r="P430" s="2">
        <v>45</v>
      </c>
      <c r="Q430" s="2">
        <v>5</v>
      </c>
      <c r="R430" s="2">
        <v>6.7</v>
      </c>
      <c r="S430" s="2">
        <v>28</v>
      </c>
      <c r="T430" s="2">
        <v>35</v>
      </c>
      <c r="U430" s="251">
        <v>6</v>
      </c>
      <c r="V430" s="2">
        <v>136</v>
      </c>
      <c r="W430" s="86">
        <v>162</v>
      </c>
      <c r="X430" s="40">
        <f>_xlfn.XLOOKUP("Ripening", CropPhenology_Wheat[Main_Stage], CropPhenology_Wheat[Start_GDD], "Not Found")</f>
        <v>1501</v>
      </c>
      <c r="Y430" s="4" cm="1">
        <f t="array" ref="Y43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0" s="3">
        <f t="shared" si="264"/>
        <v>10.882716049382715</v>
      </c>
      <c r="AA430" s="41">
        <f t="shared" si="265"/>
        <v>156.21100397050483</v>
      </c>
      <c r="AB430" s="2">
        <v>7</v>
      </c>
      <c r="AC430" s="2">
        <v>5</v>
      </c>
      <c r="AD430" s="2">
        <v>2</v>
      </c>
      <c r="AE430" s="2">
        <v>80</v>
      </c>
      <c r="AF430" s="2">
        <v>0</v>
      </c>
      <c r="AG430" s="2">
        <v>5</v>
      </c>
      <c r="AH430" s="49">
        <f t="shared" si="271"/>
        <v>1.2739179375453884</v>
      </c>
      <c r="AI430" s="2">
        <v>5.5</v>
      </c>
      <c r="AJ430" s="2">
        <v>8</v>
      </c>
      <c r="AK430" s="165">
        <v>6</v>
      </c>
      <c r="AL430" s="166">
        <v>7.0999999999999994E-2</v>
      </c>
      <c r="AM430" s="2">
        <v>195</v>
      </c>
      <c r="AN430" s="2">
        <v>285</v>
      </c>
      <c r="AO430" s="85">
        <v>5</v>
      </c>
      <c r="AP430" s="86">
        <v>100</v>
      </c>
      <c r="AQ430" s="149">
        <v>0.8</v>
      </c>
      <c r="AR430" s="2">
        <v>20</v>
      </c>
      <c r="AS430" s="2">
        <v>2.5</v>
      </c>
      <c r="AT430" s="2">
        <v>1</v>
      </c>
      <c r="AU430" s="4">
        <f t="shared" si="266"/>
        <v>200</v>
      </c>
      <c r="AV430" s="3">
        <f t="shared" si="267"/>
        <v>90</v>
      </c>
      <c r="AW430" s="2">
        <v>90</v>
      </c>
      <c r="AX430" s="3">
        <f t="shared" si="272"/>
        <v>180</v>
      </c>
      <c r="AY430" s="2">
        <v>4</v>
      </c>
      <c r="AZ430" s="4">
        <f t="shared" si="268"/>
        <v>720</v>
      </c>
      <c r="BA430" s="49">
        <v>0.8</v>
      </c>
      <c r="BB430" s="4">
        <f t="shared" si="269"/>
        <v>576</v>
      </c>
      <c r="BC430" s="150">
        <v>8.0000000000000002E-3</v>
      </c>
      <c r="BD430" s="69">
        <f>IFERROR(
  MAX(0.05, MIN(0.5, CropNorms_Wheat[[#This Row],[Leaf_Area_Per_Shoot_m2]] * CropNorms_Wheat[[#This Row],[Shoot_Bearing_m2]] )),
  0.2
)</f>
        <v>0.5</v>
      </c>
      <c r="BE430" s="4">
        <f>_xlfn.XLOOKUP(CropNorms_Wheat[[#This Row],[LAI_Start_BBCH]], CropPhenology_Wheat[Sub_Stage], CropPhenology_Wheat[Start_GDD], "Not Found")</f>
        <v>151</v>
      </c>
      <c r="BF430" s="3">
        <f t="shared" si="270"/>
        <v>4.6100000000000003</v>
      </c>
      <c r="BG43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0" s="3">
        <f>IF(CropNorms_Wheat[[#This Row],[Max_LAI]]&gt;=1.2, 0.85*CropNorms_Wheat[[#This Row],[Max_LAI]], 1)</f>
        <v>3.9185000000000003</v>
      </c>
      <c r="BI430" s="41">
        <f>_xlfn.XLOOKUP(CropNorms_Wheat[[#This Row],[LAI_End_BBCH]], CropPhenology_Wheat[Sub_Stage], CropPhenology_Wheat[End_GDD], "Not Found")</f>
        <v>1500</v>
      </c>
      <c r="BJ430" s="3" cm="1">
        <f t="array" ref="BJ43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0" s="3" cm="1">
        <f t="array" ref="BK43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30" s="3" cm="1">
        <f t="array" ref="BL43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30" s="3" cm="1">
        <f t="array" ref="BM43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0" s="42">
        <v>0.4</v>
      </c>
      <c r="BO430" s="43">
        <v>0</v>
      </c>
      <c r="BP430" s="42">
        <v>3.25</v>
      </c>
      <c r="BQ430" s="43" t="s">
        <v>1795</v>
      </c>
      <c r="BR430" s="3" t="str" cm="1">
        <f t="array" ref="BR43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0" s="3" t="str" cm="1">
        <f t="array" ref="BS43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0" s="3" t="str" cm="1">
        <f t="array" ref="BT43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0" s="3" t="str" cm="1">
        <f t="array" ref="BU43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0" s="48">
        <v>80</v>
      </c>
      <c r="BW430" s="1">
        <v>40</v>
      </c>
      <c r="BX430" s="44">
        <v>40</v>
      </c>
      <c r="BY430" s="151">
        <v>45962</v>
      </c>
      <c r="BZ430" s="151">
        <v>46022</v>
      </c>
      <c r="CA430" s="152">
        <v>0</v>
      </c>
      <c r="CB430" s="153">
        <v>0</v>
      </c>
      <c r="CC430" s="153">
        <v>1</v>
      </c>
      <c r="CD430" s="153">
        <v>1</v>
      </c>
      <c r="CE430" s="153">
        <v>1</v>
      </c>
      <c r="CF430" s="153">
        <v>0</v>
      </c>
      <c r="CG430" s="153">
        <v>0</v>
      </c>
      <c r="CH430" s="153">
        <v>0</v>
      </c>
      <c r="CI430" s="153">
        <v>0</v>
      </c>
      <c r="CJ430" s="153">
        <v>0</v>
      </c>
      <c r="CK430" s="153">
        <v>0</v>
      </c>
      <c r="CL430" s="153">
        <v>0</v>
      </c>
    </row>
    <row r="431" spans="2:90" x14ac:dyDescent="0.25">
      <c r="B431" s="27" t="s">
        <v>321</v>
      </c>
      <c r="C431" s="2" t="s">
        <v>2154</v>
      </c>
      <c r="D431" s="2" t="s">
        <v>1832</v>
      </c>
      <c r="E431" s="2" t="s">
        <v>1835</v>
      </c>
      <c r="F431" s="90">
        <v>100</v>
      </c>
      <c r="G431" s="2" t="s">
        <v>2155</v>
      </c>
      <c r="H431" s="2" t="s">
        <v>2156</v>
      </c>
      <c r="I431" s="2" t="s">
        <v>2302</v>
      </c>
      <c r="J431" s="2" t="s">
        <v>2342</v>
      </c>
      <c r="K431" s="2" t="s">
        <v>1748</v>
      </c>
      <c r="L431" s="2" t="s">
        <v>1750</v>
      </c>
      <c r="M431" s="2" t="s">
        <v>358</v>
      </c>
      <c r="N431" s="49"/>
      <c r="O431" s="2" t="s">
        <v>2078</v>
      </c>
      <c r="P431" s="2">
        <v>45</v>
      </c>
      <c r="Q431" s="2">
        <v>5</v>
      </c>
      <c r="R431" s="2">
        <v>6.7</v>
      </c>
      <c r="S431" s="2">
        <v>28</v>
      </c>
      <c r="T431" s="2">
        <v>35</v>
      </c>
      <c r="U431" s="251">
        <v>6</v>
      </c>
      <c r="V431" s="2">
        <v>140</v>
      </c>
      <c r="W431" s="86">
        <v>156</v>
      </c>
      <c r="X431" s="40">
        <f>_xlfn.XLOOKUP("Ripening", CropPhenology_Wheat[Main_Stage], CropPhenology_Wheat[Start_GDD], "Not Found")</f>
        <v>1501</v>
      </c>
      <c r="Y431" s="4" cm="1">
        <f t="array" ref="Y43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1" s="3">
        <f t="shared" si="264"/>
        <v>10.882326007326007</v>
      </c>
      <c r="AA431" s="41">
        <f t="shared" si="265"/>
        <v>156.2166028526949</v>
      </c>
      <c r="AB431" s="2">
        <v>6</v>
      </c>
      <c r="AC431" s="2">
        <v>5</v>
      </c>
      <c r="AD431" s="2">
        <v>2</v>
      </c>
      <c r="AE431" s="2">
        <v>80</v>
      </c>
      <c r="AF431" s="2">
        <v>0</v>
      </c>
      <c r="AG431" s="2">
        <v>5</v>
      </c>
      <c r="AH431" s="49">
        <f t="shared" si="271"/>
        <v>1.2738722796811033</v>
      </c>
      <c r="AI431" s="2">
        <v>5.5</v>
      </c>
      <c r="AJ431" s="2">
        <v>8</v>
      </c>
      <c r="AK431" s="165">
        <v>6</v>
      </c>
      <c r="AL431" s="166">
        <v>7.0999999999999994E-2</v>
      </c>
      <c r="AM431" s="2">
        <v>195</v>
      </c>
      <c r="AN431" s="2">
        <v>285</v>
      </c>
      <c r="AO431" s="85">
        <v>5</v>
      </c>
      <c r="AP431" s="86">
        <v>100</v>
      </c>
      <c r="AQ431" s="149">
        <v>0.8</v>
      </c>
      <c r="AR431" s="2">
        <v>20</v>
      </c>
      <c r="AS431" s="2">
        <v>2.5</v>
      </c>
      <c r="AT431" s="2">
        <v>1</v>
      </c>
      <c r="AU431" s="4">
        <f t="shared" si="266"/>
        <v>200</v>
      </c>
      <c r="AV431" s="3">
        <f t="shared" si="267"/>
        <v>90</v>
      </c>
      <c r="AW431" s="2">
        <v>90</v>
      </c>
      <c r="AX431" s="3">
        <f t="shared" si="272"/>
        <v>180</v>
      </c>
      <c r="AY431" s="2">
        <v>5</v>
      </c>
      <c r="AZ431" s="4">
        <f t="shared" si="268"/>
        <v>900</v>
      </c>
      <c r="BA431" s="49">
        <v>0.8</v>
      </c>
      <c r="BB431" s="4">
        <f t="shared" si="269"/>
        <v>720</v>
      </c>
      <c r="BC431" s="150">
        <v>8.0000000000000002E-3</v>
      </c>
      <c r="BD431" s="69">
        <f>IFERROR(
  MAX(0.05, MIN(0.5, CropNorms_Wheat[[#This Row],[Leaf_Area_Per_Shoot_m2]] * CropNorms_Wheat[[#This Row],[Shoot_Bearing_m2]] )),
  0.2
)</f>
        <v>0.5</v>
      </c>
      <c r="BE431" s="4">
        <f>_xlfn.XLOOKUP(CropNorms_Wheat[[#This Row],[LAI_Start_BBCH]], CropPhenology_Wheat[Sub_Stage], CropPhenology_Wheat[Start_GDD], "Not Found")</f>
        <v>151</v>
      </c>
      <c r="BF431" s="3">
        <f t="shared" si="270"/>
        <v>5.76</v>
      </c>
      <c r="BG43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1" s="3">
        <f>IF(CropNorms_Wheat[[#This Row],[Max_LAI]]&gt;=1.2, 0.85*CropNorms_Wheat[[#This Row],[Max_LAI]], 1)</f>
        <v>4.8959999999999999</v>
      </c>
      <c r="BI431" s="41">
        <f>_xlfn.XLOOKUP(CropNorms_Wheat[[#This Row],[LAI_End_BBCH]], CropPhenology_Wheat[Sub_Stage], CropPhenology_Wheat[End_GDD], "Not Found")</f>
        <v>1500</v>
      </c>
      <c r="BJ431" s="3" cm="1">
        <f t="array" ref="BJ43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1" s="3" cm="1">
        <f t="array" ref="BK43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31" s="3" cm="1">
        <f t="array" ref="BL43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31" s="3" cm="1">
        <f t="array" ref="BM43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1" s="42">
        <f>0.42</f>
        <v>0.42</v>
      </c>
      <c r="BO431" s="43">
        <v>0</v>
      </c>
      <c r="BP431" s="42">
        <v>3.4125000000000001</v>
      </c>
      <c r="BQ431" s="43" t="s">
        <v>1795</v>
      </c>
      <c r="BR431" s="3" t="str" cm="1">
        <f t="array" ref="BR43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1" s="3" t="str" cm="1">
        <f t="array" ref="BS43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1" s="3" t="str" cm="1">
        <f t="array" ref="BT43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1" s="3" t="str" cm="1">
        <f t="array" ref="BU43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1" s="48">
        <v>80</v>
      </c>
      <c r="BW431" s="1">
        <v>40</v>
      </c>
      <c r="BX431" s="44">
        <v>40</v>
      </c>
      <c r="BY431" s="151">
        <v>45962</v>
      </c>
      <c r="BZ431" s="151">
        <v>46022</v>
      </c>
      <c r="CA431" s="152">
        <v>0</v>
      </c>
      <c r="CB431" s="153">
        <v>0</v>
      </c>
      <c r="CC431" s="153">
        <v>1</v>
      </c>
      <c r="CD431" s="153">
        <v>1</v>
      </c>
      <c r="CE431" s="153">
        <v>1</v>
      </c>
      <c r="CF431" s="153">
        <v>0</v>
      </c>
      <c r="CG431" s="153">
        <v>0</v>
      </c>
      <c r="CH431" s="153">
        <v>0</v>
      </c>
      <c r="CI431" s="153">
        <v>0</v>
      </c>
      <c r="CJ431" s="153">
        <v>0</v>
      </c>
      <c r="CK431" s="153">
        <v>0</v>
      </c>
      <c r="CL431" s="153">
        <v>0</v>
      </c>
    </row>
    <row r="432" spans="2:90" x14ac:dyDescent="0.25">
      <c r="B432" s="27" t="s">
        <v>321</v>
      </c>
      <c r="C432" s="2" t="s">
        <v>2157</v>
      </c>
      <c r="D432" s="2" t="s">
        <v>1834</v>
      </c>
      <c r="E432" s="2" t="s">
        <v>1835</v>
      </c>
      <c r="F432" s="90">
        <v>105</v>
      </c>
      <c r="G432" s="2" t="s">
        <v>2158</v>
      </c>
      <c r="H432" s="2" t="s">
        <v>1843</v>
      </c>
      <c r="I432" s="2" t="s">
        <v>1841</v>
      </c>
      <c r="J432" s="2" t="s">
        <v>1156</v>
      </c>
      <c r="K432" s="2" t="s">
        <v>1748</v>
      </c>
      <c r="L432" s="2" t="s">
        <v>1750</v>
      </c>
      <c r="M432" s="2" t="s">
        <v>358</v>
      </c>
      <c r="N432" s="49"/>
      <c r="O432" s="2" t="s">
        <v>2141</v>
      </c>
      <c r="P432" s="2">
        <v>42</v>
      </c>
      <c r="Q432" s="2">
        <v>5</v>
      </c>
      <c r="R432" s="2">
        <v>6.7</v>
      </c>
      <c r="S432" s="2">
        <v>28</v>
      </c>
      <c r="T432" s="2">
        <v>35</v>
      </c>
      <c r="U432" s="251">
        <v>6</v>
      </c>
      <c r="V432" s="2">
        <v>135</v>
      </c>
      <c r="W432" s="86">
        <v>162</v>
      </c>
      <c r="X432" s="40">
        <f>_xlfn.XLOOKUP("Ripening", CropPhenology_Wheat[Main_Stage], CropPhenology_Wheat[Start_GDD], "Not Found")</f>
        <v>1501</v>
      </c>
      <c r="Y432" s="4" cm="1">
        <f t="array" ref="Y43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2" s="3">
        <f t="shared" si="264"/>
        <v>10.929012345679013</v>
      </c>
      <c r="AA432" s="41">
        <f t="shared" si="265"/>
        <v>155.54927986444505</v>
      </c>
      <c r="AB432" s="2">
        <v>7</v>
      </c>
      <c r="AC432" s="2">
        <v>5</v>
      </c>
      <c r="AD432" s="2">
        <v>2</v>
      </c>
      <c r="AE432" s="2">
        <v>80</v>
      </c>
      <c r="AF432" s="2">
        <v>0</v>
      </c>
      <c r="AG432" s="2">
        <v>5</v>
      </c>
      <c r="AH432" s="49">
        <f t="shared" si="271"/>
        <v>1.2793373275236022</v>
      </c>
      <c r="AI432" s="2">
        <v>5.5</v>
      </c>
      <c r="AJ432" s="2">
        <v>8</v>
      </c>
      <c r="AK432" s="165">
        <v>6</v>
      </c>
      <c r="AL432" s="166">
        <v>7.0999999999999994E-2</v>
      </c>
      <c r="AM432" s="2">
        <v>195</v>
      </c>
      <c r="AN432" s="2">
        <v>285</v>
      </c>
      <c r="AO432" s="85">
        <v>5</v>
      </c>
      <c r="AP432" s="86">
        <v>100</v>
      </c>
      <c r="AQ432" s="149">
        <v>0.6</v>
      </c>
      <c r="AR432" s="2">
        <v>20</v>
      </c>
      <c r="AS432" s="2">
        <v>2.5</v>
      </c>
      <c r="AT432" s="2">
        <v>1</v>
      </c>
      <c r="AU432" s="4">
        <f t="shared" si="266"/>
        <v>200</v>
      </c>
      <c r="AV432" s="3">
        <f t="shared" si="267"/>
        <v>84</v>
      </c>
      <c r="AW432" s="2">
        <v>90</v>
      </c>
      <c r="AX432" s="3">
        <f t="shared" si="272"/>
        <v>180</v>
      </c>
      <c r="AY432" s="2">
        <v>3</v>
      </c>
      <c r="AZ432" s="4">
        <f t="shared" si="268"/>
        <v>540</v>
      </c>
      <c r="BA432" s="49">
        <v>0.6</v>
      </c>
      <c r="BB432" s="4">
        <f t="shared" si="269"/>
        <v>324</v>
      </c>
      <c r="BC432" s="150">
        <v>6.0000000000000001E-3</v>
      </c>
      <c r="BD432" s="69">
        <f>IFERROR(
  MAX(0.05, MIN(0.5, CropNorms_Wheat[[#This Row],[Leaf_Area_Per_Shoot_m2]] * CropNorms_Wheat[[#This Row],[Shoot_Bearing_m2]] )),
  0.2
)</f>
        <v>0.5</v>
      </c>
      <c r="BE432" s="4">
        <f>_xlfn.XLOOKUP(CropNorms_Wheat[[#This Row],[LAI_Start_BBCH]], CropPhenology_Wheat[Sub_Stage], CropPhenology_Wheat[Start_GDD], "Not Found")</f>
        <v>151</v>
      </c>
      <c r="BF432" s="3">
        <f t="shared" si="270"/>
        <v>1.94</v>
      </c>
      <c r="BG43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2" s="3">
        <f>IF(CropNorms_Wheat[[#This Row],[Max_LAI]]&gt;=1.2, 0.85*CropNorms_Wheat[[#This Row],[Max_LAI]], 1)</f>
        <v>1.649</v>
      </c>
      <c r="BI432" s="41">
        <f>_xlfn.XLOOKUP(CropNorms_Wheat[[#This Row],[LAI_End_BBCH]], CropPhenology_Wheat[Sub_Stage], CropPhenology_Wheat[End_GDD], "Not Found")</f>
        <v>1500</v>
      </c>
      <c r="BJ432" s="3" cm="1">
        <f t="array" ref="BJ43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2" s="3" cm="1">
        <f t="array" ref="BK43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0.93829607572061335</v>
      </c>
      <c r="BL432" s="3" cm="1">
        <f t="array" ref="BL43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0.88425217024030944</v>
      </c>
      <c r="BM432" s="3" cm="1">
        <f t="array" ref="BM43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2" s="42">
        <v>0.37</v>
      </c>
      <c r="BO432" s="43">
        <v>0</v>
      </c>
      <c r="BP432" s="42">
        <v>3.0062500000000001</v>
      </c>
      <c r="BQ432" s="43" t="s">
        <v>1795</v>
      </c>
      <c r="BR432" s="3" t="str" cm="1">
        <f t="array" ref="BR43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2" s="3" t="str" cm="1">
        <f t="array" ref="BS43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2" s="3" t="str" cm="1">
        <f t="array" ref="BT43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2" s="3" t="str" cm="1">
        <f t="array" ref="BU43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2" s="48">
        <v>80</v>
      </c>
      <c r="BW432" s="1">
        <v>40</v>
      </c>
      <c r="BX432" s="44">
        <v>40</v>
      </c>
      <c r="BY432" s="151">
        <v>45962</v>
      </c>
      <c r="BZ432" s="151">
        <v>46022</v>
      </c>
      <c r="CA432" s="152">
        <v>0</v>
      </c>
      <c r="CB432" s="153">
        <v>0</v>
      </c>
      <c r="CC432" s="153">
        <v>1</v>
      </c>
      <c r="CD432" s="153">
        <v>1</v>
      </c>
      <c r="CE432" s="153">
        <v>1</v>
      </c>
      <c r="CF432" s="153">
        <v>0</v>
      </c>
      <c r="CG432" s="153">
        <v>0</v>
      </c>
      <c r="CH432" s="153">
        <v>0</v>
      </c>
      <c r="CI432" s="153">
        <v>0</v>
      </c>
      <c r="CJ432" s="153">
        <v>0</v>
      </c>
      <c r="CK432" s="153">
        <v>0</v>
      </c>
      <c r="CL432" s="153">
        <v>0</v>
      </c>
    </row>
    <row r="433" spans="2:90" x14ac:dyDescent="0.25">
      <c r="B433" s="27" t="s">
        <v>321</v>
      </c>
      <c r="C433" s="2" t="s">
        <v>2159</v>
      </c>
      <c r="D433" s="2" t="s">
        <v>1832</v>
      </c>
      <c r="E433" s="2" t="s">
        <v>2127</v>
      </c>
      <c r="F433" s="90">
        <v>115</v>
      </c>
      <c r="G433" s="2" t="s">
        <v>2160</v>
      </c>
      <c r="H433" s="2" t="s">
        <v>1840</v>
      </c>
      <c r="I433" s="2" t="s">
        <v>1841</v>
      </c>
      <c r="J433" s="2"/>
      <c r="K433" s="2" t="s">
        <v>1748</v>
      </c>
      <c r="L433" s="2" t="s">
        <v>1750</v>
      </c>
      <c r="M433" s="2" t="s">
        <v>358</v>
      </c>
      <c r="N433" s="49"/>
      <c r="O433" s="2" t="s">
        <v>2078</v>
      </c>
      <c r="P433" s="2">
        <v>45</v>
      </c>
      <c r="Q433" s="2">
        <v>5</v>
      </c>
      <c r="R433" s="2">
        <v>6.7</v>
      </c>
      <c r="S433" s="2">
        <v>28</v>
      </c>
      <c r="T433" s="2">
        <v>35</v>
      </c>
      <c r="U433" s="251">
        <v>6</v>
      </c>
      <c r="V433" s="2">
        <v>132</v>
      </c>
      <c r="W433" s="86">
        <v>152</v>
      </c>
      <c r="X433" s="40">
        <f>_xlfn.XLOOKUP("Ripening", CropPhenology_Wheat[Main_Stage], CropPhenology_Wheat[Start_GDD], "Not Found")</f>
        <v>1501</v>
      </c>
      <c r="Y433" s="4" cm="1">
        <f t="array" ref="Y43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3" s="3">
        <f t="shared" si="264"/>
        <v>11.376893939393939</v>
      </c>
      <c r="AA433" s="41">
        <f t="shared" si="265"/>
        <v>149.42567005160646</v>
      </c>
      <c r="AB433" s="2">
        <v>7</v>
      </c>
      <c r="AC433" s="2">
        <v>5</v>
      </c>
      <c r="AD433" s="2">
        <v>2</v>
      </c>
      <c r="AE433" s="2">
        <v>80</v>
      </c>
      <c r="AF433" s="2">
        <v>0</v>
      </c>
      <c r="AG433" s="2">
        <v>5</v>
      </c>
      <c r="AH433" s="49">
        <f t="shared" si="271"/>
        <v>1.3317658199643494</v>
      </c>
      <c r="AI433" s="2">
        <v>5.5</v>
      </c>
      <c r="AJ433" s="2">
        <v>8</v>
      </c>
      <c r="AK433" s="165">
        <v>6</v>
      </c>
      <c r="AL433" s="166">
        <v>7.0999999999999994E-2</v>
      </c>
      <c r="AM433" s="2">
        <v>195</v>
      </c>
      <c r="AN433" s="2">
        <v>285</v>
      </c>
      <c r="AO433" s="85">
        <v>5</v>
      </c>
      <c r="AP433" s="86">
        <v>100</v>
      </c>
      <c r="AQ433" s="149">
        <v>0.8</v>
      </c>
      <c r="AR433" s="2">
        <v>20</v>
      </c>
      <c r="AS433" s="2">
        <v>2.5</v>
      </c>
      <c r="AT433" s="2">
        <v>1</v>
      </c>
      <c r="AU433" s="4">
        <f t="shared" si="266"/>
        <v>200</v>
      </c>
      <c r="AV433" s="3">
        <f t="shared" si="267"/>
        <v>90</v>
      </c>
      <c r="AW433" s="2">
        <v>90</v>
      </c>
      <c r="AX433" s="3">
        <f t="shared" si="272"/>
        <v>180</v>
      </c>
      <c r="AY433" s="2">
        <v>4</v>
      </c>
      <c r="AZ433" s="4">
        <f t="shared" si="268"/>
        <v>720</v>
      </c>
      <c r="BA433" s="49">
        <v>0.8</v>
      </c>
      <c r="BB433" s="4">
        <f t="shared" si="269"/>
        <v>576</v>
      </c>
      <c r="BC433" s="150">
        <v>8.0000000000000002E-3</v>
      </c>
      <c r="BD433" s="69">
        <f>IFERROR(
  MAX(0.05, MIN(0.5, CropNorms_Wheat[[#This Row],[Leaf_Area_Per_Shoot_m2]] * CropNorms_Wheat[[#This Row],[Shoot_Bearing_m2]] )),
  0.2
)</f>
        <v>0.5</v>
      </c>
      <c r="BE433" s="4">
        <f>_xlfn.XLOOKUP(CropNorms_Wheat[[#This Row],[LAI_Start_BBCH]], CropPhenology_Wheat[Sub_Stage], CropPhenology_Wheat[Start_GDD], "Not Found")</f>
        <v>151</v>
      </c>
      <c r="BF433" s="3">
        <f t="shared" si="270"/>
        <v>4.6100000000000003</v>
      </c>
      <c r="BG43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3" s="3">
        <f>IF(CropNorms_Wheat[[#This Row],[Max_LAI]]&gt;=1.2, 0.85*CropNorms_Wheat[[#This Row],[Max_LAI]], 1)</f>
        <v>3.9185000000000003</v>
      </c>
      <c r="BI433" s="41">
        <f>_xlfn.XLOOKUP(CropNorms_Wheat[[#This Row],[LAI_End_BBCH]], CropPhenology_Wheat[Sub_Stage], CropPhenology_Wheat[End_GDD], "Not Found")</f>
        <v>1500</v>
      </c>
      <c r="BJ433" s="3" cm="1">
        <f t="array" ref="BJ43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3" s="3" cm="1">
        <f t="array" ref="BK43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33" s="3" cm="1">
        <f t="array" ref="BL43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33" s="3" cm="1">
        <f t="array" ref="BM43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3" s="42">
        <v>0.45</v>
      </c>
      <c r="BO433" s="43">
        <v>0</v>
      </c>
      <c r="BP433" s="42">
        <v>3.65625</v>
      </c>
      <c r="BQ433" s="43" t="s">
        <v>1795</v>
      </c>
      <c r="BR433" s="3" t="str" cm="1">
        <f t="array" ref="BR43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3" s="3" t="str" cm="1">
        <f t="array" ref="BS43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3" s="3" t="str" cm="1">
        <f t="array" ref="BT43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3" s="3" t="str" cm="1">
        <f t="array" ref="BU43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3" s="48">
        <v>80</v>
      </c>
      <c r="BW433" s="1">
        <v>40</v>
      </c>
      <c r="BX433" s="44">
        <v>40</v>
      </c>
      <c r="BY433" s="151">
        <v>45962</v>
      </c>
      <c r="BZ433" s="151">
        <v>46022</v>
      </c>
      <c r="CA433" s="152">
        <v>0</v>
      </c>
      <c r="CB433" s="153">
        <v>0</v>
      </c>
      <c r="CC433" s="153">
        <v>1</v>
      </c>
      <c r="CD433" s="153">
        <v>1</v>
      </c>
      <c r="CE433" s="153">
        <v>1</v>
      </c>
      <c r="CF433" s="153">
        <v>0</v>
      </c>
      <c r="CG433" s="153">
        <v>0</v>
      </c>
      <c r="CH433" s="153">
        <v>0</v>
      </c>
      <c r="CI433" s="153">
        <v>0</v>
      </c>
      <c r="CJ433" s="153">
        <v>0</v>
      </c>
      <c r="CK433" s="153">
        <v>0</v>
      </c>
      <c r="CL433" s="153">
        <v>0</v>
      </c>
    </row>
    <row r="434" spans="2:90" x14ac:dyDescent="0.25">
      <c r="B434" s="27" t="s">
        <v>321</v>
      </c>
      <c r="C434" s="2" t="s">
        <v>2161</v>
      </c>
      <c r="D434" s="2" t="s">
        <v>1832</v>
      </c>
      <c r="E434" s="2" t="s">
        <v>1835</v>
      </c>
      <c r="F434" s="90">
        <v>100</v>
      </c>
      <c r="G434" s="2" t="s">
        <v>2162</v>
      </c>
      <c r="H434" s="2" t="s">
        <v>2131</v>
      </c>
      <c r="I434" s="2"/>
      <c r="J434" s="2" t="s">
        <v>2341</v>
      </c>
      <c r="K434" s="2" t="s">
        <v>1748</v>
      </c>
      <c r="L434" s="2" t="s">
        <v>1750</v>
      </c>
      <c r="M434" s="2" t="s">
        <v>358</v>
      </c>
      <c r="N434" s="49"/>
      <c r="O434" s="2" t="s">
        <v>2078</v>
      </c>
      <c r="P434" s="2">
        <v>39</v>
      </c>
      <c r="Q434" s="2">
        <v>5</v>
      </c>
      <c r="R434" s="2">
        <v>6.7</v>
      </c>
      <c r="S434" s="2">
        <v>28</v>
      </c>
      <c r="T434" s="2">
        <v>35</v>
      </c>
      <c r="U434" s="251">
        <v>6</v>
      </c>
      <c r="V434" s="2">
        <v>140</v>
      </c>
      <c r="W434" s="86">
        <v>160</v>
      </c>
      <c r="X434" s="40">
        <f>_xlfn.XLOOKUP("Ripening", CropPhenology_Wheat[Main_Stage], CropPhenology_Wheat[Start_GDD], "Not Found")</f>
        <v>1501</v>
      </c>
      <c r="Y434" s="4" cm="1">
        <f t="array" ref="Y43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4" s="3">
        <f t="shared" si="264"/>
        <v>10.76205357142857</v>
      </c>
      <c r="AA434" s="41">
        <f t="shared" si="265"/>
        <v>157.96241755506702</v>
      </c>
      <c r="AB434" s="2">
        <v>7</v>
      </c>
      <c r="AC434" s="2">
        <v>5</v>
      </c>
      <c r="AD434" s="2">
        <v>2</v>
      </c>
      <c r="AE434" s="2">
        <v>80</v>
      </c>
      <c r="AF434" s="2">
        <v>0</v>
      </c>
      <c r="AG434" s="2">
        <v>5</v>
      </c>
      <c r="AH434" s="49">
        <f t="shared" si="271"/>
        <v>1.2597933298319326</v>
      </c>
      <c r="AI434" s="2">
        <v>5.5</v>
      </c>
      <c r="AJ434" s="2">
        <v>8</v>
      </c>
      <c r="AK434" s="165">
        <v>6</v>
      </c>
      <c r="AL434" s="166">
        <v>7.0999999999999994E-2</v>
      </c>
      <c r="AM434" s="2">
        <v>195</v>
      </c>
      <c r="AN434" s="2">
        <v>285</v>
      </c>
      <c r="AO434" s="85">
        <v>5</v>
      </c>
      <c r="AP434" s="86">
        <v>100</v>
      </c>
      <c r="AQ434" s="149">
        <v>0.8</v>
      </c>
      <c r="AR434" s="2">
        <v>20</v>
      </c>
      <c r="AS434" s="2">
        <v>2.5</v>
      </c>
      <c r="AT434" s="2">
        <v>1</v>
      </c>
      <c r="AU434" s="4">
        <f t="shared" si="266"/>
        <v>200</v>
      </c>
      <c r="AV434" s="3">
        <f t="shared" si="267"/>
        <v>78</v>
      </c>
      <c r="AW434" s="2">
        <v>90</v>
      </c>
      <c r="AX434" s="3">
        <f t="shared" si="272"/>
        <v>180</v>
      </c>
      <c r="AY434" s="2">
        <v>3</v>
      </c>
      <c r="AZ434" s="4">
        <f t="shared" si="268"/>
        <v>540</v>
      </c>
      <c r="BA434" s="49">
        <v>0.8</v>
      </c>
      <c r="BB434" s="4">
        <f t="shared" si="269"/>
        <v>432</v>
      </c>
      <c r="BC434" s="150">
        <v>8.0000000000000002E-3</v>
      </c>
      <c r="BD434" s="69">
        <f>IFERROR(
  MAX(0.05, MIN(0.5, CropNorms_Wheat[[#This Row],[Leaf_Area_Per_Shoot_m2]] * CropNorms_Wheat[[#This Row],[Shoot_Bearing_m2]] )),
  0.2
)</f>
        <v>0.5</v>
      </c>
      <c r="BE434" s="4">
        <f>_xlfn.XLOOKUP(CropNorms_Wheat[[#This Row],[LAI_Start_BBCH]], CropPhenology_Wheat[Sub_Stage], CropPhenology_Wheat[Start_GDD], "Not Found")</f>
        <v>151</v>
      </c>
      <c r="BF434" s="3">
        <f t="shared" si="270"/>
        <v>3.46</v>
      </c>
      <c r="BG43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4" s="3">
        <f>IF(CropNorms_Wheat[[#This Row],[Max_LAI]]&gt;=1.2, 0.85*CropNorms_Wheat[[#This Row],[Max_LAI]], 1)</f>
        <v>2.9409999999999998</v>
      </c>
      <c r="BI434" s="41">
        <f>_xlfn.XLOOKUP(CropNorms_Wheat[[#This Row],[LAI_End_BBCH]], CropPhenology_Wheat[Sub_Stage], CropPhenology_Wheat[End_GDD], "Not Found")</f>
        <v>1500</v>
      </c>
      <c r="BJ434" s="3" cm="1">
        <f t="array" ref="BJ43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4" s="3" cm="1">
        <f t="array" ref="BK43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0.93770812464768794</v>
      </c>
      <c r="BL434" s="3" cm="1">
        <f t="array" ref="BL43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1.6533165957706792</v>
      </c>
      <c r="BM434" s="3" cm="1">
        <f t="array" ref="BM43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4" s="42">
        <v>0.36</v>
      </c>
      <c r="BO434" s="43">
        <v>0</v>
      </c>
      <c r="BP434" s="42">
        <v>2.9249999999999998</v>
      </c>
      <c r="BQ434" s="43" t="s">
        <v>1795</v>
      </c>
      <c r="BR434" s="3" t="str" cm="1">
        <f t="array" ref="BR43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4" s="3" t="str" cm="1">
        <f t="array" ref="BS43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4" s="3" t="str" cm="1">
        <f t="array" ref="BT43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4" s="3" t="str" cm="1">
        <f t="array" ref="BU43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4" s="48">
        <v>80</v>
      </c>
      <c r="BW434" s="1">
        <v>40</v>
      </c>
      <c r="BX434" s="44">
        <v>40</v>
      </c>
      <c r="BY434" s="151">
        <v>45962</v>
      </c>
      <c r="BZ434" s="151">
        <v>46022</v>
      </c>
      <c r="CA434" s="152">
        <v>0</v>
      </c>
      <c r="CB434" s="153">
        <v>0</v>
      </c>
      <c r="CC434" s="153">
        <v>1</v>
      </c>
      <c r="CD434" s="153">
        <v>1</v>
      </c>
      <c r="CE434" s="153">
        <v>1</v>
      </c>
      <c r="CF434" s="153">
        <v>0</v>
      </c>
      <c r="CG434" s="153">
        <v>0</v>
      </c>
      <c r="CH434" s="153">
        <v>0</v>
      </c>
      <c r="CI434" s="153">
        <v>0</v>
      </c>
      <c r="CJ434" s="153">
        <v>0</v>
      </c>
      <c r="CK434" s="153">
        <v>0</v>
      </c>
      <c r="CL434" s="153">
        <v>0</v>
      </c>
    </row>
    <row r="435" spans="2:90" x14ac:dyDescent="0.25">
      <c r="B435" s="27" t="s">
        <v>321</v>
      </c>
      <c r="C435" s="2" t="s">
        <v>2163</v>
      </c>
      <c r="D435" s="2" t="s">
        <v>2113</v>
      </c>
      <c r="E435" s="2" t="s">
        <v>1835</v>
      </c>
      <c r="F435" s="90">
        <v>105</v>
      </c>
      <c r="G435" s="2" t="s">
        <v>1844</v>
      </c>
      <c r="H435" s="2" t="s">
        <v>1843</v>
      </c>
      <c r="I435" s="2" t="s">
        <v>1845</v>
      </c>
      <c r="J435" s="2" t="s">
        <v>1156</v>
      </c>
      <c r="K435" s="2" t="s">
        <v>1748</v>
      </c>
      <c r="L435" s="2" t="s">
        <v>1750</v>
      </c>
      <c r="M435" s="2" t="s">
        <v>358</v>
      </c>
      <c r="N435" s="49"/>
      <c r="O435" s="2" t="s">
        <v>2141</v>
      </c>
      <c r="P435" s="2">
        <v>35</v>
      </c>
      <c r="Q435" s="2">
        <v>5</v>
      </c>
      <c r="R435" s="2">
        <v>6.7</v>
      </c>
      <c r="S435" s="2">
        <v>28</v>
      </c>
      <c r="T435" s="2">
        <v>35</v>
      </c>
      <c r="U435" s="251">
        <v>6</v>
      </c>
      <c r="V435" s="2">
        <v>135</v>
      </c>
      <c r="W435" s="86">
        <v>161</v>
      </c>
      <c r="X435" s="40">
        <f>_xlfn.XLOOKUP("Ripening", CropPhenology_Wheat[Main_Stage], CropPhenology_Wheat[Start_GDD], "Not Found")</f>
        <v>1501</v>
      </c>
      <c r="Y435" s="4" cm="1">
        <f t="array" ref="Y43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5" s="3">
        <f t="shared" si="264"/>
        <v>10.95778697952611</v>
      </c>
      <c r="AA435" s="41">
        <f t="shared" si="265"/>
        <v>155.14081476271951</v>
      </c>
      <c r="AB435" s="2">
        <v>7</v>
      </c>
      <c r="AC435" s="2">
        <v>5</v>
      </c>
      <c r="AD435" s="2">
        <v>2</v>
      </c>
      <c r="AE435" s="2">
        <v>80</v>
      </c>
      <c r="AF435" s="2">
        <v>0</v>
      </c>
      <c r="AG435" s="2">
        <v>5</v>
      </c>
      <c r="AH435" s="49">
        <f t="shared" si="271"/>
        <v>1.2827056523092328</v>
      </c>
      <c r="AI435" s="2">
        <v>5.5</v>
      </c>
      <c r="AJ435" s="2">
        <v>8</v>
      </c>
      <c r="AK435" s="165">
        <v>6</v>
      </c>
      <c r="AL435" s="166">
        <v>7.0999999999999994E-2</v>
      </c>
      <c r="AM435" s="2">
        <v>195</v>
      </c>
      <c r="AN435" s="2">
        <v>285</v>
      </c>
      <c r="AO435" s="85">
        <v>5</v>
      </c>
      <c r="AP435" s="86">
        <v>100</v>
      </c>
      <c r="AQ435" s="149">
        <v>0.6</v>
      </c>
      <c r="AR435" s="2">
        <v>20</v>
      </c>
      <c r="AS435" s="2">
        <v>2.5</v>
      </c>
      <c r="AT435" s="2">
        <v>1</v>
      </c>
      <c r="AU435" s="4">
        <f t="shared" si="266"/>
        <v>200</v>
      </c>
      <c r="AV435" s="3">
        <f t="shared" si="267"/>
        <v>70</v>
      </c>
      <c r="AW435" s="2">
        <v>90</v>
      </c>
      <c r="AX435" s="3">
        <f t="shared" si="272"/>
        <v>180</v>
      </c>
      <c r="AY435" s="2">
        <v>4</v>
      </c>
      <c r="AZ435" s="4">
        <f t="shared" si="268"/>
        <v>720</v>
      </c>
      <c r="BA435" s="49">
        <v>0.6</v>
      </c>
      <c r="BB435" s="4">
        <f t="shared" si="269"/>
        <v>432</v>
      </c>
      <c r="BC435" s="150">
        <v>6.0000000000000001E-3</v>
      </c>
      <c r="BD435" s="69">
        <f>IFERROR(
  MAX(0.05, MIN(0.5, CropNorms_Wheat[[#This Row],[Leaf_Area_Per_Shoot_m2]] * CropNorms_Wheat[[#This Row],[Shoot_Bearing_m2]] )),
  0.2
)</f>
        <v>0.5</v>
      </c>
      <c r="BE435" s="4">
        <f>_xlfn.XLOOKUP(CropNorms_Wheat[[#This Row],[LAI_Start_BBCH]], CropPhenology_Wheat[Sub_Stage], CropPhenology_Wheat[Start_GDD], "Not Found")</f>
        <v>151</v>
      </c>
      <c r="BF435" s="3">
        <f t="shared" si="270"/>
        <v>2.59</v>
      </c>
      <c r="BG43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5" s="3">
        <f>IF(CropNorms_Wheat[[#This Row],[Max_LAI]]&gt;=1.2, 0.85*CropNorms_Wheat[[#This Row],[Max_LAI]], 1)</f>
        <v>2.2014999999999998</v>
      </c>
      <c r="BI435" s="41">
        <f>_xlfn.XLOOKUP(CropNorms_Wheat[[#This Row],[LAI_End_BBCH]], CropPhenology_Wheat[Sub_Stage], CropPhenology_Wheat[End_GDD], "Not Found")</f>
        <v>1500</v>
      </c>
      <c r="BJ435" s="3" cm="1">
        <f t="array" ref="BJ43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5" s="3" cm="1">
        <f t="array" ref="BK43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35" s="3" cm="1">
        <f t="array" ref="BL43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35" s="3" cm="1">
        <f t="array" ref="BM43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5" s="42">
        <f>(0.28+0.4)/2</f>
        <v>0.34</v>
      </c>
      <c r="BO435" s="43">
        <v>0</v>
      </c>
      <c r="BP435" s="42">
        <v>2.7625000000000002</v>
      </c>
      <c r="BQ435" s="43" t="s">
        <v>1795</v>
      </c>
      <c r="BR435" s="3" t="str" cm="1">
        <f t="array" ref="BR43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5" s="3" t="str" cm="1">
        <f t="array" ref="BS43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5" s="3" t="str" cm="1">
        <f t="array" ref="BT43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5" s="3" t="str" cm="1">
        <f t="array" ref="BU43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5" s="48">
        <v>80</v>
      </c>
      <c r="BW435" s="1">
        <v>40</v>
      </c>
      <c r="BX435" s="44">
        <v>40</v>
      </c>
      <c r="BY435" s="151">
        <v>45962</v>
      </c>
      <c r="BZ435" s="151">
        <v>46022</v>
      </c>
      <c r="CA435" s="152">
        <v>0</v>
      </c>
      <c r="CB435" s="153">
        <v>0</v>
      </c>
      <c r="CC435" s="153">
        <v>1</v>
      </c>
      <c r="CD435" s="153">
        <v>1</v>
      </c>
      <c r="CE435" s="153">
        <v>1</v>
      </c>
      <c r="CF435" s="153">
        <v>0</v>
      </c>
      <c r="CG435" s="153">
        <v>0</v>
      </c>
      <c r="CH435" s="153">
        <v>0</v>
      </c>
      <c r="CI435" s="153">
        <v>0</v>
      </c>
      <c r="CJ435" s="153">
        <v>0</v>
      </c>
      <c r="CK435" s="153">
        <v>0</v>
      </c>
      <c r="CL435" s="153">
        <v>0</v>
      </c>
    </row>
    <row r="436" spans="2:90" x14ac:dyDescent="0.25">
      <c r="B436" s="27" t="s">
        <v>321</v>
      </c>
      <c r="C436" s="2" t="s">
        <v>2164</v>
      </c>
      <c r="D436" s="2" t="s">
        <v>1832</v>
      </c>
      <c r="E436" s="2" t="s">
        <v>1835</v>
      </c>
      <c r="F436" s="90">
        <v>102</v>
      </c>
      <c r="G436" s="2" t="s">
        <v>2165</v>
      </c>
      <c r="H436" s="2" t="s">
        <v>1988</v>
      </c>
      <c r="I436" s="2" t="s">
        <v>1839</v>
      </c>
      <c r="J436" s="2"/>
      <c r="K436" s="2" t="s">
        <v>1748</v>
      </c>
      <c r="L436" s="2" t="s">
        <v>1750</v>
      </c>
      <c r="M436" s="2" t="s">
        <v>358</v>
      </c>
      <c r="N436" s="49"/>
      <c r="O436" s="2" t="s">
        <v>2078</v>
      </c>
      <c r="P436" s="2">
        <v>41</v>
      </c>
      <c r="Q436" s="2">
        <v>5</v>
      </c>
      <c r="R436" s="2">
        <v>6.7</v>
      </c>
      <c r="S436" s="2">
        <v>28</v>
      </c>
      <c r="T436" s="2">
        <v>35</v>
      </c>
      <c r="U436" s="251">
        <v>6</v>
      </c>
      <c r="V436" s="2">
        <v>139</v>
      </c>
      <c r="W436" s="86">
        <v>158</v>
      </c>
      <c r="X436" s="40">
        <f>_xlfn.XLOOKUP("Ripening", CropPhenology_Wheat[Main_Stage], CropPhenology_Wheat[Start_GDD], "Not Found")</f>
        <v>1501</v>
      </c>
      <c r="Y436" s="4" cm="1">
        <f t="array" ref="Y43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6" s="3">
        <f t="shared" si="264"/>
        <v>10.865107913669064</v>
      </c>
      <c r="AA436" s="41">
        <f t="shared" si="265"/>
        <v>156.46416156265519</v>
      </c>
      <c r="AB436" s="2">
        <v>7</v>
      </c>
      <c r="AC436" s="2">
        <v>5</v>
      </c>
      <c r="AD436" s="2">
        <v>2</v>
      </c>
      <c r="AE436" s="2">
        <v>80</v>
      </c>
      <c r="AF436" s="2">
        <v>0</v>
      </c>
      <c r="AG436" s="2">
        <v>5</v>
      </c>
      <c r="AH436" s="49">
        <f t="shared" si="271"/>
        <v>1.2718567498942022</v>
      </c>
      <c r="AI436" s="2">
        <v>5.5</v>
      </c>
      <c r="AJ436" s="2">
        <v>8</v>
      </c>
      <c r="AK436" s="165">
        <v>6</v>
      </c>
      <c r="AL436" s="166">
        <v>7.0999999999999994E-2</v>
      </c>
      <c r="AM436" s="2">
        <v>195</v>
      </c>
      <c r="AN436" s="2">
        <v>285</v>
      </c>
      <c r="AO436" s="85">
        <v>5</v>
      </c>
      <c r="AP436" s="86">
        <v>100</v>
      </c>
      <c r="AQ436" s="149">
        <v>0.8</v>
      </c>
      <c r="AR436" s="2">
        <v>20</v>
      </c>
      <c r="AS436" s="2">
        <v>2.5</v>
      </c>
      <c r="AT436" s="2">
        <v>1</v>
      </c>
      <c r="AU436" s="4">
        <f t="shared" si="266"/>
        <v>200</v>
      </c>
      <c r="AV436" s="3">
        <f t="shared" si="267"/>
        <v>82</v>
      </c>
      <c r="AW436" s="2">
        <v>90</v>
      </c>
      <c r="AX436" s="3">
        <f t="shared" si="272"/>
        <v>180</v>
      </c>
      <c r="AY436" s="2">
        <v>4</v>
      </c>
      <c r="AZ436" s="4">
        <f t="shared" si="268"/>
        <v>720</v>
      </c>
      <c r="BA436" s="49">
        <v>0.8</v>
      </c>
      <c r="BB436" s="4">
        <f t="shared" si="269"/>
        <v>576</v>
      </c>
      <c r="BC436" s="150">
        <v>8.0000000000000002E-3</v>
      </c>
      <c r="BD436" s="69">
        <f>IFERROR(
  MAX(0.05, MIN(0.5, CropNorms_Wheat[[#This Row],[Leaf_Area_Per_Shoot_m2]] * CropNorms_Wheat[[#This Row],[Shoot_Bearing_m2]] )),
  0.2
)</f>
        <v>0.5</v>
      </c>
      <c r="BE436" s="4">
        <f>_xlfn.XLOOKUP(CropNorms_Wheat[[#This Row],[LAI_Start_BBCH]], CropPhenology_Wheat[Sub_Stage], CropPhenology_Wheat[Start_GDD], "Not Found")</f>
        <v>151</v>
      </c>
      <c r="BF436" s="3">
        <f t="shared" si="270"/>
        <v>4.6100000000000003</v>
      </c>
      <c r="BG43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6" s="3">
        <f>IF(CropNorms_Wheat[[#This Row],[Max_LAI]]&gt;=1.2, 0.85*CropNorms_Wheat[[#This Row],[Max_LAI]], 1)</f>
        <v>3.9185000000000003</v>
      </c>
      <c r="BI436" s="41">
        <f>_xlfn.XLOOKUP(CropNorms_Wheat[[#This Row],[LAI_End_BBCH]], CropPhenology_Wheat[Sub_Stage], CropPhenology_Wheat[End_GDD], "Not Found")</f>
        <v>1500</v>
      </c>
      <c r="BJ436" s="3" cm="1">
        <f t="array" ref="BJ43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6" s="3" cm="1">
        <f t="array" ref="BK43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36" s="3" cm="1">
        <f t="array" ref="BL43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36" s="3" cm="1">
        <f t="array" ref="BM43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6" s="42">
        <v>0.4</v>
      </c>
      <c r="BO436" s="43">
        <v>0</v>
      </c>
      <c r="BP436" s="42">
        <v>3.25</v>
      </c>
      <c r="BQ436" s="43" t="s">
        <v>1795</v>
      </c>
      <c r="BR436" s="3" t="str" cm="1">
        <f t="array" ref="BR43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6" s="3" t="str" cm="1">
        <f t="array" ref="BS43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6" s="3" t="str" cm="1">
        <f t="array" ref="BT43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6" s="3" t="str" cm="1">
        <f t="array" ref="BU43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6" s="48">
        <v>80</v>
      </c>
      <c r="BW436" s="1">
        <v>40</v>
      </c>
      <c r="BX436" s="44">
        <v>40</v>
      </c>
      <c r="BY436" s="151">
        <v>45962</v>
      </c>
      <c r="BZ436" s="151">
        <v>46022</v>
      </c>
      <c r="CA436" s="152">
        <v>0</v>
      </c>
      <c r="CB436" s="153">
        <v>0</v>
      </c>
      <c r="CC436" s="153">
        <v>1</v>
      </c>
      <c r="CD436" s="153">
        <v>1</v>
      </c>
      <c r="CE436" s="153">
        <v>1</v>
      </c>
      <c r="CF436" s="153">
        <v>0</v>
      </c>
      <c r="CG436" s="153">
        <v>0</v>
      </c>
      <c r="CH436" s="153">
        <v>0</v>
      </c>
      <c r="CI436" s="153">
        <v>0</v>
      </c>
      <c r="CJ436" s="153">
        <v>0</v>
      </c>
      <c r="CK436" s="153">
        <v>0</v>
      </c>
      <c r="CL436" s="153">
        <v>0</v>
      </c>
    </row>
    <row r="437" spans="2:90" x14ac:dyDescent="0.25">
      <c r="B437" s="27" t="s">
        <v>321</v>
      </c>
      <c r="C437" s="2" t="s">
        <v>2166</v>
      </c>
      <c r="D437" s="2" t="s">
        <v>1832</v>
      </c>
      <c r="E437" s="2" t="s">
        <v>2167</v>
      </c>
      <c r="F437" s="90">
        <v>110</v>
      </c>
      <c r="G437" s="2" t="s">
        <v>2168</v>
      </c>
      <c r="H437" s="2" t="s">
        <v>2169</v>
      </c>
      <c r="I437" s="2" t="s">
        <v>1841</v>
      </c>
      <c r="J437" s="2" t="s">
        <v>2170</v>
      </c>
      <c r="K437" s="2" t="s">
        <v>1748</v>
      </c>
      <c r="L437" s="2" t="s">
        <v>1750</v>
      </c>
      <c r="M437" s="2" t="s">
        <v>358</v>
      </c>
      <c r="N437" s="49">
        <v>8.4546591031618803</v>
      </c>
      <c r="O437" s="2" t="s">
        <v>2078</v>
      </c>
      <c r="P437" s="2">
        <v>42</v>
      </c>
      <c r="Q437" s="2">
        <v>5</v>
      </c>
      <c r="R437" s="2">
        <v>6.7</v>
      </c>
      <c r="S437" s="2">
        <v>28</v>
      </c>
      <c r="T437" s="2">
        <v>35</v>
      </c>
      <c r="U437" s="251">
        <v>6</v>
      </c>
      <c r="V437" s="2">
        <v>121</v>
      </c>
      <c r="W437" s="86">
        <v>150</v>
      </c>
      <c r="X437" s="40">
        <f>_xlfn.XLOOKUP("Ripening", CropPhenology_Wheat[Main_Stage], CropPhenology_Wheat[Start_GDD], "Not Found")</f>
        <v>1501</v>
      </c>
      <c r="Y437" s="4" cm="1">
        <f t="array" ref="Y43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7" s="3">
        <f t="shared" si="264"/>
        <v>12.028126721763085</v>
      </c>
      <c r="AA437" s="41">
        <f t="shared" si="265"/>
        <v>141.33539156385058</v>
      </c>
      <c r="AB437" s="2">
        <v>7</v>
      </c>
      <c r="AC437" s="2">
        <v>5</v>
      </c>
      <c r="AD437" s="2">
        <v>2</v>
      </c>
      <c r="AE437" s="2">
        <v>80</v>
      </c>
      <c r="AF437" s="2">
        <v>0</v>
      </c>
      <c r="AG437" s="2">
        <v>5</v>
      </c>
      <c r="AH437" s="49">
        <f t="shared" si="271"/>
        <v>1.407998363312267</v>
      </c>
      <c r="AI437" s="2">
        <v>5.5</v>
      </c>
      <c r="AJ437" s="2">
        <v>8</v>
      </c>
      <c r="AK437" s="165">
        <v>6</v>
      </c>
      <c r="AL437" s="166">
        <v>7.0999999999999994E-2</v>
      </c>
      <c r="AM437" s="2">
        <v>195</v>
      </c>
      <c r="AN437" s="2">
        <v>285</v>
      </c>
      <c r="AO437" s="85">
        <v>5</v>
      </c>
      <c r="AP437" s="86">
        <v>100</v>
      </c>
      <c r="AQ437" s="149">
        <v>0.8</v>
      </c>
      <c r="AR437" s="2">
        <v>20</v>
      </c>
      <c r="AS437" s="2">
        <v>2.5</v>
      </c>
      <c r="AT437" s="2">
        <v>1</v>
      </c>
      <c r="AU437" s="4">
        <f t="shared" si="266"/>
        <v>200</v>
      </c>
      <c r="AV437" s="3">
        <f t="shared" si="267"/>
        <v>84</v>
      </c>
      <c r="AW437" s="2">
        <v>90</v>
      </c>
      <c r="AX437" s="3">
        <f t="shared" si="272"/>
        <v>180</v>
      </c>
      <c r="AY437" s="2">
        <v>5</v>
      </c>
      <c r="AZ437" s="4">
        <f t="shared" si="268"/>
        <v>900</v>
      </c>
      <c r="BA437" s="49">
        <v>0.8</v>
      </c>
      <c r="BB437" s="4">
        <f t="shared" si="269"/>
        <v>720</v>
      </c>
      <c r="BC437" s="150">
        <v>8.0000000000000002E-3</v>
      </c>
      <c r="BD437" s="69">
        <f>IFERROR(
  MAX(0.05, MIN(0.5, CropNorms_Wheat[[#This Row],[Leaf_Area_Per_Shoot_m2]] * CropNorms_Wheat[[#This Row],[Shoot_Bearing_m2]] )),
  0.2
)</f>
        <v>0.5</v>
      </c>
      <c r="BE437" s="4">
        <f>_xlfn.XLOOKUP(CropNorms_Wheat[[#This Row],[LAI_Start_BBCH]], CropPhenology_Wheat[Sub_Stage], CropPhenology_Wheat[Start_GDD], "Not Found")</f>
        <v>151</v>
      </c>
      <c r="BF437" s="3">
        <f t="shared" si="270"/>
        <v>5.76</v>
      </c>
      <c r="BG43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7" s="3">
        <f>IF(CropNorms_Wheat[[#This Row],[Max_LAI]]&gt;=1.2, 0.85*CropNorms_Wheat[[#This Row],[Max_LAI]], 1)</f>
        <v>4.8959999999999999</v>
      </c>
      <c r="BI437" s="41">
        <f>_xlfn.XLOOKUP(CropNorms_Wheat[[#This Row],[LAI_End_BBCH]], CropPhenology_Wheat[Sub_Stage], CropPhenology_Wheat[End_GDD], "Not Found")</f>
        <v>1500</v>
      </c>
      <c r="BJ437" s="3" cm="1">
        <f t="array" ref="BJ43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1.7650705729731393</v>
      </c>
      <c r="BK437" s="3" cm="1">
        <f t="array" ref="BK43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37" s="3" cm="1">
        <f t="array" ref="BL43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37" s="3" cm="1">
        <f t="array" ref="BM43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7" s="42">
        <v>0.45</v>
      </c>
      <c r="BO437" s="43">
        <v>0</v>
      </c>
      <c r="BP437" s="42">
        <v>3.65625</v>
      </c>
      <c r="BQ437" s="43" t="s">
        <v>1795</v>
      </c>
      <c r="BR437" s="3" t="str" cm="1">
        <f t="array" ref="BR43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7" s="3" t="str" cm="1">
        <f t="array" ref="BS43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7" s="3" t="str" cm="1">
        <f t="array" ref="BT43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7" s="3" t="str" cm="1">
        <f t="array" ref="BU43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7" s="48">
        <v>80</v>
      </c>
      <c r="BW437" s="1">
        <v>40</v>
      </c>
      <c r="BX437" s="44">
        <v>40</v>
      </c>
      <c r="BY437" s="151">
        <v>45962</v>
      </c>
      <c r="BZ437" s="151">
        <v>46022</v>
      </c>
      <c r="CA437" s="152">
        <v>0</v>
      </c>
      <c r="CB437" s="153">
        <v>0</v>
      </c>
      <c r="CC437" s="153">
        <v>1</v>
      </c>
      <c r="CD437" s="153">
        <v>1</v>
      </c>
      <c r="CE437" s="153">
        <v>1</v>
      </c>
      <c r="CF437" s="153">
        <v>0</v>
      </c>
      <c r="CG437" s="153">
        <v>0</v>
      </c>
      <c r="CH437" s="153">
        <v>0</v>
      </c>
      <c r="CI437" s="153">
        <v>0</v>
      </c>
      <c r="CJ437" s="153">
        <v>0</v>
      </c>
      <c r="CK437" s="153">
        <v>0</v>
      </c>
      <c r="CL437" s="153">
        <v>0</v>
      </c>
    </row>
    <row r="438" spans="2:90" x14ac:dyDescent="0.25">
      <c r="B438" s="27" t="s">
        <v>321</v>
      </c>
      <c r="C438" s="2" t="s">
        <v>2171</v>
      </c>
      <c r="D438" s="2" t="s">
        <v>1832</v>
      </c>
      <c r="E438" s="2" t="s">
        <v>1835</v>
      </c>
      <c r="F438" s="90">
        <v>90</v>
      </c>
      <c r="G438" s="2" t="s">
        <v>2172</v>
      </c>
      <c r="H438" s="2" t="s">
        <v>1838</v>
      </c>
      <c r="I438" s="2" t="s">
        <v>2173</v>
      </c>
      <c r="J438" s="2"/>
      <c r="K438" s="2" t="s">
        <v>1748</v>
      </c>
      <c r="L438" s="2" t="s">
        <v>1750</v>
      </c>
      <c r="M438" s="2" t="s">
        <v>358</v>
      </c>
      <c r="N438" s="49">
        <v>8.4990184622918346</v>
      </c>
      <c r="O438" s="2" t="s">
        <v>2078</v>
      </c>
      <c r="P438" s="2">
        <v>41</v>
      </c>
      <c r="Q438" s="2">
        <v>5</v>
      </c>
      <c r="R438" s="2">
        <v>6.7</v>
      </c>
      <c r="S438" s="2">
        <v>28</v>
      </c>
      <c r="T438" s="2">
        <v>35</v>
      </c>
      <c r="U438" s="251">
        <v>6</v>
      </c>
      <c r="V438" s="2">
        <v>98</v>
      </c>
      <c r="W438" s="86">
        <v>120</v>
      </c>
      <c r="X438" s="40">
        <f>_xlfn.XLOOKUP("Ripening", CropPhenology_Wheat[Main_Stage], CropPhenology_Wheat[Start_GDD], "Not Found")</f>
        <v>1501</v>
      </c>
      <c r="Y438" s="4" cm="1">
        <f t="array" ref="Y43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8" s="3">
        <f t="shared" si="264"/>
        <v>14.927636054421768</v>
      </c>
      <c r="AA438" s="41">
        <f t="shared" si="265"/>
        <v>113.88273359574821</v>
      </c>
      <c r="AB438" s="2">
        <v>7</v>
      </c>
      <c r="AC438" s="2">
        <v>5</v>
      </c>
      <c r="AD438" s="2">
        <v>2</v>
      </c>
      <c r="AE438" s="2">
        <v>80</v>
      </c>
      <c r="AF438" s="2">
        <v>0</v>
      </c>
      <c r="AG438" s="2">
        <v>5</v>
      </c>
      <c r="AH438" s="49">
        <f t="shared" si="271"/>
        <v>1.7474115146058422</v>
      </c>
      <c r="AI438" s="2">
        <v>5.5</v>
      </c>
      <c r="AJ438" s="2">
        <v>8</v>
      </c>
      <c r="AK438" s="165">
        <v>6</v>
      </c>
      <c r="AL438" s="166">
        <v>7.0999999999999994E-2</v>
      </c>
      <c r="AM438" s="2">
        <v>195</v>
      </c>
      <c r="AN438" s="2">
        <v>285</v>
      </c>
      <c r="AO438" s="85">
        <v>5</v>
      </c>
      <c r="AP438" s="86">
        <v>100</v>
      </c>
      <c r="AQ438" s="149">
        <v>0.8</v>
      </c>
      <c r="AR438" s="2">
        <v>20</v>
      </c>
      <c r="AS438" s="2">
        <v>2.5</v>
      </c>
      <c r="AT438" s="2">
        <v>1</v>
      </c>
      <c r="AU438" s="4">
        <f t="shared" si="266"/>
        <v>200</v>
      </c>
      <c r="AV438" s="3">
        <f t="shared" si="267"/>
        <v>82</v>
      </c>
      <c r="AW438" s="2">
        <v>90</v>
      </c>
      <c r="AX438" s="3">
        <f t="shared" si="272"/>
        <v>180</v>
      </c>
      <c r="AY438" s="2">
        <v>4</v>
      </c>
      <c r="AZ438" s="4">
        <f t="shared" si="268"/>
        <v>720</v>
      </c>
      <c r="BA438" s="49">
        <v>0.8</v>
      </c>
      <c r="BB438" s="4">
        <f t="shared" si="269"/>
        <v>576</v>
      </c>
      <c r="BC438" s="150">
        <v>8.0000000000000002E-3</v>
      </c>
      <c r="BD438" s="69">
        <f>IFERROR(
  MAX(0.05, MIN(0.5, CropNorms_Wheat[[#This Row],[Leaf_Area_Per_Shoot_m2]] * CropNorms_Wheat[[#This Row],[Shoot_Bearing_m2]] )),
  0.2
)</f>
        <v>0.5</v>
      </c>
      <c r="BE438" s="4">
        <f>_xlfn.XLOOKUP(CropNorms_Wheat[[#This Row],[LAI_Start_BBCH]], CropPhenology_Wheat[Sub_Stage], CropPhenology_Wheat[Start_GDD], "Not Found")</f>
        <v>151</v>
      </c>
      <c r="BF438" s="3">
        <f t="shared" si="270"/>
        <v>4.6100000000000003</v>
      </c>
      <c r="BG43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8" s="3">
        <f>IF(CropNorms_Wheat[[#This Row],[Max_LAI]]&gt;=1.2, 0.85*CropNorms_Wheat[[#This Row],[Max_LAI]], 1)</f>
        <v>3.9185000000000003</v>
      </c>
      <c r="BI438" s="41">
        <f>_xlfn.XLOOKUP(CropNorms_Wheat[[#This Row],[LAI_End_BBCH]], CropPhenology_Wheat[Sub_Stage], CropPhenology_Wheat[End_GDD], "Not Found")</f>
        <v>1500</v>
      </c>
      <c r="BJ438" s="3" cm="1">
        <f t="array" ref="BJ43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K438" s="3" cm="1">
        <f t="array" ref="BK43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38" s="3" cm="1">
        <f t="array" ref="BL43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38" s="3" cm="1">
        <f t="array" ref="BM43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8" s="42">
        <v>0.45</v>
      </c>
      <c r="BO438" s="43">
        <v>0</v>
      </c>
      <c r="BP438" s="42">
        <v>3.65625</v>
      </c>
      <c r="BQ438" s="43" t="s">
        <v>1795</v>
      </c>
      <c r="BR438" s="3" t="str" cm="1">
        <f t="array" ref="BR43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8" s="3" t="str" cm="1">
        <f t="array" ref="BS43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8" s="3" t="str" cm="1">
        <f t="array" ref="BT43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8" s="3" t="str" cm="1">
        <f t="array" ref="BU43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8" s="48">
        <v>80</v>
      </c>
      <c r="BW438" s="1">
        <v>40</v>
      </c>
      <c r="BX438" s="44">
        <v>40</v>
      </c>
      <c r="BY438" s="151">
        <v>45962</v>
      </c>
      <c r="BZ438" s="151">
        <v>46022</v>
      </c>
      <c r="CA438" s="152">
        <v>0</v>
      </c>
      <c r="CB438" s="153">
        <v>0</v>
      </c>
      <c r="CC438" s="153">
        <v>1</v>
      </c>
      <c r="CD438" s="153">
        <v>1</v>
      </c>
      <c r="CE438" s="153">
        <v>1</v>
      </c>
      <c r="CF438" s="153">
        <v>0</v>
      </c>
      <c r="CG438" s="153">
        <v>0</v>
      </c>
      <c r="CH438" s="153">
        <v>0</v>
      </c>
      <c r="CI438" s="153">
        <v>0</v>
      </c>
      <c r="CJ438" s="153">
        <v>0</v>
      </c>
      <c r="CK438" s="153">
        <v>0</v>
      </c>
      <c r="CL438" s="153">
        <v>0</v>
      </c>
    </row>
    <row r="439" spans="2:90" x14ac:dyDescent="0.25">
      <c r="B439" s="27" t="s">
        <v>321</v>
      </c>
      <c r="C439" s="2" t="s">
        <v>2174</v>
      </c>
      <c r="D439" s="2" t="s">
        <v>1834</v>
      </c>
      <c r="E439" s="2" t="s">
        <v>2167</v>
      </c>
      <c r="F439" s="90">
        <v>110</v>
      </c>
      <c r="G439" s="2" t="s">
        <v>2175</v>
      </c>
      <c r="H439" s="2" t="s">
        <v>1842</v>
      </c>
      <c r="I439" s="2" t="s">
        <v>1841</v>
      </c>
      <c r="J439" s="2" t="s">
        <v>2111</v>
      </c>
      <c r="K439" s="2" t="s">
        <v>1748</v>
      </c>
      <c r="L439" s="2" t="s">
        <v>1750</v>
      </c>
      <c r="M439" s="2" t="s">
        <v>358</v>
      </c>
      <c r="N439" s="49"/>
      <c r="O439" s="2" t="s">
        <v>2141</v>
      </c>
      <c r="P439" s="2">
        <v>40</v>
      </c>
      <c r="Q439" s="2">
        <v>5</v>
      </c>
      <c r="R439" s="2">
        <v>6.7</v>
      </c>
      <c r="S439" s="2">
        <v>28</v>
      </c>
      <c r="T439" s="2">
        <v>35</v>
      </c>
      <c r="U439" s="251">
        <v>6</v>
      </c>
      <c r="V439" s="2">
        <v>158</v>
      </c>
      <c r="W439" s="86">
        <v>175</v>
      </c>
      <c r="X439" s="40">
        <f>_xlfn.XLOOKUP("Ripening", CropPhenology_Wheat[Main_Stage], CropPhenology_Wheat[Start_GDD], "Not Found")</f>
        <v>1501</v>
      </c>
      <c r="Y439" s="4" cm="1">
        <f t="array" ref="Y43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39" s="3">
        <f t="shared" si="264"/>
        <v>9.6683182640144665</v>
      </c>
      <c r="AA439" s="41">
        <f t="shared" si="265"/>
        <v>175.83202720243594</v>
      </c>
      <c r="AB439" s="2">
        <v>7</v>
      </c>
      <c r="AC439" s="2">
        <v>5</v>
      </c>
      <c r="AD439" s="2">
        <v>2</v>
      </c>
      <c r="AE439" s="2">
        <v>80</v>
      </c>
      <c r="AF439" s="2">
        <v>0</v>
      </c>
      <c r="AG439" s="2">
        <v>5</v>
      </c>
      <c r="AH439" s="49">
        <f t="shared" si="271"/>
        <v>1.1317619614934582</v>
      </c>
      <c r="AI439" s="2">
        <v>5.5</v>
      </c>
      <c r="AJ439" s="2">
        <v>8</v>
      </c>
      <c r="AK439" s="165">
        <v>6</v>
      </c>
      <c r="AL439" s="166">
        <v>7.0999999999999994E-2</v>
      </c>
      <c r="AM439" s="2">
        <v>195</v>
      </c>
      <c r="AN439" s="2">
        <v>285</v>
      </c>
      <c r="AO439" s="85">
        <v>5</v>
      </c>
      <c r="AP439" s="86">
        <v>100</v>
      </c>
      <c r="AQ439" s="149">
        <v>0.6</v>
      </c>
      <c r="AR439" s="2">
        <v>20</v>
      </c>
      <c r="AS439" s="2">
        <v>2.5</v>
      </c>
      <c r="AT439" s="2">
        <v>1</v>
      </c>
      <c r="AU439" s="4">
        <f t="shared" si="266"/>
        <v>200</v>
      </c>
      <c r="AV439" s="3">
        <f t="shared" si="267"/>
        <v>80</v>
      </c>
      <c r="AW439" s="2">
        <v>90</v>
      </c>
      <c r="AX439" s="3">
        <f t="shared" si="272"/>
        <v>180</v>
      </c>
      <c r="AY439" s="2">
        <v>4</v>
      </c>
      <c r="AZ439" s="4">
        <f t="shared" si="268"/>
        <v>720</v>
      </c>
      <c r="BA439" s="49">
        <v>0.6</v>
      </c>
      <c r="BB439" s="4">
        <f t="shared" si="269"/>
        <v>432</v>
      </c>
      <c r="BC439" s="150">
        <v>6.0000000000000001E-3</v>
      </c>
      <c r="BD439" s="69">
        <f>IFERROR(
  MAX(0.05, MIN(0.5, CropNorms_Wheat[[#This Row],[Leaf_Area_Per_Shoot_m2]] * CropNorms_Wheat[[#This Row],[Shoot_Bearing_m2]] )),
  0.2
)</f>
        <v>0.5</v>
      </c>
      <c r="BE439" s="4">
        <f>_xlfn.XLOOKUP(CropNorms_Wheat[[#This Row],[LAI_Start_BBCH]], CropPhenology_Wheat[Sub_Stage], CropPhenology_Wheat[Start_GDD], "Not Found")</f>
        <v>151</v>
      </c>
      <c r="BF439" s="3">
        <f t="shared" si="270"/>
        <v>2.59</v>
      </c>
      <c r="BG43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39" s="3">
        <f>IF(CropNorms_Wheat[[#This Row],[Max_LAI]]&gt;=1.2, 0.85*CropNorms_Wheat[[#This Row],[Max_LAI]], 1)</f>
        <v>2.2014999999999998</v>
      </c>
      <c r="BI439" s="41">
        <f>_xlfn.XLOOKUP(CropNorms_Wheat[[#This Row],[LAI_End_BBCH]], CropPhenology_Wheat[Sub_Stage], CropPhenology_Wheat[End_GDD], "Not Found")</f>
        <v>1500</v>
      </c>
      <c r="BJ439" s="3" cm="1">
        <f t="array" ref="BJ43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39" s="3" cm="1">
        <f t="array" ref="BK43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39" s="3" cm="1">
        <f t="array" ref="BL43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39" s="3" cm="1">
        <f t="array" ref="BM43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39" s="42">
        <f t="shared" ref="BN439" si="275">(0.28+0.4)/2</f>
        <v>0.34</v>
      </c>
      <c r="BO439" s="43">
        <v>0</v>
      </c>
      <c r="BP439" s="42">
        <v>2.7625000000000002</v>
      </c>
      <c r="BQ439" s="43" t="s">
        <v>1795</v>
      </c>
      <c r="BR439" s="3" t="str" cm="1">
        <f t="array" ref="BR43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39" s="3" t="str" cm="1">
        <f t="array" ref="BS43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39" s="3" t="str" cm="1">
        <f t="array" ref="BT43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39" s="3" t="str" cm="1">
        <f t="array" ref="BU43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39" s="48">
        <v>80</v>
      </c>
      <c r="BW439" s="1">
        <v>40</v>
      </c>
      <c r="BX439" s="44">
        <v>40</v>
      </c>
      <c r="BY439" s="151">
        <v>45962</v>
      </c>
      <c r="BZ439" s="151">
        <v>46022</v>
      </c>
      <c r="CA439" s="152">
        <v>0</v>
      </c>
      <c r="CB439" s="153">
        <v>0</v>
      </c>
      <c r="CC439" s="153">
        <v>1</v>
      </c>
      <c r="CD439" s="153">
        <v>1</v>
      </c>
      <c r="CE439" s="153">
        <v>1</v>
      </c>
      <c r="CF439" s="153">
        <v>0</v>
      </c>
      <c r="CG439" s="153">
        <v>0</v>
      </c>
      <c r="CH439" s="153">
        <v>0</v>
      </c>
      <c r="CI439" s="153">
        <v>0</v>
      </c>
      <c r="CJ439" s="153">
        <v>0</v>
      </c>
      <c r="CK439" s="153">
        <v>0</v>
      </c>
      <c r="CL439" s="153">
        <v>0</v>
      </c>
    </row>
    <row r="440" spans="2:90" x14ac:dyDescent="0.25">
      <c r="B440" s="27" t="s">
        <v>321</v>
      </c>
      <c r="C440" s="2" t="s">
        <v>2176</v>
      </c>
      <c r="D440" s="2"/>
      <c r="E440" s="2" t="s">
        <v>1835</v>
      </c>
      <c r="F440" s="90">
        <v>105</v>
      </c>
      <c r="G440" s="2" t="s">
        <v>2177</v>
      </c>
      <c r="H440" s="2" t="s">
        <v>2178</v>
      </c>
      <c r="I440" s="2"/>
      <c r="J440" s="2" t="s">
        <v>2341</v>
      </c>
      <c r="K440" s="2" t="s">
        <v>1748</v>
      </c>
      <c r="L440" s="2" t="s">
        <v>1750</v>
      </c>
      <c r="M440" s="2" t="s">
        <v>358</v>
      </c>
      <c r="N440" s="49"/>
      <c r="O440" s="2" t="s">
        <v>2078</v>
      </c>
      <c r="P440" s="2">
        <v>43</v>
      </c>
      <c r="Q440" s="2">
        <v>5</v>
      </c>
      <c r="R440" s="2">
        <v>6.7</v>
      </c>
      <c r="S440" s="2">
        <v>28</v>
      </c>
      <c r="T440" s="2">
        <v>35</v>
      </c>
      <c r="U440" s="251">
        <v>6</v>
      </c>
      <c r="V440" s="2">
        <v>120</v>
      </c>
      <c r="W440" s="86">
        <v>150</v>
      </c>
      <c r="X440" s="40">
        <f>_xlfn.XLOOKUP("Ripening", CropPhenology_Wheat[Main_Stage], CropPhenology_Wheat[Start_GDD], "Not Found")</f>
        <v>1501</v>
      </c>
      <c r="Y440" s="4" cm="1">
        <f t="array" ref="Y44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0" s="3">
        <f t="shared" si="264"/>
        <v>12.086666666666666</v>
      </c>
      <c r="AA440" s="41">
        <f>Y440/Z440</f>
        <v>140.65085493656923</v>
      </c>
      <c r="AB440" s="2">
        <v>7</v>
      </c>
      <c r="AC440" s="2">
        <v>5</v>
      </c>
      <c r="AD440" s="2">
        <v>2</v>
      </c>
      <c r="AE440" s="2">
        <v>80</v>
      </c>
      <c r="AF440" s="2">
        <v>0</v>
      </c>
      <c r="AG440" s="2">
        <v>5</v>
      </c>
      <c r="AH440" s="49">
        <f t="shared" si="271"/>
        <v>1.4148509803921567</v>
      </c>
      <c r="AI440" s="2">
        <v>5.5</v>
      </c>
      <c r="AJ440" s="2">
        <v>8</v>
      </c>
      <c r="AK440" s="165">
        <v>6</v>
      </c>
      <c r="AL440" s="166">
        <v>7.0999999999999994E-2</v>
      </c>
      <c r="AM440" s="2">
        <v>195</v>
      </c>
      <c r="AN440" s="2">
        <v>285</v>
      </c>
      <c r="AO440" s="85">
        <v>5</v>
      </c>
      <c r="AP440" s="86">
        <v>100</v>
      </c>
      <c r="AQ440" s="149">
        <v>0.8</v>
      </c>
      <c r="AR440" s="2">
        <v>20</v>
      </c>
      <c r="AS440" s="2">
        <v>2.5</v>
      </c>
      <c r="AT440" s="2">
        <v>1</v>
      </c>
      <c r="AU440" s="4">
        <f>IFERROR(10000/(AS440*AR440),0)*AT440</f>
        <v>200</v>
      </c>
      <c r="AV440" s="3">
        <f t="shared" si="267"/>
        <v>86</v>
      </c>
      <c r="AW440" s="2">
        <v>90</v>
      </c>
      <c r="AX440" s="3">
        <f>IFERROR((AU440*AW440/100),0)</f>
        <v>180</v>
      </c>
      <c r="AY440" s="2">
        <v>5</v>
      </c>
      <c r="AZ440" s="4">
        <f>IFERROR(AX440*AY440,0)</f>
        <v>900</v>
      </c>
      <c r="BA440" s="49">
        <v>0.8</v>
      </c>
      <c r="BB440" s="4">
        <f>IFERROR(AZ440*BA440,0)</f>
        <v>720</v>
      </c>
      <c r="BC440" s="150">
        <v>8.0000000000000002E-3</v>
      </c>
      <c r="BD440" s="69">
        <f>IFERROR(
  MAX(0.05, MIN(0.5, CropNorms_Wheat[[#This Row],[Leaf_Area_Per_Shoot_m2]] * CropNorms_Wheat[[#This Row],[Shoot_Bearing_m2]] )),
  0.2
)</f>
        <v>0.5</v>
      </c>
      <c r="BE440" s="4">
        <f>_xlfn.XLOOKUP(CropNorms_Wheat[[#This Row],[LAI_Start_BBCH]], CropPhenology_Wheat[Sub_Stage], CropPhenology_Wheat[Start_GDD], "Not Found")</f>
        <v>151</v>
      </c>
      <c r="BF440" s="3">
        <f t="shared" si="270"/>
        <v>5.76</v>
      </c>
      <c r="BG44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0" s="3">
        <f>IF(CropNorms_Wheat[[#This Row],[Max_LAI]]&gt;=1.2, 0.85*CropNorms_Wheat[[#This Row],[Max_LAI]], 1)</f>
        <v>4.8959999999999999</v>
      </c>
      <c r="BI440" s="41">
        <f>_xlfn.XLOOKUP(CropNorms_Wheat[[#This Row],[LAI_End_BBCH]], CropPhenology_Wheat[Sub_Stage], CropPhenology_Wheat[End_GDD], "Not Found")</f>
        <v>1500</v>
      </c>
      <c r="BJ440" s="3" cm="1">
        <f t="array" ref="BJ44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0" s="3" cm="1">
        <f t="array" ref="BK44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40" s="3" cm="1">
        <f t="array" ref="BL44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40" s="3" cm="1">
        <f t="array" ref="BM44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0" s="42">
        <f>(0.28+0.4)/2</f>
        <v>0.34</v>
      </c>
      <c r="BO440" s="43">
        <v>0</v>
      </c>
      <c r="BP440" s="42">
        <v>2.7625000000000002</v>
      </c>
      <c r="BQ440" s="43" t="s">
        <v>1795</v>
      </c>
      <c r="BR440" s="3" t="str" cm="1">
        <f t="array" ref="BR44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0" s="3" t="str" cm="1">
        <f t="array" ref="BS44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0" s="3" t="str" cm="1">
        <f t="array" ref="BT44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0" s="3" t="str" cm="1">
        <f t="array" ref="BU44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0" s="48">
        <v>80</v>
      </c>
      <c r="BW440" s="1">
        <v>40</v>
      </c>
      <c r="BX440" s="44">
        <v>40</v>
      </c>
      <c r="BY440" s="151">
        <v>45962</v>
      </c>
      <c r="BZ440" s="151">
        <v>46022</v>
      </c>
      <c r="CA440" s="152">
        <v>0</v>
      </c>
      <c r="CB440" s="153">
        <v>0</v>
      </c>
      <c r="CC440" s="153">
        <v>1</v>
      </c>
      <c r="CD440" s="153">
        <v>1</v>
      </c>
      <c r="CE440" s="153">
        <v>1</v>
      </c>
      <c r="CF440" s="153">
        <v>0</v>
      </c>
      <c r="CG440" s="153">
        <v>0</v>
      </c>
      <c r="CH440" s="153">
        <v>0</v>
      </c>
      <c r="CI440" s="153">
        <v>0</v>
      </c>
      <c r="CJ440" s="153">
        <v>0</v>
      </c>
      <c r="CK440" s="153">
        <v>0</v>
      </c>
      <c r="CL440" s="153">
        <v>0</v>
      </c>
    </row>
    <row r="441" spans="2:90" x14ac:dyDescent="0.25">
      <c r="B441" s="27" t="s">
        <v>321</v>
      </c>
      <c r="C441" s="2" t="s">
        <v>2179</v>
      </c>
      <c r="D441" s="2" t="s">
        <v>1832</v>
      </c>
      <c r="E441" s="2" t="s">
        <v>2144</v>
      </c>
      <c r="F441" s="90">
        <v>88</v>
      </c>
      <c r="G441" s="2"/>
      <c r="H441" s="2"/>
      <c r="I441" s="2"/>
      <c r="J441" s="2"/>
      <c r="K441" s="2" t="s">
        <v>1748</v>
      </c>
      <c r="L441" s="2" t="s">
        <v>1750</v>
      </c>
      <c r="M441" s="2" t="s">
        <v>358</v>
      </c>
      <c r="N441" s="49"/>
      <c r="O441" s="2" t="s">
        <v>2141</v>
      </c>
      <c r="P441" s="2">
        <v>40</v>
      </c>
      <c r="Q441" s="2">
        <v>5</v>
      </c>
      <c r="R441" s="2">
        <v>6.7</v>
      </c>
      <c r="S441" s="2">
        <v>28</v>
      </c>
      <c r="T441" s="2">
        <v>35</v>
      </c>
      <c r="U441" s="251">
        <v>6</v>
      </c>
      <c r="V441" s="2">
        <v>132</v>
      </c>
      <c r="W441" s="86">
        <v>157</v>
      </c>
      <c r="X441" s="40">
        <f>_xlfn.XLOOKUP("Ripening", CropPhenology_Wheat[Main_Stage], CropPhenology_Wheat[Start_GDD], "Not Found")</f>
        <v>1501</v>
      </c>
      <c r="Y441" s="4" cm="1">
        <f t="array" ref="Y44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1" s="3">
        <f t="shared" si="264"/>
        <v>11.219648716464004</v>
      </c>
      <c r="AA441" s="41">
        <f t="shared" ref="AA441:AA490" si="276">Y441/Z441</f>
        <v>151.51989540504738</v>
      </c>
      <c r="AB441" s="2">
        <v>6</v>
      </c>
      <c r="AC441" s="2">
        <v>5</v>
      </c>
      <c r="AD441" s="2">
        <v>2</v>
      </c>
      <c r="AE441" s="2">
        <v>80</v>
      </c>
      <c r="AF441" s="2">
        <v>0</v>
      </c>
      <c r="AG441" s="2">
        <v>5</v>
      </c>
      <c r="AH441" s="49">
        <f t="shared" si="271"/>
        <v>1.313358879162551</v>
      </c>
      <c r="AI441" s="2">
        <v>5.5</v>
      </c>
      <c r="AJ441" s="2">
        <v>8</v>
      </c>
      <c r="AK441" s="165">
        <v>6</v>
      </c>
      <c r="AL441" s="166">
        <v>7.0999999999999994E-2</v>
      </c>
      <c r="AM441" s="2">
        <v>195</v>
      </c>
      <c r="AN441" s="2">
        <v>285</v>
      </c>
      <c r="AO441" s="85">
        <v>5</v>
      </c>
      <c r="AP441" s="86">
        <v>100</v>
      </c>
      <c r="AQ441" s="149">
        <v>0.6</v>
      </c>
      <c r="AR441" s="2">
        <v>20</v>
      </c>
      <c r="AS441" s="2">
        <v>2.5</v>
      </c>
      <c r="AT441" s="2">
        <v>1</v>
      </c>
      <c r="AU441" s="4">
        <f t="shared" ref="AU441:AU490" si="277">IFERROR(10000/(AS441*AR441),0)*AT441</f>
        <v>200</v>
      </c>
      <c r="AV441" s="3">
        <f t="shared" si="267"/>
        <v>80</v>
      </c>
      <c r="AW441" s="2">
        <v>90</v>
      </c>
      <c r="AX441" s="3">
        <f t="shared" ref="AX441:AX490" si="278">IFERROR((AU441*AW441/100),0)</f>
        <v>180</v>
      </c>
      <c r="AY441" s="2">
        <v>4</v>
      </c>
      <c r="AZ441" s="4">
        <f t="shared" ref="AZ441:AZ490" si="279">IFERROR(AX441*AY441,0)</f>
        <v>720</v>
      </c>
      <c r="BA441" s="49">
        <v>0.6</v>
      </c>
      <c r="BB441" s="4">
        <f t="shared" ref="BB441:BB490" si="280">IFERROR(AZ441*BA441,0)</f>
        <v>432</v>
      </c>
      <c r="BC441" s="150">
        <v>6.0000000000000001E-3</v>
      </c>
      <c r="BD441" s="69">
        <f>IFERROR(
  MAX(0.05, MIN(0.5, CropNorms_Wheat[[#This Row],[Leaf_Area_Per_Shoot_m2]] * CropNorms_Wheat[[#This Row],[Shoot_Bearing_m2]] )),
  0.2
)</f>
        <v>0.5</v>
      </c>
      <c r="BE441" s="4">
        <f>_xlfn.XLOOKUP(CropNorms_Wheat[[#This Row],[LAI_Start_BBCH]], CropPhenology_Wheat[Sub_Stage], CropPhenology_Wheat[Start_GDD], "Not Found")</f>
        <v>151</v>
      </c>
      <c r="BF441" s="3">
        <f t="shared" si="270"/>
        <v>2.59</v>
      </c>
      <c r="BG44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1" s="3">
        <f>IF(CropNorms_Wheat[[#This Row],[Max_LAI]]&gt;=1.2, 0.85*CropNorms_Wheat[[#This Row],[Max_LAI]], 1)</f>
        <v>2.2014999999999998</v>
      </c>
      <c r="BI441" s="41">
        <f>_xlfn.XLOOKUP(CropNorms_Wheat[[#This Row],[LAI_End_BBCH]], CropPhenology_Wheat[Sub_Stage], CropPhenology_Wheat[End_GDD], "Not Found")</f>
        <v>1500</v>
      </c>
      <c r="BJ441" s="3" cm="1">
        <f t="array" ref="BJ44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1" s="3" cm="1">
        <f t="array" ref="BK44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41" s="3" cm="1">
        <f t="array" ref="BL44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41" s="3" cm="1">
        <f t="array" ref="BM44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1" s="42">
        <f t="shared" ref="BN441:BN445" si="281">(0.28+0.4)/2</f>
        <v>0.34</v>
      </c>
      <c r="BO441" s="43">
        <v>0</v>
      </c>
      <c r="BP441" s="42">
        <v>2.7625000000000002</v>
      </c>
      <c r="BQ441" s="43" t="s">
        <v>1795</v>
      </c>
      <c r="BR441" s="3" t="str" cm="1">
        <f t="array" ref="BR44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1" s="3" t="str" cm="1">
        <f t="array" ref="BS44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1" s="3" t="str" cm="1">
        <f t="array" ref="BT44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1" s="3" t="str" cm="1">
        <f t="array" ref="BU44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1" s="48">
        <v>80</v>
      </c>
      <c r="BW441" s="1">
        <v>40</v>
      </c>
      <c r="BX441" s="44">
        <v>40</v>
      </c>
      <c r="BY441" s="151">
        <v>45962</v>
      </c>
      <c r="BZ441" s="151">
        <v>46022</v>
      </c>
      <c r="CA441" s="152">
        <v>0</v>
      </c>
      <c r="CB441" s="153">
        <v>0</v>
      </c>
      <c r="CC441" s="153">
        <v>1</v>
      </c>
      <c r="CD441" s="153">
        <v>1</v>
      </c>
      <c r="CE441" s="153">
        <v>1</v>
      </c>
      <c r="CF441" s="153">
        <v>0</v>
      </c>
      <c r="CG441" s="153">
        <v>0</v>
      </c>
      <c r="CH441" s="153">
        <v>0</v>
      </c>
      <c r="CI441" s="153">
        <v>0</v>
      </c>
      <c r="CJ441" s="153">
        <v>0</v>
      </c>
      <c r="CK441" s="153">
        <v>0</v>
      </c>
      <c r="CL441" s="153">
        <v>0</v>
      </c>
    </row>
    <row r="442" spans="2:90" x14ac:dyDescent="0.25">
      <c r="B442" s="27" t="s">
        <v>321</v>
      </c>
      <c r="C442" s="2" t="s">
        <v>2180</v>
      </c>
      <c r="D442" s="2" t="s">
        <v>1832</v>
      </c>
      <c r="E442" s="2" t="s">
        <v>1835</v>
      </c>
      <c r="F442" s="90">
        <v>102</v>
      </c>
      <c r="G442" s="2" t="s">
        <v>2181</v>
      </c>
      <c r="H442" s="2"/>
      <c r="I442" s="2"/>
      <c r="J442" s="2"/>
      <c r="K442" s="2" t="s">
        <v>1748</v>
      </c>
      <c r="L442" s="2" t="s">
        <v>1750</v>
      </c>
      <c r="M442" s="2" t="s">
        <v>358</v>
      </c>
      <c r="N442" s="49"/>
      <c r="O442" s="2" t="s">
        <v>2078</v>
      </c>
      <c r="P442" s="2">
        <v>45</v>
      </c>
      <c r="Q442" s="2">
        <v>5</v>
      </c>
      <c r="R442" s="2">
        <v>6.7</v>
      </c>
      <c r="S442" s="2">
        <v>28</v>
      </c>
      <c r="T442" s="2">
        <v>35</v>
      </c>
      <c r="U442" s="251">
        <v>6</v>
      </c>
      <c r="V442" s="2">
        <v>128</v>
      </c>
      <c r="W442" s="86">
        <v>145</v>
      </c>
      <c r="X442" s="40">
        <f>_xlfn.XLOOKUP("Ripening", CropPhenology_Wheat[Main_Stage], CropPhenology_Wheat[Start_GDD], "Not Found")</f>
        <v>1501</v>
      </c>
      <c r="Y442" s="4" cm="1">
        <f t="array" ref="Y44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2" s="3">
        <f t="shared" si="264"/>
        <v>11.816487068965518</v>
      </c>
      <c r="AA442" s="41">
        <f t="shared" si="276"/>
        <v>143.8667846101936</v>
      </c>
      <c r="AB442" s="2">
        <v>7</v>
      </c>
      <c r="AC442" s="2">
        <v>5</v>
      </c>
      <c r="AD442" s="2">
        <v>2</v>
      </c>
      <c r="AE442" s="2">
        <v>80</v>
      </c>
      <c r="AF442" s="2">
        <v>0</v>
      </c>
      <c r="AG442" s="2">
        <v>5</v>
      </c>
      <c r="AH442" s="49">
        <f t="shared" si="271"/>
        <v>1.3832240745436106</v>
      </c>
      <c r="AI442" s="2">
        <v>5.5</v>
      </c>
      <c r="AJ442" s="2">
        <v>8</v>
      </c>
      <c r="AK442" s="165">
        <v>6</v>
      </c>
      <c r="AL442" s="166">
        <v>7.0999999999999994E-2</v>
      </c>
      <c r="AM442" s="2">
        <v>195</v>
      </c>
      <c r="AN442" s="2">
        <v>285</v>
      </c>
      <c r="AO442" s="85">
        <v>5</v>
      </c>
      <c r="AP442" s="86">
        <v>100</v>
      </c>
      <c r="AQ442" s="149">
        <v>0.8</v>
      </c>
      <c r="AR442" s="2">
        <v>20</v>
      </c>
      <c r="AS442" s="2">
        <v>2.5</v>
      </c>
      <c r="AT442" s="2">
        <v>1</v>
      </c>
      <c r="AU442" s="4">
        <f t="shared" si="277"/>
        <v>200</v>
      </c>
      <c r="AV442" s="3">
        <f t="shared" si="267"/>
        <v>90</v>
      </c>
      <c r="AW442" s="2">
        <v>90</v>
      </c>
      <c r="AX442" s="3">
        <f t="shared" si="278"/>
        <v>180</v>
      </c>
      <c r="AY442" s="2">
        <v>4</v>
      </c>
      <c r="AZ442" s="4">
        <f t="shared" si="279"/>
        <v>720</v>
      </c>
      <c r="BA442" s="49">
        <v>0.8</v>
      </c>
      <c r="BB442" s="4">
        <f t="shared" si="280"/>
        <v>576</v>
      </c>
      <c r="BC442" s="150">
        <v>8.0000000000000002E-3</v>
      </c>
      <c r="BD442" s="69">
        <f>IFERROR(
  MAX(0.05, MIN(0.5, CropNorms_Wheat[[#This Row],[Leaf_Area_Per_Shoot_m2]] * CropNorms_Wheat[[#This Row],[Shoot_Bearing_m2]] )),
  0.2
)</f>
        <v>0.5</v>
      </c>
      <c r="BE442" s="4">
        <f>_xlfn.XLOOKUP(CropNorms_Wheat[[#This Row],[LAI_Start_BBCH]], CropPhenology_Wheat[Sub_Stage], CropPhenology_Wheat[Start_GDD], "Not Found")</f>
        <v>151</v>
      </c>
      <c r="BF442" s="3">
        <f t="shared" si="270"/>
        <v>4.6100000000000003</v>
      </c>
      <c r="BG44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2" s="3">
        <f>IF(CropNorms_Wheat[[#This Row],[Max_LAI]]&gt;=1.2, 0.85*CropNorms_Wheat[[#This Row],[Max_LAI]], 1)</f>
        <v>3.9185000000000003</v>
      </c>
      <c r="BI442" s="41">
        <f>_xlfn.XLOOKUP(CropNorms_Wheat[[#This Row],[LAI_End_BBCH]], CropPhenology_Wheat[Sub_Stage], CropPhenology_Wheat[End_GDD], "Not Found")</f>
        <v>1500</v>
      </c>
      <c r="BJ442" s="3" cm="1">
        <f t="array" ref="BJ44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2" s="3" cm="1">
        <f t="array" ref="BK44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42" s="3" cm="1">
        <f t="array" ref="BL44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42" s="3" cm="1">
        <f t="array" ref="BM44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2" s="42">
        <f t="shared" si="281"/>
        <v>0.34</v>
      </c>
      <c r="BO442" s="43">
        <v>0</v>
      </c>
      <c r="BP442" s="42">
        <v>2.7625000000000002</v>
      </c>
      <c r="BQ442" s="43" t="s">
        <v>1795</v>
      </c>
      <c r="BR442" s="3" t="str" cm="1">
        <f t="array" ref="BR44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2" s="3" t="str" cm="1">
        <f t="array" ref="BS44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2" s="3" t="str" cm="1">
        <f t="array" ref="BT44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2" s="3" t="str" cm="1">
        <f t="array" ref="BU44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2" s="48">
        <v>80</v>
      </c>
      <c r="BW442" s="1">
        <v>40</v>
      </c>
      <c r="BX442" s="44">
        <v>40</v>
      </c>
      <c r="BY442" s="151">
        <v>45962</v>
      </c>
      <c r="BZ442" s="151">
        <v>46022</v>
      </c>
      <c r="CA442" s="152">
        <v>0</v>
      </c>
      <c r="CB442" s="153">
        <v>0</v>
      </c>
      <c r="CC442" s="153">
        <v>1</v>
      </c>
      <c r="CD442" s="153">
        <v>1</v>
      </c>
      <c r="CE442" s="153">
        <v>1</v>
      </c>
      <c r="CF442" s="153">
        <v>0</v>
      </c>
      <c r="CG442" s="153">
        <v>0</v>
      </c>
      <c r="CH442" s="153">
        <v>0</v>
      </c>
      <c r="CI442" s="153">
        <v>0</v>
      </c>
      <c r="CJ442" s="153">
        <v>0</v>
      </c>
      <c r="CK442" s="153">
        <v>0</v>
      </c>
      <c r="CL442" s="153">
        <v>0</v>
      </c>
    </row>
    <row r="443" spans="2:90" x14ac:dyDescent="0.25">
      <c r="B443" s="27" t="s">
        <v>321</v>
      </c>
      <c r="C443" s="2" t="s">
        <v>2182</v>
      </c>
      <c r="D443" s="2" t="s">
        <v>1832</v>
      </c>
      <c r="E443" s="2" t="s">
        <v>1835</v>
      </c>
      <c r="F443" s="90">
        <v>100</v>
      </c>
      <c r="G443" s="2" t="s">
        <v>1986</v>
      </c>
      <c r="H443" s="2" t="s">
        <v>1840</v>
      </c>
      <c r="I443" s="2"/>
      <c r="J443" s="2" t="s">
        <v>2340</v>
      </c>
      <c r="K443" s="2" t="s">
        <v>1748</v>
      </c>
      <c r="L443" s="2" t="s">
        <v>1750</v>
      </c>
      <c r="M443" s="2" t="s">
        <v>358</v>
      </c>
      <c r="N443" s="49"/>
      <c r="O443" s="2" t="s">
        <v>2078</v>
      </c>
      <c r="P443" s="2">
        <v>34</v>
      </c>
      <c r="Q443" s="2">
        <v>5</v>
      </c>
      <c r="R443" s="2">
        <v>6.7</v>
      </c>
      <c r="S443" s="2">
        <v>28</v>
      </c>
      <c r="T443" s="2">
        <v>35</v>
      </c>
      <c r="U443" s="251">
        <v>6</v>
      </c>
      <c r="V443" s="2">
        <v>136</v>
      </c>
      <c r="W443" s="86">
        <v>164</v>
      </c>
      <c r="X443" s="40">
        <f>_xlfn.XLOOKUP("Ripening", CropPhenology_Wheat[Main_Stage], CropPhenology_Wheat[Start_GDD], "Not Found")</f>
        <v>1501</v>
      </c>
      <c r="Y443" s="4" cm="1">
        <f t="array" ref="Y44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3" s="3">
        <f t="shared" si="264"/>
        <v>10.826219512195122</v>
      </c>
      <c r="AA443" s="41">
        <f t="shared" si="276"/>
        <v>157.02618980568855</v>
      </c>
      <c r="AB443" s="2">
        <v>7</v>
      </c>
      <c r="AC443" s="2">
        <v>5</v>
      </c>
      <c r="AD443" s="2">
        <v>2</v>
      </c>
      <c r="AE443" s="2">
        <v>80</v>
      </c>
      <c r="AF443" s="2">
        <v>0</v>
      </c>
      <c r="AG443" s="2">
        <v>5</v>
      </c>
      <c r="AH443" s="49">
        <f t="shared" si="271"/>
        <v>1.2673045193687231</v>
      </c>
      <c r="AI443" s="2">
        <v>5.5</v>
      </c>
      <c r="AJ443" s="2">
        <v>8</v>
      </c>
      <c r="AK443" s="165">
        <v>6</v>
      </c>
      <c r="AL443" s="166">
        <v>7.0999999999999994E-2</v>
      </c>
      <c r="AM443" s="2">
        <v>195</v>
      </c>
      <c r="AN443" s="2">
        <v>285</v>
      </c>
      <c r="AO443" s="85">
        <v>5</v>
      </c>
      <c r="AP443" s="86">
        <v>100</v>
      </c>
      <c r="AQ443" s="149">
        <v>0.8</v>
      </c>
      <c r="AR443" s="2">
        <v>20</v>
      </c>
      <c r="AS443" s="2">
        <v>2.5</v>
      </c>
      <c r="AT443" s="2">
        <v>1</v>
      </c>
      <c r="AU443" s="4">
        <f t="shared" si="277"/>
        <v>200</v>
      </c>
      <c r="AV443" s="3">
        <f t="shared" si="267"/>
        <v>68</v>
      </c>
      <c r="AW443" s="2">
        <v>90</v>
      </c>
      <c r="AX443" s="3">
        <f t="shared" si="278"/>
        <v>180</v>
      </c>
      <c r="AY443" s="2">
        <v>4</v>
      </c>
      <c r="AZ443" s="4">
        <f t="shared" si="279"/>
        <v>720</v>
      </c>
      <c r="BA443" s="49">
        <v>0.8</v>
      </c>
      <c r="BB443" s="4">
        <f t="shared" si="280"/>
        <v>576</v>
      </c>
      <c r="BC443" s="150">
        <v>8.0000000000000002E-3</v>
      </c>
      <c r="BD443" s="69">
        <f>IFERROR(
  MAX(0.05, MIN(0.5, CropNorms_Wheat[[#This Row],[Leaf_Area_Per_Shoot_m2]] * CropNorms_Wheat[[#This Row],[Shoot_Bearing_m2]] )),
  0.2
)</f>
        <v>0.5</v>
      </c>
      <c r="BE443" s="4">
        <f>_xlfn.XLOOKUP(CropNorms_Wheat[[#This Row],[LAI_Start_BBCH]], CropPhenology_Wheat[Sub_Stage], CropPhenology_Wheat[Start_GDD], "Not Found")</f>
        <v>151</v>
      </c>
      <c r="BF443" s="3">
        <f t="shared" si="270"/>
        <v>4.6100000000000003</v>
      </c>
      <c r="BG44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3" s="3">
        <f>IF(CropNorms_Wheat[[#This Row],[Max_LAI]]&gt;=1.2, 0.85*CropNorms_Wheat[[#This Row],[Max_LAI]], 1)</f>
        <v>3.9185000000000003</v>
      </c>
      <c r="BI443" s="41">
        <f>_xlfn.XLOOKUP(CropNorms_Wheat[[#This Row],[LAI_End_BBCH]], CropPhenology_Wheat[Sub_Stage], CropPhenology_Wheat[End_GDD], "Not Found")</f>
        <v>1500</v>
      </c>
      <c r="BJ443" s="3" cm="1">
        <f t="array" ref="BJ44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3" s="3" cm="1">
        <f t="array" ref="BK44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43" s="3" cm="1">
        <f t="array" ref="BL44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43" s="3" cm="1">
        <f t="array" ref="BM44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3" s="42">
        <f t="shared" si="281"/>
        <v>0.34</v>
      </c>
      <c r="BO443" s="43">
        <v>0</v>
      </c>
      <c r="BP443" s="42">
        <v>2.7625000000000002</v>
      </c>
      <c r="BQ443" s="43" t="s">
        <v>1795</v>
      </c>
      <c r="BR443" s="3" t="str" cm="1">
        <f t="array" ref="BR44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3" s="3" t="str" cm="1">
        <f t="array" ref="BS44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3" s="3" t="str" cm="1">
        <f t="array" ref="BT44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3" s="3" t="str" cm="1">
        <f t="array" ref="BU44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3" s="48">
        <v>80</v>
      </c>
      <c r="BW443" s="1">
        <v>40</v>
      </c>
      <c r="BX443" s="44">
        <v>40</v>
      </c>
      <c r="BY443" s="151">
        <v>45962</v>
      </c>
      <c r="BZ443" s="151">
        <v>46022</v>
      </c>
      <c r="CA443" s="152">
        <v>0</v>
      </c>
      <c r="CB443" s="153">
        <v>0</v>
      </c>
      <c r="CC443" s="153">
        <v>1</v>
      </c>
      <c r="CD443" s="153">
        <v>1</v>
      </c>
      <c r="CE443" s="153">
        <v>1</v>
      </c>
      <c r="CF443" s="153">
        <v>0</v>
      </c>
      <c r="CG443" s="153">
        <v>0</v>
      </c>
      <c r="CH443" s="153">
        <v>0</v>
      </c>
      <c r="CI443" s="153">
        <v>0</v>
      </c>
      <c r="CJ443" s="153">
        <v>0</v>
      </c>
      <c r="CK443" s="153">
        <v>0</v>
      </c>
      <c r="CL443" s="153">
        <v>0</v>
      </c>
    </row>
    <row r="444" spans="2:90" x14ac:dyDescent="0.25">
      <c r="B444" s="27" t="s">
        <v>321</v>
      </c>
      <c r="C444" s="2" t="s">
        <v>2183</v>
      </c>
      <c r="D444" s="2" t="s">
        <v>2126</v>
      </c>
      <c r="E444" s="2" t="s">
        <v>1835</v>
      </c>
      <c r="F444" s="90">
        <v>100</v>
      </c>
      <c r="G444" s="2" t="s">
        <v>2184</v>
      </c>
      <c r="H444" s="2" t="s">
        <v>1988</v>
      </c>
      <c r="I444" s="2"/>
      <c r="J444" s="2"/>
      <c r="K444" s="2" t="s">
        <v>1748</v>
      </c>
      <c r="L444" s="2" t="s">
        <v>1750</v>
      </c>
      <c r="M444" s="2" t="s">
        <v>358</v>
      </c>
      <c r="N444" s="49"/>
      <c r="O444" s="2" t="s">
        <v>2078</v>
      </c>
      <c r="P444" s="2">
        <v>41</v>
      </c>
      <c r="Q444" s="2">
        <v>5</v>
      </c>
      <c r="R444" s="2">
        <v>6.7</v>
      </c>
      <c r="S444" s="2">
        <v>28</v>
      </c>
      <c r="T444" s="2">
        <v>35</v>
      </c>
      <c r="U444" s="251">
        <v>6</v>
      </c>
      <c r="V444" s="2">
        <v>121</v>
      </c>
      <c r="W444" s="86">
        <v>151</v>
      </c>
      <c r="X444" s="40">
        <f>_xlfn.XLOOKUP("Ripening", CropPhenology_Wheat[Main_Stage], CropPhenology_Wheat[Start_GDD], "Not Found")</f>
        <v>1501</v>
      </c>
      <c r="Y444" s="4" cm="1">
        <f t="array" ref="Y44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4" s="3">
        <f t="shared" si="264"/>
        <v>11.994992063926441</v>
      </c>
      <c r="AA444" s="41">
        <f t="shared" si="276"/>
        <v>141.72581281754697</v>
      </c>
      <c r="AB444" s="2">
        <v>6</v>
      </c>
      <c r="AC444" s="2">
        <v>5</v>
      </c>
      <c r="AD444" s="2">
        <v>2</v>
      </c>
      <c r="AE444" s="2">
        <v>80</v>
      </c>
      <c r="AF444" s="2">
        <v>0</v>
      </c>
      <c r="AG444" s="2">
        <v>5</v>
      </c>
      <c r="AH444" s="49">
        <f t="shared" si="271"/>
        <v>1.4041196592478598</v>
      </c>
      <c r="AI444" s="2">
        <v>5.5</v>
      </c>
      <c r="AJ444" s="2">
        <v>8</v>
      </c>
      <c r="AK444" s="165">
        <v>6</v>
      </c>
      <c r="AL444" s="166">
        <v>7.0999999999999994E-2</v>
      </c>
      <c r="AM444" s="2">
        <v>195</v>
      </c>
      <c r="AN444" s="2">
        <v>285</v>
      </c>
      <c r="AO444" s="85">
        <v>5</v>
      </c>
      <c r="AP444" s="86">
        <v>100</v>
      </c>
      <c r="AQ444" s="149">
        <v>0.8</v>
      </c>
      <c r="AR444" s="2">
        <v>20</v>
      </c>
      <c r="AS444" s="2">
        <v>2.5</v>
      </c>
      <c r="AT444" s="2">
        <v>1</v>
      </c>
      <c r="AU444" s="4">
        <f t="shared" si="277"/>
        <v>200</v>
      </c>
      <c r="AV444" s="3">
        <f t="shared" si="267"/>
        <v>82</v>
      </c>
      <c r="AW444" s="2">
        <v>90</v>
      </c>
      <c r="AX444" s="3">
        <f t="shared" si="278"/>
        <v>180</v>
      </c>
      <c r="AY444" s="2">
        <v>3</v>
      </c>
      <c r="AZ444" s="4">
        <f t="shared" si="279"/>
        <v>540</v>
      </c>
      <c r="BA444" s="49">
        <v>0.8</v>
      </c>
      <c r="BB444" s="4">
        <f t="shared" si="280"/>
        <v>432</v>
      </c>
      <c r="BC444" s="150">
        <v>8.0000000000000002E-3</v>
      </c>
      <c r="BD444" s="69">
        <f>IFERROR(
  MAX(0.05, MIN(0.5, CropNorms_Wheat[[#This Row],[Leaf_Area_Per_Shoot_m2]] * CropNorms_Wheat[[#This Row],[Shoot_Bearing_m2]] )),
  0.2
)</f>
        <v>0.5</v>
      </c>
      <c r="BE444" s="4">
        <f>_xlfn.XLOOKUP(CropNorms_Wheat[[#This Row],[LAI_Start_BBCH]], CropPhenology_Wheat[Sub_Stage], CropPhenology_Wheat[Start_GDD], "Not Found")</f>
        <v>151</v>
      </c>
      <c r="BF444" s="3">
        <f t="shared" si="270"/>
        <v>3.46</v>
      </c>
      <c r="BG44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4" s="3">
        <f>IF(CropNorms_Wheat[[#This Row],[Max_LAI]]&gt;=1.2, 0.85*CropNorms_Wheat[[#This Row],[Max_LAI]], 1)</f>
        <v>2.9409999999999998</v>
      </c>
      <c r="BI444" s="41">
        <f>_xlfn.XLOOKUP(CropNorms_Wheat[[#This Row],[LAI_End_BBCH]], CropPhenology_Wheat[Sub_Stage], CropPhenology_Wheat[End_GDD], "Not Found")</f>
        <v>1500</v>
      </c>
      <c r="BJ444" s="3" cm="1">
        <f t="array" ref="BJ44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4" s="3" cm="1">
        <f t="array" ref="BK44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0.93770812464768794</v>
      </c>
      <c r="BL444" s="3" cm="1">
        <f t="array" ref="BL44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1.6533165957706792</v>
      </c>
      <c r="BM444" s="3" cm="1">
        <f t="array" ref="BM44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4" s="42">
        <f t="shared" si="281"/>
        <v>0.34</v>
      </c>
      <c r="BO444" s="43">
        <v>0</v>
      </c>
      <c r="BP444" s="42">
        <v>2.7625000000000002</v>
      </c>
      <c r="BQ444" s="43" t="s">
        <v>1795</v>
      </c>
      <c r="BR444" s="3" t="str" cm="1">
        <f t="array" ref="BR44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4" s="3" t="str" cm="1">
        <f t="array" ref="BS44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4" s="3" t="str" cm="1">
        <f t="array" ref="BT44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4" s="3" t="str" cm="1">
        <f t="array" ref="BU44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4" s="48">
        <v>80</v>
      </c>
      <c r="BW444" s="1">
        <v>40</v>
      </c>
      <c r="BX444" s="44">
        <v>40</v>
      </c>
      <c r="BY444" s="151">
        <v>45962</v>
      </c>
      <c r="BZ444" s="151">
        <v>46022</v>
      </c>
      <c r="CA444" s="152">
        <v>0</v>
      </c>
      <c r="CB444" s="153">
        <v>0</v>
      </c>
      <c r="CC444" s="153">
        <v>1</v>
      </c>
      <c r="CD444" s="153">
        <v>1</v>
      </c>
      <c r="CE444" s="153">
        <v>1</v>
      </c>
      <c r="CF444" s="153">
        <v>0</v>
      </c>
      <c r="CG444" s="153">
        <v>0</v>
      </c>
      <c r="CH444" s="153">
        <v>0</v>
      </c>
      <c r="CI444" s="153">
        <v>0</v>
      </c>
      <c r="CJ444" s="153">
        <v>0</v>
      </c>
      <c r="CK444" s="153">
        <v>0</v>
      </c>
      <c r="CL444" s="153">
        <v>0</v>
      </c>
    </row>
    <row r="445" spans="2:90" x14ac:dyDescent="0.25">
      <c r="B445" s="27" t="s">
        <v>321</v>
      </c>
      <c r="C445" s="2" t="s">
        <v>2185</v>
      </c>
      <c r="D445" s="2" t="s">
        <v>2126</v>
      </c>
      <c r="E445" s="2" t="s">
        <v>1835</v>
      </c>
      <c r="F445" s="90">
        <v>97</v>
      </c>
      <c r="G445" s="2" t="s">
        <v>2186</v>
      </c>
      <c r="H445" s="2" t="s">
        <v>2187</v>
      </c>
      <c r="I445" s="2"/>
      <c r="J445" s="2" t="s">
        <v>2339</v>
      </c>
      <c r="K445" s="2" t="s">
        <v>1748</v>
      </c>
      <c r="L445" s="2" t="s">
        <v>1750</v>
      </c>
      <c r="M445" s="2" t="s">
        <v>358</v>
      </c>
      <c r="N445" s="49"/>
      <c r="O445" s="2" t="s">
        <v>2078</v>
      </c>
      <c r="P445" s="2">
        <v>40</v>
      </c>
      <c r="Q445" s="2">
        <v>5</v>
      </c>
      <c r="R445" s="2">
        <v>6.7</v>
      </c>
      <c r="S445" s="2">
        <v>28</v>
      </c>
      <c r="T445" s="2">
        <v>35</v>
      </c>
      <c r="U445" s="251">
        <v>6</v>
      </c>
      <c r="V445" s="2">
        <v>136</v>
      </c>
      <c r="W445" s="86">
        <v>168</v>
      </c>
      <c r="X445" s="40">
        <f>_xlfn.XLOOKUP("Ripening", CropPhenology_Wheat[Main_Stage], CropPhenology_Wheat[Start_GDD], "Not Found")</f>
        <v>1501</v>
      </c>
      <c r="Y445" s="4" cm="1">
        <f t="array" ref="Y44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5" s="3">
        <f t="shared" si="264"/>
        <v>10.717261904761905</v>
      </c>
      <c r="AA445" s="41">
        <f t="shared" si="276"/>
        <v>158.62260483199111</v>
      </c>
      <c r="AB445" s="2">
        <v>6</v>
      </c>
      <c r="AC445" s="2">
        <v>5</v>
      </c>
      <c r="AD445" s="2">
        <v>2</v>
      </c>
      <c r="AE445" s="2">
        <v>80</v>
      </c>
      <c r="AF445" s="2">
        <v>0</v>
      </c>
      <c r="AG445" s="2">
        <v>5</v>
      </c>
      <c r="AH445" s="49">
        <f t="shared" si="271"/>
        <v>1.2545500700280112</v>
      </c>
      <c r="AI445" s="2">
        <v>5.5</v>
      </c>
      <c r="AJ445" s="2">
        <v>8</v>
      </c>
      <c r="AK445" s="165">
        <v>6</v>
      </c>
      <c r="AL445" s="166">
        <v>7.0999999999999994E-2</v>
      </c>
      <c r="AM445" s="2">
        <v>195</v>
      </c>
      <c r="AN445" s="2">
        <v>285</v>
      </c>
      <c r="AO445" s="85">
        <v>5</v>
      </c>
      <c r="AP445" s="86">
        <v>100</v>
      </c>
      <c r="AQ445" s="149">
        <v>0.8</v>
      </c>
      <c r="AR445" s="2">
        <v>20</v>
      </c>
      <c r="AS445" s="2">
        <v>2.5</v>
      </c>
      <c r="AT445" s="2">
        <v>1</v>
      </c>
      <c r="AU445" s="4">
        <f t="shared" si="277"/>
        <v>200</v>
      </c>
      <c r="AV445" s="3">
        <f t="shared" si="267"/>
        <v>80</v>
      </c>
      <c r="AW445" s="2">
        <v>90</v>
      </c>
      <c r="AX445" s="3">
        <f t="shared" si="278"/>
        <v>180</v>
      </c>
      <c r="AY445" s="2">
        <v>5</v>
      </c>
      <c r="AZ445" s="4">
        <f t="shared" si="279"/>
        <v>900</v>
      </c>
      <c r="BA445" s="49">
        <v>0.8</v>
      </c>
      <c r="BB445" s="4">
        <f t="shared" si="280"/>
        <v>720</v>
      </c>
      <c r="BC445" s="150">
        <v>8.0000000000000002E-3</v>
      </c>
      <c r="BD445" s="69">
        <f>IFERROR(
  MAX(0.05, MIN(0.5, CropNorms_Wheat[[#This Row],[Leaf_Area_Per_Shoot_m2]] * CropNorms_Wheat[[#This Row],[Shoot_Bearing_m2]] )),
  0.2
)</f>
        <v>0.5</v>
      </c>
      <c r="BE445" s="4">
        <f>_xlfn.XLOOKUP(CropNorms_Wheat[[#This Row],[LAI_Start_BBCH]], CropPhenology_Wheat[Sub_Stage], CropPhenology_Wheat[Start_GDD], "Not Found")</f>
        <v>151</v>
      </c>
      <c r="BF445" s="3">
        <f t="shared" si="270"/>
        <v>5.76</v>
      </c>
      <c r="BG44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5" s="3">
        <f>IF(CropNorms_Wheat[[#This Row],[Max_LAI]]&gt;=1.2, 0.85*CropNorms_Wheat[[#This Row],[Max_LAI]], 1)</f>
        <v>4.8959999999999999</v>
      </c>
      <c r="BI445" s="41">
        <f>_xlfn.XLOOKUP(CropNorms_Wheat[[#This Row],[LAI_End_BBCH]], CropPhenology_Wheat[Sub_Stage], CropPhenology_Wheat[End_GDD], "Not Found")</f>
        <v>1500</v>
      </c>
      <c r="BJ445" s="3" cm="1">
        <f t="array" ref="BJ44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5" s="3" cm="1">
        <f t="array" ref="BK44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45" s="3" cm="1">
        <f t="array" ref="BL44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45" s="3" cm="1">
        <f t="array" ref="BM44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5" s="42">
        <f t="shared" si="281"/>
        <v>0.34</v>
      </c>
      <c r="BO445" s="43">
        <v>0</v>
      </c>
      <c r="BP445" s="42">
        <v>2.7625000000000002</v>
      </c>
      <c r="BQ445" s="43" t="s">
        <v>1795</v>
      </c>
      <c r="BR445" s="3" t="str" cm="1">
        <f t="array" ref="BR44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5" s="3" t="str" cm="1">
        <f t="array" ref="BS44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5" s="3" t="str" cm="1">
        <f t="array" ref="BT44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5" s="3" t="str" cm="1">
        <f t="array" ref="BU44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5" s="48">
        <v>80</v>
      </c>
      <c r="BW445" s="1">
        <v>40</v>
      </c>
      <c r="BX445" s="44">
        <v>40</v>
      </c>
      <c r="BY445" s="151">
        <v>45962</v>
      </c>
      <c r="BZ445" s="151">
        <v>46022</v>
      </c>
      <c r="CA445" s="152">
        <v>0</v>
      </c>
      <c r="CB445" s="153">
        <v>0</v>
      </c>
      <c r="CC445" s="153">
        <v>1</v>
      </c>
      <c r="CD445" s="153">
        <v>1</v>
      </c>
      <c r="CE445" s="153">
        <v>1</v>
      </c>
      <c r="CF445" s="153">
        <v>0</v>
      </c>
      <c r="CG445" s="153">
        <v>0</v>
      </c>
      <c r="CH445" s="153">
        <v>0</v>
      </c>
      <c r="CI445" s="153">
        <v>0</v>
      </c>
      <c r="CJ445" s="153">
        <v>0</v>
      </c>
      <c r="CK445" s="153">
        <v>0</v>
      </c>
      <c r="CL445" s="153">
        <v>0</v>
      </c>
    </row>
    <row r="446" spans="2:90" x14ac:dyDescent="0.25">
      <c r="B446" s="27" t="s">
        <v>321</v>
      </c>
      <c r="C446" s="2" t="s">
        <v>2188</v>
      </c>
      <c r="D446" s="2" t="s">
        <v>2126</v>
      </c>
      <c r="E446" s="2" t="s">
        <v>1835</v>
      </c>
      <c r="F446" s="90">
        <v>100</v>
      </c>
      <c r="G446" s="2" t="s">
        <v>2189</v>
      </c>
      <c r="H446" s="2"/>
      <c r="I446" s="2"/>
      <c r="J446" s="2"/>
      <c r="K446" s="2" t="s">
        <v>1748</v>
      </c>
      <c r="L446" s="2" t="s">
        <v>1750</v>
      </c>
      <c r="M446" s="2" t="s">
        <v>358</v>
      </c>
      <c r="N446" s="49"/>
      <c r="O446" s="2" t="s">
        <v>2078</v>
      </c>
      <c r="P446" s="2">
        <v>41</v>
      </c>
      <c r="Q446" s="2">
        <v>5</v>
      </c>
      <c r="R446" s="2">
        <v>6.7</v>
      </c>
      <c r="S446" s="2">
        <v>28</v>
      </c>
      <c r="T446" s="2">
        <v>35</v>
      </c>
      <c r="U446" s="251">
        <v>6</v>
      </c>
      <c r="V446" s="2">
        <v>100</v>
      </c>
      <c r="W446" s="86">
        <v>130</v>
      </c>
      <c r="X446" s="40">
        <f>_xlfn.XLOOKUP("Ripening", CropPhenology_Wheat[Main_Stage], CropPhenology_Wheat[Start_GDD], "Not Found")</f>
        <v>1501</v>
      </c>
      <c r="Y446" s="4" cm="1">
        <f t="array" ref="Y44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6" s="3">
        <f t="shared" si="264"/>
        <v>14.273076923076923</v>
      </c>
      <c r="AA446" s="41">
        <f t="shared" si="276"/>
        <v>119.10536243600107</v>
      </c>
      <c r="AB446" s="2">
        <v>9</v>
      </c>
      <c r="AC446" s="2">
        <v>5</v>
      </c>
      <c r="AD446" s="2">
        <v>2</v>
      </c>
      <c r="AE446" s="2">
        <v>80</v>
      </c>
      <c r="AF446" s="2">
        <v>0</v>
      </c>
      <c r="AG446" s="2">
        <v>5</v>
      </c>
      <c r="AH446" s="49">
        <f t="shared" si="271"/>
        <v>1.670789592760181</v>
      </c>
      <c r="AI446" s="2">
        <v>5.5</v>
      </c>
      <c r="AJ446" s="2">
        <v>8</v>
      </c>
      <c r="AK446" s="165">
        <v>6</v>
      </c>
      <c r="AL446" s="166">
        <v>7.0999999999999994E-2</v>
      </c>
      <c r="AM446" s="2">
        <v>195</v>
      </c>
      <c r="AN446" s="2">
        <v>285</v>
      </c>
      <c r="AO446" s="85">
        <v>5</v>
      </c>
      <c r="AP446" s="86">
        <v>100</v>
      </c>
      <c r="AQ446" s="149">
        <v>0.8</v>
      </c>
      <c r="AR446" s="2">
        <v>20</v>
      </c>
      <c r="AS446" s="2">
        <v>2.5</v>
      </c>
      <c r="AT446" s="2">
        <v>1</v>
      </c>
      <c r="AU446" s="4">
        <f t="shared" si="277"/>
        <v>200</v>
      </c>
      <c r="AV446" s="3">
        <f t="shared" si="267"/>
        <v>82</v>
      </c>
      <c r="AW446" s="2">
        <v>90</v>
      </c>
      <c r="AX446" s="3">
        <f t="shared" si="278"/>
        <v>180</v>
      </c>
      <c r="AY446" s="2">
        <v>4</v>
      </c>
      <c r="AZ446" s="4">
        <f t="shared" si="279"/>
        <v>720</v>
      </c>
      <c r="BA446" s="49">
        <v>0.8</v>
      </c>
      <c r="BB446" s="4">
        <f t="shared" si="280"/>
        <v>576</v>
      </c>
      <c r="BC446" s="150">
        <v>8.0000000000000002E-3</v>
      </c>
      <c r="BD446" s="69">
        <f>IFERROR(
  MAX(0.05, MIN(0.5, CropNorms_Wheat[[#This Row],[Leaf_Area_Per_Shoot_m2]] * CropNorms_Wheat[[#This Row],[Shoot_Bearing_m2]] )),
  0.2
)</f>
        <v>0.5</v>
      </c>
      <c r="BE446" s="4">
        <f>_xlfn.XLOOKUP(CropNorms_Wheat[[#This Row],[LAI_Start_BBCH]], CropPhenology_Wheat[Sub_Stage], CropPhenology_Wheat[Start_GDD], "Not Found")</f>
        <v>151</v>
      </c>
      <c r="BF446" s="3">
        <f t="shared" si="270"/>
        <v>4.6100000000000003</v>
      </c>
      <c r="BG44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6" s="3">
        <f>IF(CropNorms_Wheat[[#This Row],[Max_LAI]]&gt;=1.2, 0.85*CropNorms_Wheat[[#This Row],[Max_LAI]], 1)</f>
        <v>3.9185000000000003</v>
      </c>
      <c r="BI446" s="41">
        <f>_xlfn.XLOOKUP(CropNorms_Wheat[[#This Row],[LAI_End_BBCH]], CropPhenology_Wheat[Sub_Stage], CropPhenology_Wheat[End_GDD], "Not Found")</f>
        <v>1500</v>
      </c>
      <c r="BJ446" s="3" cm="1">
        <f t="array" ref="BJ44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6" s="3" cm="1">
        <f t="array" ref="BK44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46" s="3" cm="1">
        <f t="array" ref="BL44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46" s="3" cm="1">
        <f t="array" ref="BM44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6" s="42">
        <v>0.39169999999999999</v>
      </c>
      <c r="BO446" s="43">
        <v>0</v>
      </c>
      <c r="BP446" s="42">
        <v>3.1825625</v>
      </c>
      <c r="BQ446" s="43" t="s">
        <v>1795</v>
      </c>
      <c r="BR446" s="3" t="str" cm="1">
        <f t="array" ref="BR44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6" s="3" t="str" cm="1">
        <f t="array" ref="BS44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6" s="3" t="str" cm="1">
        <f t="array" ref="BT44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6" s="3" t="str" cm="1">
        <f t="array" ref="BU44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6" s="48">
        <v>80</v>
      </c>
      <c r="BW446" s="1">
        <v>40</v>
      </c>
      <c r="BX446" s="44">
        <v>40</v>
      </c>
      <c r="BY446" s="151">
        <v>45962</v>
      </c>
      <c r="BZ446" s="151">
        <v>46022</v>
      </c>
      <c r="CA446" s="152">
        <v>0</v>
      </c>
      <c r="CB446" s="153">
        <v>0</v>
      </c>
      <c r="CC446" s="153">
        <v>1</v>
      </c>
      <c r="CD446" s="153">
        <v>1</v>
      </c>
      <c r="CE446" s="153">
        <v>1</v>
      </c>
      <c r="CF446" s="153">
        <v>0</v>
      </c>
      <c r="CG446" s="153">
        <v>0</v>
      </c>
      <c r="CH446" s="153">
        <v>0</v>
      </c>
      <c r="CI446" s="153">
        <v>0</v>
      </c>
      <c r="CJ446" s="153">
        <v>0</v>
      </c>
      <c r="CK446" s="153">
        <v>0</v>
      </c>
      <c r="CL446" s="153">
        <v>0</v>
      </c>
    </row>
    <row r="447" spans="2:90" x14ac:dyDescent="0.25">
      <c r="B447" s="27" t="s">
        <v>321</v>
      </c>
      <c r="C447" s="2" t="s">
        <v>2190</v>
      </c>
      <c r="D447" s="2" t="s">
        <v>2126</v>
      </c>
      <c r="E447" s="2" t="s">
        <v>1835</v>
      </c>
      <c r="F447" s="90">
        <v>90</v>
      </c>
      <c r="G447" s="2" t="s">
        <v>2191</v>
      </c>
      <c r="H447" s="2"/>
      <c r="I447" s="2"/>
      <c r="J447" s="2" t="s">
        <v>2111</v>
      </c>
      <c r="K447" s="2" t="s">
        <v>1748</v>
      </c>
      <c r="L447" s="2" t="s">
        <v>1750</v>
      </c>
      <c r="M447" s="2" t="s">
        <v>358</v>
      </c>
      <c r="N447" s="49"/>
      <c r="O447" s="2" t="s">
        <v>2141</v>
      </c>
      <c r="P447" s="2">
        <v>43</v>
      </c>
      <c r="Q447" s="2">
        <v>5</v>
      </c>
      <c r="R447" s="2">
        <v>6.7</v>
      </c>
      <c r="S447" s="2">
        <v>28</v>
      </c>
      <c r="T447" s="2">
        <v>35</v>
      </c>
      <c r="U447" s="251">
        <v>6</v>
      </c>
      <c r="V447" s="2">
        <v>95</v>
      </c>
      <c r="W447" s="86">
        <v>120</v>
      </c>
      <c r="X447" s="40">
        <f>_xlfn.XLOOKUP("Ripening", CropPhenology_Wheat[Main_Stage], CropPhenology_Wheat[Start_GDD], "Not Found")</f>
        <v>1501</v>
      </c>
      <c r="Y447" s="4" cm="1">
        <f t="array" ref="Y44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7" s="3">
        <f t="shared" si="264"/>
        <v>15.201535087719298</v>
      </c>
      <c r="AA447" s="41">
        <f t="shared" si="276"/>
        <v>111.83081117731069</v>
      </c>
      <c r="AB447" s="2">
        <v>6</v>
      </c>
      <c r="AC447" s="2">
        <v>5</v>
      </c>
      <c r="AD447" s="2">
        <v>2</v>
      </c>
      <c r="AE447" s="2">
        <v>80</v>
      </c>
      <c r="AF447" s="2">
        <v>0</v>
      </c>
      <c r="AG447" s="2">
        <v>5</v>
      </c>
      <c r="AH447" s="49">
        <f t="shared" si="271"/>
        <v>1.7794738132094943</v>
      </c>
      <c r="AI447" s="2">
        <v>5.5</v>
      </c>
      <c r="AJ447" s="2">
        <v>8</v>
      </c>
      <c r="AK447" s="165">
        <v>6</v>
      </c>
      <c r="AL447" s="166">
        <v>7.0999999999999994E-2</v>
      </c>
      <c r="AM447" s="2">
        <v>195</v>
      </c>
      <c r="AN447" s="2">
        <v>285</v>
      </c>
      <c r="AO447" s="85">
        <v>5</v>
      </c>
      <c r="AP447" s="86">
        <v>100</v>
      </c>
      <c r="AQ447" s="149">
        <v>0.6</v>
      </c>
      <c r="AR447" s="2">
        <v>20</v>
      </c>
      <c r="AS447" s="2">
        <v>2.5</v>
      </c>
      <c r="AT447" s="2">
        <v>1</v>
      </c>
      <c r="AU447" s="4">
        <f t="shared" si="277"/>
        <v>200</v>
      </c>
      <c r="AV447" s="3">
        <f t="shared" si="267"/>
        <v>86</v>
      </c>
      <c r="AW447" s="2">
        <v>90</v>
      </c>
      <c r="AX447" s="3">
        <f t="shared" si="278"/>
        <v>180</v>
      </c>
      <c r="AY447" s="2">
        <v>4</v>
      </c>
      <c r="AZ447" s="4">
        <f t="shared" si="279"/>
        <v>720</v>
      </c>
      <c r="BA447" s="49">
        <v>0.6</v>
      </c>
      <c r="BB447" s="4">
        <f t="shared" si="280"/>
        <v>432</v>
      </c>
      <c r="BC447" s="150">
        <v>6.0000000000000001E-3</v>
      </c>
      <c r="BD447" s="69">
        <f>IFERROR(
  MAX(0.05, MIN(0.5, CropNorms_Wheat[[#This Row],[Leaf_Area_Per_Shoot_m2]] * CropNorms_Wheat[[#This Row],[Shoot_Bearing_m2]] )),
  0.2
)</f>
        <v>0.5</v>
      </c>
      <c r="BE447" s="4">
        <f>_xlfn.XLOOKUP(CropNorms_Wheat[[#This Row],[LAI_Start_BBCH]], CropPhenology_Wheat[Sub_Stage], CropPhenology_Wheat[Start_GDD], "Not Found")</f>
        <v>151</v>
      </c>
      <c r="BF447" s="3">
        <f t="shared" si="270"/>
        <v>2.59</v>
      </c>
      <c r="BG44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7" s="3">
        <f>IF(CropNorms_Wheat[[#This Row],[Max_LAI]]&gt;=1.2, 0.85*CropNorms_Wheat[[#This Row],[Max_LAI]], 1)</f>
        <v>2.2014999999999998</v>
      </c>
      <c r="BI447" s="41">
        <f>_xlfn.XLOOKUP(CropNorms_Wheat[[#This Row],[LAI_End_BBCH]], CropPhenology_Wheat[Sub_Stage], CropPhenology_Wheat[End_GDD], "Not Found")</f>
        <v>1500</v>
      </c>
      <c r="BJ447" s="3" cm="1">
        <f t="array" ref="BJ44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7" s="3" cm="1">
        <f t="array" ref="BK44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47" s="3" cm="1">
        <f t="array" ref="BL44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47" s="3" cm="1">
        <f t="array" ref="BM44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7" s="42">
        <f t="shared" ref="BN447:BN450" si="282">(0.28+0.4)/2</f>
        <v>0.34</v>
      </c>
      <c r="BO447" s="43">
        <v>0</v>
      </c>
      <c r="BP447" s="42">
        <v>2.7625000000000002</v>
      </c>
      <c r="BQ447" s="43" t="s">
        <v>1795</v>
      </c>
      <c r="BR447" s="3" t="str" cm="1">
        <f t="array" ref="BR44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7" s="3" t="str" cm="1">
        <f t="array" ref="BS44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7" s="3" t="str" cm="1">
        <f t="array" ref="BT44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7" s="3" t="str" cm="1">
        <f t="array" ref="BU44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7" s="48">
        <v>80</v>
      </c>
      <c r="BW447" s="1">
        <v>40</v>
      </c>
      <c r="BX447" s="44">
        <v>40</v>
      </c>
      <c r="BY447" s="151">
        <v>45962</v>
      </c>
      <c r="BZ447" s="151">
        <v>46022</v>
      </c>
      <c r="CA447" s="152">
        <v>0</v>
      </c>
      <c r="CB447" s="153">
        <v>0</v>
      </c>
      <c r="CC447" s="153">
        <v>1</v>
      </c>
      <c r="CD447" s="153">
        <v>1</v>
      </c>
      <c r="CE447" s="153">
        <v>1</v>
      </c>
      <c r="CF447" s="153">
        <v>0</v>
      </c>
      <c r="CG447" s="153">
        <v>0</v>
      </c>
      <c r="CH447" s="153">
        <v>0</v>
      </c>
      <c r="CI447" s="153">
        <v>0</v>
      </c>
      <c r="CJ447" s="153">
        <v>0</v>
      </c>
      <c r="CK447" s="153">
        <v>0</v>
      </c>
      <c r="CL447" s="153">
        <v>0</v>
      </c>
    </row>
    <row r="448" spans="2:90" x14ac:dyDescent="0.25">
      <c r="B448" s="27" t="s">
        <v>321</v>
      </c>
      <c r="C448" s="2" t="s">
        <v>2192</v>
      </c>
      <c r="D448" s="2" t="s">
        <v>1832</v>
      </c>
      <c r="E448" s="2" t="s">
        <v>1835</v>
      </c>
      <c r="F448" s="90">
        <v>105</v>
      </c>
      <c r="G448" s="2"/>
      <c r="H448" s="2" t="s">
        <v>2193</v>
      </c>
      <c r="I448" s="2" t="s">
        <v>1841</v>
      </c>
      <c r="J448" s="2"/>
      <c r="K448" s="2" t="s">
        <v>1748</v>
      </c>
      <c r="L448" s="2" t="s">
        <v>1750</v>
      </c>
      <c r="M448" s="2" t="s">
        <v>358</v>
      </c>
      <c r="N448" s="49"/>
      <c r="O448" s="2" t="s">
        <v>2078</v>
      </c>
      <c r="P448" s="2">
        <v>35</v>
      </c>
      <c r="Q448" s="2">
        <v>5</v>
      </c>
      <c r="R448" s="2">
        <v>6.7</v>
      </c>
      <c r="S448" s="2">
        <v>28</v>
      </c>
      <c r="T448" s="2">
        <v>35</v>
      </c>
      <c r="U448" s="251">
        <v>6</v>
      </c>
      <c r="V448" s="2">
        <v>133</v>
      </c>
      <c r="W448" s="86">
        <v>163</v>
      </c>
      <c r="X448" s="40">
        <f>_xlfn.XLOOKUP("Ripening", CropPhenology_Wheat[Main_Stage], CropPhenology_Wheat[Start_GDD], "Not Found")</f>
        <v>1501</v>
      </c>
      <c r="Y448" s="4" cm="1">
        <f t="array" ref="Y44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8" s="3">
        <f t="shared" si="264"/>
        <v>10.995271922136631</v>
      </c>
      <c r="AA448" s="41">
        <f t="shared" si="276"/>
        <v>154.61191065019622</v>
      </c>
      <c r="AB448" s="2">
        <v>6</v>
      </c>
      <c r="AC448" s="2">
        <v>5</v>
      </c>
      <c r="AD448" s="2">
        <v>2</v>
      </c>
      <c r="AE448" s="2">
        <v>80</v>
      </c>
      <c r="AF448" s="2">
        <v>0</v>
      </c>
      <c r="AG448" s="2">
        <v>5</v>
      </c>
      <c r="AH448" s="49">
        <f t="shared" si="271"/>
        <v>1.2870935955912879</v>
      </c>
      <c r="AI448" s="2">
        <v>5.5</v>
      </c>
      <c r="AJ448" s="2">
        <v>8</v>
      </c>
      <c r="AK448" s="165">
        <v>6</v>
      </c>
      <c r="AL448" s="166">
        <v>7.0999999999999994E-2</v>
      </c>
      <c r="AM448" s="2">
        <v>195</v>
      </c>
      <c r="AN448" s="2">
        <v>285</v>
      </c>
      <c r="AO448" s="85">
        <v>5</v>
      </c>
      <c r="AP448" s="86">
        <v>100</v>
      </c>
      <c r="AQ448" s="149">
        <v>0.8</v>
      </c>
      <c r="AR448" s="2">
        <v>20</v>
      </c>
      <c r="AS448" s="2">
        <v>2.5</v>
      </c>
      <c r="AT448" s="2">
        <v>1</v>
      </c>
      <c r="AU448" s="4">
        <f t="shared" si="277"/>
        <v>200</v>
      </c>
      <c r="AV448" s="3">
        <f t="shared" si="267"/>
        <v>70</v>
      </c>
      <c r="AW448" s="2">
        <v>90</v>
      </c>
      <c r="AX448" s="3">
        <f t="shared" si="278"/>
        <v>180</v>
      </c>
      <c r="AY448" s="2">
        <v>4</v>
      </c>
      <c r="AZ448" s="4">
        <f t="shared" si="279"/>
        <v>720</v>
      </c>
      <c r="BA448" s="49">
        <v>0.8</v>
      </c>
      <c r="BB448" s="4">
        <f t="shared" si="280"/>
        <v>576</v>
      </c>
      <c r="BC448" s="150">
        <v>8.0000000000000002E-3</v>
      </c>
      <c r="BD448" s="69">
        <f>IFERROR(
  MAX(0.05, MIN(0.5, CropNorms_Wheat[[#This Row],[Leaf_Area_Per_Shoot_m2]] * CropNorms_Wheat[[#This Row],[Shoot_Bearing_m2]] )),
  0.2
)</f>
        <v>0.5</v>
      </c>
      <c r="BE448" s="4">
        <f>_xlfn.XLOOKUP(CropNorms_Wheat[[#This Row],[LAI_Start_BBCH]], CropPhenology_Wheat[Sub_Stage], CropPhenology_Wheat[Start_GDD], "Not Found")</f>
        <v>151</v>
      </c>
      <c r="BF448" s="3">
        <f t="shared" si="270"/>
        <v>4.6100000000000003</v>
      </c>
      <c r="BG44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8" s="3">
        <f>IF(CropNorms_Wheat[[#This Row],[Max_LAI]]&gt;=1.2, 0.85*CropNorms_Wheat[[#This Row],[Max_LAI]], 1)</f>
        <v>3.9185000000000003</v>
      </c>
      <c r="BI448" s="41">
        <f>_xlfn.XLOOKUP(CropNorms_Wheat[[#This Row],[LAI_End_BBCH]], CropPhenology_Wheat[Sub_Stage], CropPhenology_Wheat[End_GDD], "Not Found")</f>
        <v>1500</v>
      </c>
      <c r="BJ448" s="3" cm="1">
        <f t="array" ref="BJ44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8" s="3" cm="1">
        <f t="array" ref="BK44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48" s="3" cm="1">
        <f t="array" ref="BL44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48" s="3" cm="1">
        <f t="array" ref="BM44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8" s="42">
        <f t="shared" si="282"/>
        <v>0.34</v>
      </c>
      <c r="BO448" s="43">
        <v>0</v>
      </c>
      <c r="BP448" s="42">
        <v>2.7625000000000002</v>
      </c>
      <c r="BQ448" s="43" t="s">
        <v>1795</v>
      </c>
      <c r="BR448" s="3" t="str" cm="1">
        <f t="array" ref="BR44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8" s="3" t="str" cm="1">
        <f t="array" ref="BS44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8" s="3" t="str" cm="1">
        <f t="array" ref="BT44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8" s="3" t="str" cm="1">
        <f t="array" ref="BU44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8" s="48">
        <v>80</v>
      </c>
      <c r="BW448" s="1">
        <v>40</v>
      </c>
      <c r="BX448" s="44">
        <v>40</v>
      </c>
      <c r="BY448" s="151">
        <v>45962</v>
      </c>
      <c r="BZ448" s="151">
        <v>46022</v>
      </c>
      <c r="CA448" s="152">
        <v>0</v>
      </c>
      <c r="CB448" s="153">
        <v>0</v>
      </c>
      <c r="CC448" s="153">
        <v>1</v>
      </c>
      <c r="CD448" s="153">
        <v>1</v>
      </c>
      <c r="CE448" s="153">
        <v>1</v>
      </c>
      <c r="CF448" s="153">
        <v>0</v>
      </c>
      <c r="CG448" s="153">
        <v>0</v>
      </c>
      <c r="CH448" s="153">
        <v>0</v>
      </c>
      <c r="CI448" s="153">
        <v>0</v>
      </c>
      <c r="CJ448" s="153">
        <v>0</v>
      </c>
      <c r="CK448" s="153">
        <v>0</v>
      </c>
      <c r="CL448" s="153">
        <v>0</v>
      </c>
    </row>
    <row r="449" spans="2:90" x14ac:dyDescent="0.25">
      <c r="B449" s="27" t="s">
        <v>321</v>
      </c>
      <c r="C449" s="2" t="s">
        <v>2194</v>
      </c>
      <c r="D449" s="2" t="s">
        <v>1832</v>
      </c>
      <c r="E449" s="2" t="s">
        <v>1835</v>
      </c>
      <c r="F449" s="90">
        <v>105</v>
      </c>
      <c r="G449" s="2" t="s">
        <v>2195</v>
      </c>
      <c r="H449" s="2" t="s">
        <v>2196</v>
      </c>
      <c r="I449" s="2"/>
      <c r="J449" s="2"/>
      <c r="K449" s="2" t="s">
        <v>1748</v>
      </c>
      <c r="L449" s="2" t="s">
        <v>1750</v>
      </c>
      <c r="M449" s="2" t="s">
        <v>358</v>
      </c>
      <c r="N449" s="49"/>
      <c r="O449" s="2" t="s">
        <v>2078</v>
      </c>
      <c r="P449" s="2">
        <v>38</v>
      </c>
      <c r="Q449" s="2">
        <v>5</v>
      </c>
      <c r="R449" s="2">
        <v>6.7</v>
      </c>
      <c r="S449" s="2">
        <v>28</v>
      </c>
      <c r="T449" s="2">
        <v>35</v>
      </c>
      <c r="U449" s="251">
        <v>6</v>
      </c>
      <c r="V449" s="2">
        <v>132</v>
      </c>
      <c r="W449" s="86">
        <v>157</v>
      </c>
      <c r="X449" s="40">
        <f>_xlfn.XLOOKUP("Ripening", CropPhenology_Wheat[Main_Stage], CropPhenology_Wheat[Start_GDD], "Not Found")</f>
        <v>1501</v>
      </c>
      <c r="Y449" s="4" cm="1">
        <f t="array" ref="Y44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49" s="3">
        <f t="shared" si="264"/>
        <v>11.219648716464004</v>
      </c>
      <c r="AA449" s="41">
        <f t="shared" si="276"/>
        <v>151.51989540504738</v>
      </c>
      <c r="AB449" s="2">
        <v>7</v>
      </c>
      <c r="AC449" s="2">
        <v>5</v>
      </c>
      <c r="AD449" s="2">
        <v>2</v>
      </c>
      <c r="AE449" s="2">
        <v>80</v>
      </c>
      <c r="AF449" s="2">
        <v>0</v>
      </c>
      <c r="AG449" s="2">
        <v>5</v>
      </c>
      <c r="AH449" s="49">
        <f t="shared" si="271"/>
        <v>1.313358879162551</v>
      </c>
      <c r="AI449" s="2">
        <v>5.5</v>
      </c>
      <c r="AJ449" s="2">
        <v>8</v>
      </c>
      <c r="AK449" s="165">
        <v>6</v>
      </c>
      <c r="AL449" s="166">
        <v>7.0999999999999994E-2</v>
      </c>
      <c r="AM449" s="2">
        <v>195</v>
      </c>
      <c r="AN449" s="2">
        <v>285</v>
      </c>
      <c r="AO449" s="85">
        <v>5</v>
      </c>
      <c r="AP449" s="86">
        <v>100</v>
      </c>
      <c r="AQ449" s="149">
        <v>0.8</v>
      </c>
      <c r="AR449" s="2">
        <v>20</v>
      </c>
      <c r="AS449" s="2">
        <v>2.5</v>
      </c>
      <c r="AT449" s="2">
        <v>1</v>
      </c>
      <c r="AU449" s="4">
        <f t="shared" si="277"/>
        <v>200</v>
      </c>
      <c r="AV449" s="3">
        <f t="shared" si="267"/>
        <v>76</v>
      </c>
      <c r="AW449" s="2">
        <v>90</v>
      </c>
      <c r="AX449" s="3">
        <f t="shared" si="278"/>
        <v>180</v>
      </c>
      <c r="AY449" s="2">
        <v>4</v>
      </c>
      <c r="AZ449" s="4">
        <f t="shared" si="279"/>
        <v>720</v>
      </c>
      <c r="BA449" s="49">
        <v>0.8</v>
      </c>
      <c r="BB449" s="4">
        <f t="shared" si="280"/>
        <v>576</v>
      </c>
      <c r="BC449" s="150">
        <v>8.0000000000000002E-3</v>
      </c>
      <c r="BD449" s="69">
        <f>IFERROR(
  MAX(0.05, MIN(0.5, CropNorms_Wheat[[#This Row],[Leaf_Area_Per_Shoot_m2]] * CropNorms_Wheat[[#This Row],[Shoot_Bearing_m2]] )),
  0.2
)</f>
        <v>0.5</v>
      </c>
      <c r="BE449" s="4">
        <f>_xlfn.XLOOKUP(CropNorms_Wheat[[#This Row],[LAI_Start_BBCH]], CropPhenology_Wheat[Sub_Stage], CropPhenology_Wheat[Start_GDD], "Not Found")</f>
        <v>151</v>
      </c>
      <c r="BF449" s="3">
        <f t="shared" si="270"/>
        <v>4.6100000000000003</v>
      </c>
      <c r="BG44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49" s="3">
        <f>IF(CropNorms_Wheat[[#This Row],[Max_LAI]]&gt;=1.2, 0.85*CropNorms_Wheat[[#This Row],[Max_LAI]], 1)</f>
        <v>3.9185000000000003</v>
      </c>
      <c r="BI449" s="41">
        <f>_xlfn.XLOOKUP(CropNorms_Wheat[[#This Row],[LAI_End_BBCH]], CropPhenology_Wheat[Sub_Stage], CropPhenology_Wheat[End_GDD], "Not Found")</f>
        <v>1500</v>
      </c>
      <c r="BJ449" s="3" cm="1">
        <f t="array" ref="BJ44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49" s="3" cm="1">
        <f t="array" ref="BK44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49" s="3" cm="1">
        <f t="array" ref="BL44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49" s="3" cm="1">
        <f t="array" ref="BM44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49" s="42">
        <f t="shared" si="282"/>
        <v>0.34</v>
      </c>
      <c r="BO449" s="43">
        <v>0</v>
      </c>
      <c r="BP449" s="42">
        <v>2.7625000000000002</v>
      </c>
      <c r="BQ449" s="43" t="s">
        <v>1795</v>
      </c>
      <c r="BR449" s="3" t="str" cm="1">
        <f t="array" ref="BR44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49" s="3" t="str" cm="1">
        <f t="array" ref="BS44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49" s="3" t="str" cm="1">
        <f t="array" ref="BT44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49" s="3" t="str" cm="1">
        <f t="array" ref="BU44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49" s="48">
        <v>80</v>
      </c>
      <c r="BW449" s="1">
        <v>40</v>
      </c>
      <c r="BX449" s="44">
        <v>40</v>
      </c>
      <c r="BY449" s="151">
        <v>45962</v>
      </c>
      <c r="BZ449" s="151">
        <v>46022</v>
      </c>
      <c r="CA449" s="152">
        <v>0</v>
      </c>
      <c r="CB449" s="153">
        <v>0</v>
      </c>
      <c r="CC449" s="153">
        <v>1</v>
      </c>
      <c r="CD449" s="153">
        <v>1</v>
      </c>
      <c r="CE449" s="153">
        <v>1</v>
      </c>
      <c r="CF449" s="153">
        <v>0</v>
      </c>
      <c r="CG449" s="153">
        <v>0</v>
      </c>
      <c r="CH449" s="153">
        <v>0</v>
      </c>
      <c r="CI449" s="153">
        <v>0</v>
      </c>
      <c r="CJ449" s="153">
        <v>0</v>
      </c>
      <c r="CK449" s="153">
        <v>0</v>
      </c>
      <c r="CL449" s="153">
        <v>0</v>
      </c>
    </row>
    <row r="450" spans="2:90" x14ac:dyDescent="0.25">
      <c r="B450" s="27" t="s">
        <v>321</v>
      </c>
      <c r="C450" s="2" t="s">
        <v>2197</v>
      </c>
      <c r="D450" s="2" t="s">
        <v>1832</v>
      </c>
      <c r="E450" s="2" t="s">
        <v>1835</v>
      </c>
      <c r="F450" s="90">
        <v>98.3</v>
      </c>
      <c r="G450" s="2"/>
      <c r="H450" s="2" t="s">
        <v>1840</v>
      </c>
      <c r="I450" s="2"/>
      <c r="J450" s="2"/>
      <c r="K450" s="2" t="s">
        <v>1748</v>
      </c>
      <c r="L450" s="2" t="s">
        <v>1750</v>
      </c>
      <c r="M450" s="2" t="s">
        <v>358</v>
      </c>
      <c r="N450" s="49"/>
      <c r="O450" s="2" t="s">
        <v>2078</v>
      </c>
      <c r="P450" s="2">
        <v>42</v>
      </c>
      <c r="Q450" s="2">
        <v>5</v>
      </c>
      <c r="R450" s="2">
        <v>6.7</v>
      </c>
      <c r="S450" s="2">
        <v>28</v>
      </c>
      <c r="T450" s="2">
        <v>35</v>
      </c>
      <c r="U450" s="251">
        <v>6</v>
      </c>
      <c r="V450" s="2">
        <v>138</v>
      </c>
      <c r="W450" s="86">
        <v>173</v>
      </c>
      <c r="X450" s="40">
        <f>_xlfn.XLOOKUP("Ripening", CropPhenology_Wheat[Main_Stage], CropPhenology_Wheat[Start_GDD], "Not Found")</f>
        <v>1501</v>
      </c>
      <c r="Y450" s="4" cm="1">
        <f t="array" ref="Y45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0" s="3">
        <f t="shared" si="264"/>
        <v>10.497570578872413</v>
      </c>
      <c r="AA450" s="41">
        <f t="shared" si="276"/>
        <v>161.94223103595499</v>
      </c>
      <c r="AB450" s="2">
        <v>6</v>
      </c>
      <c r="AC450" s="2">
        <v>5</v>
      </c>
      <c r="AD450" s="2">
        <v>2</v>
      </c>
      <c r="AE450" s="2">
        <v>80</v>
      </c>
      <c r="AF450" s="2">
        <v>0</v>
      </c>
      <c r="AG450" s="2">
        <v>5</v>
      </c>
      <c r="AH450" s="49">
        <f t="shared" si="271"/>
        <v>1.2288332618797706</v>
      </c>
      <c r="AI450" s="2">
        <v>5.5</v>
      </c>
      <c r="AJ450" s="2">
        <v>8</v>
      </c>
      <c r="AK450" s="165">
        <v>6</v>
      </c>
      <c r="AL450" s="166">
        <v>7.0999999999999994E-2</v>
      </c>
      <c r="AM450" s="2">
        <v>195</v>
      </c>
      <c r="AN450" s="2">
        <v>285</v>
      </c>
      <c r="AO450" s="85">
        <v>5</v>
      </c>
      <c r="AP450" s="86">
        <v>100</v>
      </c>
      <c r="AQ450" s="149">
        <v>0.8</v>
      </c>
      <c r="AR450" s="2">
        <v>20</v>
      </c>
      <c r="AS450" s="2">
        <v>2.5</v>
      </c>
      <c r="AT450" s="2">
        <v>1</v>
      </c>
      <c r="AU450" s="4">
        <f t="shared" si="277"/>
        <v>200</v>
      </c>
      <c r="AV450" s="3">
        <f t="shared" si="267"/>
        <v>84</v>
      </c>
      <c r="AW450" s="2">
        <v>90</v>
      </c>
      <c r="AX450" s="3">
        <f t="shared" si="278"/>
        <v>180</v>
      </c>
      <c r="AY450" s="2">
        <v>4</v>
      </c>
      <c r="AZ450" s="4">
        <f t="shared" si="279"/>
        <v>720</v>
      </c>
      <c r="BA450" s="49">
        <v>0.8</v>
      </c>
      <c r="BB450" s="4">
        <f t="shared" si="280"/>
        <v>576</v>
      </c>
      <c r="BC450" s="150">
        <v>8.0000000000000002E-3</v>
      </c>
      <c r="BD450" s="69">
        <f>IFERROR(
  MAX(0.05, MIN(0.5, CropNorms_Wheat[[#This Row],[Leaf_Area_Per_Shoot_m2]] * CropNorms_Wheat[[#This Row],[Shoot_Bearing_m2]] )),
  0.2
)</f>
        <v>0.5</v>
      </c>
      <c r="BE450" s="4">
        <f>_xlfn.XLOOKUP(CropNorms_Wheat[[#This Row],[LAI_Start_BBCH]], CropPhenology_Wheat[Sub_Stage], CropPhenology_Wheat[Start_GDD], "Not Found")</f>
        <v>151</v>
      </c>
      <c r="BF450" s="3">
        <f t="shared" si="270"/>
        <v>4.6100000000000003</v>
      </c>
      <c r="BG45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0" s="3">
        <f>IF(CropNorms_Wheat[[#This Row],[Max_LAI]]&gt;=1.2, 0.85*CropNorms_Wheat[[#This Row],[Max_LAI]], 1)</f>
        <v>3.9185000000000003</v>
      </c>
      <c r="BI450" s="41">
        <f>_xlfn.XLOOKUP(CropNorms_Wheat[[#This Row],[LAI_End_BBCH]], CropPhenology_Wheat[Sub_Stage], CropPhenology_Wheat[End_GDD], "Not Found")</f>
        <v>1500</v>
      </c>
      <c r="BJ450" s="3" cm="1">
        <f t="array" ref="BJ45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0" s="3" cm="1">
        <f t="array" ref="BK45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50" s="3" cm="1">
        <f t="array" ref="BL45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50" s="3" cm="1">
        <f t="array" ref="BM45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0" s="42">
        <f t="shared" si="282"/>
        <v>0.34</v>
      </c>
      <c r="BO450" s="43">
        <v>0</v>
      </c>
      <c r="BP450" s="42">
        <v>2.7625000000000002</v>
      </c>
      <c r="BQ450" s="43" t="s">
        <v>1795</v>
      </c>
      <c r="BR450" s="3" t="str" cm="1">
        <f t="array" ref="BR45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0" s="3" t="str" cm="1">
        <f t="array" ref="BS45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0" s="3" t="str" cm="1">
        <f t="array" ref="BT45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0" s="3" t="str" cm="1">
        <f t="array" ref="BU45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0" s="48">
        <v>80</v>
      </c>
      <c r="BW450" s="1">
        <v>40</v>
      </c>
      <c r="BX450" s="44">
        <v>40</v>
      </c>
      <c r="BY450" s="151">
        <v>45962</v>
      </c>
      <c r="BZ450" s="151">
        <v>46022</v>
      </c>
      <c r="CA450" s="152">
        <v>0</v>
      </c>
      <c r="CB450" s="153">
        <v>0</v>
      </c>
      <c r="CC450" s="153">
        <v>1</v>
      </c>
      <c r="CD450" s="153">
        <v>1</v>
      </c>
      <c r="CE450" s="153">
        <v>1</v>
      </c>
      <c r="CF450" s="153">
        <v>0</v>
      </c>
      <c r="CG450" s="153">
        <v>0</v>
      </c>
      <c r="CH450" s="153">
        <v>0</v>
      </c>
      <c r="CI450" s="153">
        <v>0</v>
      </c>
      <c r="CJ450" s="153">
        <v>0</v>
      </c>
      <c r="CK450" s="153">
        <v>0</v>
      </c>
      <c r="CL450" s="153">
        <v>0</v>
      </c>
    </row>
    <row r="451" spans="2:90" x14ac:dyDescent="0.25">
      <c r="B451" s="27" t="s">
        <v>321</v>
      </c>
      <c r="C451" s="2" t="s">
        <v>2198</v>
      </c>
      <c r="D451" s="2" t="s">
        <v>2126</v>
      </c>
      <c r="E451" s="2" t="s">
        <v>1835</v>
      </c>
      <c r="F451" s="90">
        <v>94</v>
      </c>
      <c r="G451" s="2" t="s">
        <v>2199</v>
      </c>
      <c r="H451" s="2"/>
      <c r="I451" s="2"/>
      <c r="J451" s="2" t="s">
        <v>1156</v>
      </c>
      <c r="K451" s="2" t="s">
        <v>1748</v>
      </c>
      <c r="L451" s="2" t="s">
        <v>1750</v>
      </c>
      <c r="M451" s="2" t="s">
        <v>358</v>
      </c>
      <c r="N451" s="49"/>
      <c r="O451" s="2" t="s">
        <v>2078</v>
      </c>
      <c r="P451" s="2">
        <v>42</v>
      </c>
      <c r="Q451" s="2">
        <v>5</v>
      </c>
      <c r="R451" s="2">
        <v>6.7</v>
      </c>
      <c r="S451" s="2">
        <v>28</v>
      </c>
      <c r="T451" s="2">
        <v>35</v>
      </c>
      <c r="U451" s="251">
        <v>6</v>
      </c>
      <c r="V451" s="2">
        <v>128</v>
      </c>
      <c r="W451" s="86">
        <v>140</v>
      </c>
      <c r="X451" s="40">
        <f>_xlfn.XLOOKUP("Ripening", CropPhenology_Wheat[Main_Stage], CropPhenology_Wheat[Start_GDD], "Not Found")</f>
        <v>1501</v>
      </c>
      <c r="Y451" s="4" cm="1">
        <f t="array" ref="Y45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1" s="3">
        <f t="shared" ref="Z451:Z482" si="283">MIN(Y451/V451,MAX(X451/W451,R451,(X451/W451+Y451/V451)/2))</f>
        <v>12.001339285714286</v>
      </c>
      <c r="AA451" s="41">
        <f t="shared" si="276"/>
        <v>141.65085741918685</v>
      </c>
      <c r="AB451" s="2">
        <v>9</v>
      </c>
      <c r="AC451" s="2">
        <v>5</v>
      </c>
      <c r="AD451" s="2">
        <v>2</v>
      </c>
      <c r="AE451" s="2">
        <v>80</v>
      </c>
      <c r="AF451" s="2">
        <v>0</v>
      </c>
      <c r="AG451" s="2">
        <v>5</v>
      </c>
      <c r="AH451" s="49">
        <f t="shared" si="271"/>
        <v>1.4048626575630252</v>
      </c>
      <c r="AI451" s="2">
        <v>5.5</v>
      </c>
      <c r="AJ451" s="2">
        <v>8</v>
      </c>
      <c r="AK451" s="165">
        <v>6</v>
      </c>
      <c r="AL451" s="166">
        <v>7.0999999999999994E-2</v>
      </c>
      <c r="AM451" s="2">
        <v>195</v>
      </c>
      <c r="AN451" s="2">
        <v>285</v>
      </c>
      <c r="AO451" s="85">
        <v>5</v>
      </c>
      <c r="AP451" s="86">
        <v>100</v>
      </c>
      <c r="AQ451" s="149">
        <v>0.8</v>
      </c>
      <c r="AR451" s="2">
        <v>20</v>
      </c>
      <c r="AS451" s="2">
        <v>2.5</v>
      </c>
      <c r="AT451" s="2">
        <v>1</v>
      </c>
      <c r="AU451" s="4">
        <f t="shared" si="277"/>
        <v>200</v>
      </c>
      <c r="AV451" s="3">
        <f t="shared" ref="AV451:AV482" si="284">ROUND((P451/1000000)*AU451*10000,2)</f>
        <v>84</v>
      </c>
      <c r="AW451" s="2">
        <v>90</v>
      </c>
      <c r="AX451" s="3">
        <f t="shared" si="278"/>
        <v>180</v>
      </c>
      <c r="AY451" s="2">
        <v>4</v>
      </c>
      <c r="AZ451" s="4">
        <f t="shared" si="279"/>
        <v>720</v>
      </c>
      <c r="BA451" s="49">
        <v>0.8</v>
      </c>
      <c r="BB451" s="4">
        <f t="shared" si="280"/>
        <v>576</v>
      </c>
      <c r="BC451" s="150">
        <v>8.0000000000000002E-3</v>
      </c>
      <c r="BD451" s="69">
        <f>IFERROR(
  MAX(0.05, MIN(0.5, CropNorms_Wheat[[#This Row],[Leaf_Area_Per_Shoot_m2]] * CropNorms_Wheat[[#This Row],[Shoot_Bearing_m2]] )),
  0.2
)</f>
        <v>0.5</v>
      </c>
      <c r="BE451" s="4">
        <f>_xlfn.XLOOKUP(CropNorms_Wheat[[#This Row],[LAI_Start_BBCH]], CropPhenology_Wheat[Sub_Stage], CropPhenology_Wheat[Start_GDD], "Not Found")</f>
        <v>151</v>
      </c>
      <c r="BF451" s="3">
        <f t="shared" ref="BF451:BF482" si="285">ROUND(BB451*BC451,2)</f>
        <v>4.6100000000000003</v>
      </c>
      <c r="BG45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1" s="3">
        <f>IF(CropNorms_Wheat[[#This Row],[Max_LAI]]&gt;=1.2, 0.85*CropNorms_Wheat[[#This Row],[Max_LAI]], 1)</f>
        <v>3.9185000000000003</v>
      </c>
      <c r="BI451" s="41">
        <f>_xlfn.XLOOKUP(CropNorms_Wheat[[#This Row],[LAI_End_BBCH]], CropPhenology_Wheat[Sub_Stage], CropPhenology_Wheat[End_GDD], "Not Found")</f>
        <v>1500</v>
      </c>
      <c r="BJ451" s="3" cm="1">
        <f t="array" ref="BJ45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1" s="3" cm="1">
        <f t="array" ref="BK45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51" s="3" cm="1">
        <f t="array" ref="BL45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51" s="3" cm="1">
        <f t="array" ref="BM45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1" s="42">
        <v>0.32969999999999999</v>
      </c>
      <c r="BO451" s="43">
        <v>0</v>
      </c>
      <c r="BP451" s="42">
        <v>2.6788124999999998</v>
      </c>
      <c r="BQ451" s="43" t="s">
        <v>1795</v>
      </c>
      <c r="BR451" s="3" t="str" cm="1">
        <f t="array" ref="BR45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1" s="3" t="str" cm="1">
        <f t="array" ref="BS45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1" s="3" t="str" cm="1">
        <f t="array" ref="BT45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1" s="3" t="str" cm="1">
        <f t="array" ref="BU45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1" s="48">
        <v>80</v>
      </c>
      <c r="BW451" s="1">
        <v>40</v>
      </c>
      <c r="BX451" s="44">
        <v>40</v>
      </c>
      <c r="BY451" s="151">
        <v>45962</v>
      </c>
      <c r="BZ451" s="151">
        <v>46022</v>
      </c>
      <c r="CA451" s="152">
        <v>0</v>
      </c>
      <c r="CB451" s="153">
        <v>0</v>
      </c>
      <c r="CC451" s="153">
        <v>1</v>
      </c>
      <c r="CD451" s="153">
        <v>1</v>
      </c>
      <c r="CE451" s="153">
        <v>1</v>
      </c>
      <c r="CF451" s="153">
        <v>0</v>
      </c>
      <c r="CG451" s="153">
        <v>0</v>
      </c>
      <c r="CH451" s="153">
        <v>0</v>
      </c>
      <c r="CI451" s="153">
        <v>0</v>
      </c>
      <c r="CJ451" s="153">
        <v>0</v>
      </c>
      <c r="CK451" s="153">
        <v>0</v>
      </c>
      <c r="CL451" s="153">
        <v>0</v>
      </c>
    </row>
    <row r="452" spans="2:90" x14ac:dyDescent="0.25">
      <c r="B452" s="27" t="s">
        <v>321</v>
      </c>
      <c r="C452" s="2" t="s">
        <v>2200</v>
      </c>
      <c r="D452" s="2" t="s">
        <v>2126</v>
      </c>
      <c r="E452" s="2" t="s">
        <v>2127</v>
      </c>
      <c r="F452" s="90">
        <v>112</v>
      </c>
      <c r="G452" s="2"/>
      <c r="H452" s="2" t="s">
        <v>2201</v>
      </c>
      <c r="I452" s="2"/>
      <c r="J452" s="2"/>
      <c r="K452" s="2" t="s">
        <v>1748</v>
      </c>
      <c r="L452" s="2" t="s">
        <v>1750</v>
      </c>
      <c r="M452" s="2" t="s">
        <v>358</v>
      </c>
      <c r="N452" s="49"/>
      <c r="O452" s="2" t="s">
        <v>2078</v>
      </c>
      <c r="P452" s="2">
        <v>39</v>
      </c>
      <c r="Q452" s="2">
        <v>5</v>
      </c>
      <c r="R452" s="2">
        <v>6.7</v>
      </c>
      <c r="S452" s="2">
        <v>28</v>
      </c>
      <c r="T452" s="2">
        <v>35</v>
      </c>
      <c r="U452" s="251">
        <v>6</v>
      </c>
      <c r="V452" s="2">
        <v>140</v>
      </c>
      <c r="W452" s="86">
        <v>162</v>
      </c>
      <c r="X452" s="40">
        <f>_xlfn.XLOOKUP("Ripening", CropPhenology_Wheat[Main_Stage], CropPhenology_Wheat[Start_GDD], "Not Found")</f>
        <v>1501</v>
      </c>
      <c r="Y452" s="4" cm="1">
        <f t="array" ref="Y45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2" s="3">
        <f t="shared" si="283"/>
        <v>10.704144620811288</v>
      </c>
      <c r="AA452" s="41">
        <f t="shared" si="276"/>
        <v>158.81698727190343</v>
      </c>
      <c r="AB452" s="2">
        <v>6</v>
      </c>
      <c r="AC452" s="2">
        <v>5</v>
      </c>
      <c r="AD452" s="2">
        <v>2</v>
      </c>
      <c r="AE452" s="2">
        <v>80</v>
      </c>
      <c r="AF452" s="2">
        <v>0</v>
      </c>
      <c r="AG452" s="2">
        <v>5</v>
      </c>
      <c r="AH452" s="49">
        <f t="shared" si="271"/>
        <v>1.2530145762008509</v>
      </c>
      <c r="AI452" s="2">
        <v>5.5</v>
      </c>
      <c r="AJ452" s="2">
        <v>8</v>
      </c>
      <c r="AK452" s="165">
        <v>6</v>
      </c>
      <c r="AL452" s="166">
        <v>7.0999999999999994E-2</v>
      </c>
      <c r="AM452" s="2">
        <v>195</v>
      </c>
      <c r="AN452" s="2">
        <v>285</v>
      </c>
      <c r="AO452" s="85">
        <v>5</v>
      </c>
      <c r="AP452" s="86">
        <v>100</v>
      </c>
      <c r="AQ452" s="149">
        <v>0.8</v>
      </c>
      <c r="AR452" s="2">
        <v>20</v>
      </c>
      <c r="AS452" s="2">
        <v>2.5</v>
      </c>
      <c r="AT452" s="2">
        <v>1</v>
      </c>
      <c r="AU452" s="4">
        <f t="shared" si="277"/>
        <v>200</v>
      </c>
      <c r="AV452" s="3">
        <f t="shared" si="284"/>
        <v>78</v>
      </c>
      <c r="AW452" s="2">
        <v>90</v>
      </c>
      <c r="AX452" s="3">
        <f t="shared" si="278"/>
        <v>180</v>
      </c>
      <c r="AY452" s="2">
        <v>5</v>
      </c>
      <c r="AZ452" s="4">
        <f t="shared" si="279"/>
        <v>900</v>
      </c>
      <c r="BA452" s="49">
        <v>0.8</v>
      </c>
      <c r="BB452" s="4">
        <f t="shared" si="280"/>
        <v>720</v>
      </c>
      <c r="BC452" s="150">
        <v>8.0000000000000002E-3</v>
      </c>
      <c r="BD452" s="69">
        <f>IFERROR(
  MAX(0.05, MIN(0.5, CropNorms_Wheat[[#This Row],[Leaf_Area_Per_Shoot_m2]] * CropNorms_Wheat[[#This Row],[Shoot_Bearing_m2]] )),
  0.2
)</f>
        <v>0.5</v>
      </c>
      <c r="BE452" s="4">
        <f>_xlfn.XLOOKUP(CropNorms_Wheat[[#This Row],[LAI_Start_BBCH]], CropPhenology_Wheat[Sub_Stage], CropPhenology_Wheat[Start_GDD], "Not Found")</f>
        <v>151</v>
      </c>
      <c r="BF452" s="3">
        <f t="shared" si="285"/>
        <v>5.76</v>
      </c>
      <c r="BG45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2" s="3">
        <f>IF(CropNorms_Wheat[[#This Row],[Max_LAI]]&gt;=1.2, 0.85*CropNorms_Wheat[[#This Row],[Max_LAI]], 1)</f>
        <v>4.8959999999999999</v>
      </c>
      <c r="BI452" s="41">
        <f>_xlfn.XLOOKUP(CropNorms_Wheat[[#This Row],[LAI_End_BBCH]], CropPhenology_Wheat[Sub_Stage], CropPhenology_Wheat[End_GDD], "Not Found")</f>
        <v>1500</v>
      </c>
      <c r="BJ452" s="3" cm="1">
        <f t="array" ref="BJ45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2" s="3" cm="1">
        <f t="array" ref="BK45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52" s="3" cm="1">
        <f t="array" ref="BL45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52" s="3" cm="1">
        <f t="array" ref="BM45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2" s="42">
        <v>0.27910000000000001</v>
      </c>
      <c r="BO452" s="43">
        <v>0</v>
      </c>
      <c r="BP452" s="42">
        <v>2.2676875000000001</v>
      </c>
      <c r="BQ452" s="43" t="s">
        <v>1795</v>
      </c>
      <c r="BR452" s="3" t="str" cm="1">
        <f t="array" ref="BR45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2" s="3" t="str" cm="1">
        <f t="array" ref="BS45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2" s="3" t="str" cm="1">
        <f t="array" ref="BT45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2" s="3" t="str" cm="1">
        <f t="array" ref="BU45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2" s="48">
        <v>80</v>
      </c>
      <c r="BW452" s="1">
        <v>40</v>
      </c>
      <c r="BX452" s="44">
        <v>40</v>
      </c>
      <c r="BY452" s="151">
        <v>45962</v>
      </c>
      <c r="BZ452" s="151">
        <v>46022</v>
      </c>
      <c r="CA452" s="152">
        <v>0</v>
      </c>
      <c r="CB452" s="153">
        <v>0</v>
      </c>
      <c r="CC452" s="153">
        <v>1</v>
      </c>
      <c r="CD452" s="153">
        <v>1</v>
      </c>
      <c r="CE452" s="153">
        <v>1</v>
      </c>
      <c r="CF452" s="153">
        <v>0</v>
      </c>
      <c r="CG452" s="153">
        <v>0</v>
      </c>
      <c r="CH452" s="153">
        <v>0</v>
      </c>
      <c r="CI452" s="153">
        <v>0</v>
      </c>
      <c r="CJ452" s="153">
        <v>0</v>
      </c>
      <c r="CK452" s="153">
        <v>0</v>
      </c>
      <c r="CL452" s="153">
        <v>0</v>
      </c>
    </row>
    <row r="453" spans="2:90" x14ac:dyDescent="0.25">
      <c r="B453" s="27" t="s">
        <v>321</v>
      </c>
      <c r="C453" s="2" t="s">
        <v>2202</v>
      </c>
      <c r="D453" s="2" t="s">
        <v>2126</v>
      </c>
      <c r="E453" s="2" t="s">
        <v>1835</v>
      </c>
      <c r="F453" s="90">
        <v>105</v>
      </c>
      <c r="G453" s="2" t="s">
        <v>2203</v>
      </c>
      <c r="H453" s="2"/>
      <c r="I453" s="2"/>
      <c r="J453" s="2"/>
      <c r="K453" s="2" t="s">
        <v>1748</v>
      </c>
      <c r="L453" s="2" t="s">
        <v>1750</v>
      </c>
      <c r="M453" s="2" t="s">
        <v>358</v>
      </c>
      <c r="N453" s="49"/>
      <c r="O453" s="2" t="s">
        <v>2078</v>
      </c>
      <c r="P453" s="2">
        <v>41</v>
      </c>
      <c r="Q453" s="2">
        <v>5</v>
      </c>
      <c r="R453" s="2">
        <v>6.7</v>
      </c>
      <c r="S453" s="2">
        <v>28</v>
      </c>
      <c r="T453" s="2">
        <v>35</v>
      </c>
      <c r="U453" s="251">
        <v>6</v>
      </c>
      <c r="V453" s="2">
        <v>114</v>
      </c>
      <c r="W453" s="86">
        <v>130</v>
      </c>
      <c r="X453" s="40">
        <f>_xlfn.XLOOKUP("Ripening", CropPhenology_Wheat[Main_Stage], CropPhenology_Wheat[Start_GDD], "Not Found")</f>
        <v>1501</v>
      </c>
      <c r="Y453" s="4" cm="1">
        <f t="array" ref="Y45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3" s="3">
        <f t="shared" si="283"/>
        <v>13.229217273954117</v>
      </c>
      <c r="AA453" s="41">
        <f t="shared" si="276"/>
        <v>128.50344542658513</v>
      </c>
      <c r="AB453" s="2">
        <v>9</v>
      </c>
      <c r="AC453" s="2">
        <v>5</v>
      </c>
      <c r="AD453" s="2">
        <v>2</v>
      </c>
      <c r="AE453" s="2">
        <v>80</v>
      </c>
      <c r="AF453" s="2">
        <v>0</v>
      </c>
      <c r="AG453" s="2">
        <v>5</v>
      </c>
      <c r="AH453" s="49">
        <f t="shared" si="271"/>
        <v>1.5485966103040405</v>
      </c>
      <c r="AI453" s="2">
        <v>5.5</v>
      </c>
      <c r="AJ453" s="2">
        <v>8</v>
      </c>
      <c r="AK453" s="165">
        <v>6</v>
      </c>
      <c r="AL453" s="166">
        <v>7.0999999999999994E-2</v>
      </c>
      <c r="AM453" s="2">
        <v>195</v>
      </c>
      <c r="AN453" s="2">
        <v>285</v>
      </c>
      <c r="AO453" s="85">
        <v>5</v>
      </c>
      <c r="AP453" s="86">
        <v>100</v>
      </c>
      <c r="AQ453" s="149">
        <v>0.8</v>
      </c>
      <c r="AR453" s="2">
        <v>20</v>
      </c>
      <c r="AS453" s="2">
        <v>2.5</v>
      </c>
      <c r="AT453" s="2">
        <v>1</v>
      </c>
      <c r="AU453" s="4">
        <f t="shared" si="277"/>
        <v>200</v>
      </c>
      <c r="AV453" s="3">
        <f t="shared" si="284"/>
        <v>82</v>
      </c>
      <c r="AW453" s="2">
        <v>90</v>
      </c>
      <c r="AX453" s="3">
        <f t="shared" si="278"/>
        <v>180</v>
      </c>
      <c r="AY453" s="2">
        <v>4</v>
      </c>
      <c r="AZ453" s="4">
        <f t="shared" si="279"/>
        <v>720</v>
      </c>
      <c r="BA453" s="49">
        <v>0.8</v>
      </c>
      <c r="BB453" s="4">
        <f t="shared" si="280"/>
        <v>576</v>
      </c>
      <c r="BC453" s="150">
        <v>8.0000000000000002E-3</v>
      </c>
      <c r="BD453" s="69">
        <f>IFERROR(
  MAX(0.05, MIN(0.5, CropNorms_Wheat[[#This Row],[Leaf_Area_Per_Shoot_m2]] * CropNorms_Wheat[[#This Row],[Shoot_Bearing_m2]] )),
  0.2
)</f>
        <v>0.5</v>
      </c>
      <c r="BE453" s="4">
        <f>_xlfn.XLOOKUP(CropNorms_Wheat[[#This Row],[LAI_Start_BBCH]], CropPhenology_Wheat[Sub_Stage], CropPhenology_Wheat[Start_GDD], "Not Found")</f>
        <v>151</v>
      </c>
      <c r="BF453" s="3">
        <f t="shared" si="285"/>
        <v>4.6100000000000003</v>
      </c>
      <c r="BG45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3" s="3">
        <f>IF(CropNorms_Wheat[[#This Row],[Max_LAI]]&gt;=1.2, 0.85*CropNorms_Wheat[[#This Row],[Max_LAI]], 1)</f>
        <v>3.9185000000000003</v>
      </c>
      <c r="BI453" s="41">
        <f>_xlfn.XLOOKUP(CropNorms_Wheat[[#This Row],[LAI_End_BBCH]], CropPhenology_Wheat[Sub_Stage], CropPhenology_Wheat[End_GDD], "Not Found")</f>
        <v>1500</v>
      </c>
      <c r="BJ453" s="3" cm="1">
        <f t="array" ref="BJ45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3" s="3" cm="1">
        <f t="array" ref="BK45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53" s="3" cm="1">
        <f t="array" ref="BL45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53" s="3" cm="1">
        <f t="array" ref="BM45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3" s="42">
        <v>0.35720000000000002</v>
      </c>
      <c r="BO453" s="43">
        <v>0</v>
      </c>
      <c r="BP453" s="42">
        <v>2.90225</v>
      </c>
      <c r="BQ453" s="43" t="s">
        <v>1795</v>
      </c>
      <c r="BR453" s="3" t="str" cm="1">
        <f t="array" ref="BR45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3" s="3" t="str" cm="1">
        <f t="array" ref="BS45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3" s="3" t="str" cm="1">
        <f t="array" ref="BT45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3" s="3" t="str" cm="1">
        <f t="array" ref="BU45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3" s="48">
        <v>80</v>
      </c>
      <c r="BW453" s="1">
        <v>40</v>
      </c>
      <c r="BX453" s="44">
        <v>40</v>
      </c>
      <c r="BY453" s="151">
        <v>45962</v>
      </c>
      <c r="BZ453" s="151">
        <v>46022</v>
      </c>
      <c r="CA453" s="152">
        <v>0</v>
      </c>
      <c r="CB453" s="153">
        <v>0</v>
      </c>
      <c r="CC453" s="153">
        <v>1</v>
      </c>
      <c r="CD453" s="153">
        <v>1</v>
      </c>
      <c r="CE453" s="153">
        <v>1</v>
      </c>
      <c r="CF453" s="153">
        <v>0</v>
      </c>
      <c r="CG453" s="153">
        <v>0</v>
      </c>
      <c r="CH453" s="153">
        <v>0</v>
      </c>
      <c r="CI453" s="153">
        <v>0</v>
      </c>
      <c r="CJ453" s="153">
        <v>0</v>
      </c>
      <c r="CK453" s="153">
        <v>0</v>
      </c>
      <c r="CL453" s="153">
        <v>0</v>
      </c>
    </row>
    <row r="454" spans="2:90" x14ac:dyDescent="0.25">
      <c r="B454" s="27" t="s">
        <v>321</v>
      </c>
      <c r="C454" s="2" t="s">
        <v>2204</v>
      </c>
      <c r="D454" s="2" t="s">
        <v>1832</v>
      </c>
      <c r="E454" s="2" t="s">
        <v>1835</v>
      </c>
      <c r="F454" s="90">
        <v>100</v>
      </c>
      <c r="G454" s="2"/>
      <c r="H454" s="2" t="s">
        <v>2205</v>
      </c>
      <c r="I454" s="2"/>
      <c r="J454" s="2" t="s">
        <v>2342</v>
      </c>
      <c r="K454" s="2" t="s">
        <v>1748</v>
      </c>
      <c r="L454" s="2" t="s">
        <v>1750</v>
      </c>
      <c r="M454" s="2" t="s">
        <v>358</v>
      </c>
      <c r="N454" s="49"/>
      <c r="O454" s="2" t="s">
        <v>2078</v>
      </c>
      <c r="P454" s="2">
        <v>43</v>
      </c>
      <c r="Q454" s="2">
        <v>5</v>
      </c>
      <c r="R454" s="2">
        <v>6.7</v>
      </c>
      <c r="S454" s="2">
        <v>28</v>
      </c>
      <c r="T454" s="2">
        <v>35</v>
      </c>
      <c r="U454" s="251">
        <v>6</v>
      </c>
      <c r="V454" s="2">
        <v>140</v>
      </c>
      <c r="W454" s="86">
        <v>161</v>
      </c>
      <c r="X454" s="40">
        <f>_xlfn.XLOOKUP("Ripening", CropPhenology_Wheat[Main_Stage], CropPhenology_Wheat[Start_GDD], "Not Found")</f>
        <v>1501</v>
      </c>
      <c r="Y454" s="4" cm="1">
        <f t="array" ref="Y45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4" s="3">
        <f t="shared" si="283"/>
        <v>10.732919254658384</v>
      </c>
      <c r="AA454" s="41">
        <f t="shared" si="276"/>
        <v>158.39120370370372</v>
      </c>
      <c r="AB454" s="2">
        <v>6</v>
      </c>
      <c r="AC454" s="2">
        <v>5</v>
      </c>
      <c r="AD454" s="2">
        <v>2</v>
      </c>
      <c r="AE454" s="2">
        <v>80</v>
      </c>
      <c r="AF454" s="2">
        <v>0</v>
      </c>
      <c r="AG454" s="2">
        <v>5</v>
      </c>
      <c r="AH454" s="49">
        <f t="shared" si="271"/>
        <v>1.2563829009864813</v>
      </c>
      <c r="AI454" s="2">
        <v>5.5</v>
      </c>
      <c r="AJ454" s="2">
        <v>8</v>
      </c>
      <c r="AK454" s="165">
        <v>6</v>
      </c>
      <c r="AL454" s="166">
        <v>7.0999999999999994E-2</v>
      </c>
      <c r="AM454" s="2">
        <v>195</v>
      </c>
      <c r="AN454" s="2">
        <v>285</v>
      </c>
      <c r="AO454" s="85">
        <v>5</v>
      </c>
      <c r="AP454" s="86">
        <v>100</v>
      </c>
      <c r="AQ454" s="149">
        <v>0.8</v>
      </c>
      <c r="AR454" s="2">
        <v>20</v>
      </c>
      <c r="AS454" s="2">
        <v>2.5</v>
      </c>
      <c r="AT454" s="2">
        <v>1</v>
      </c>
      <c r="AU454" s="4">
        <f t="shared" si="277"/>
        <v>200</v>
      </c>
      <c r="AV454" s="3">
        <f t="shared" si="284"/>
        <v>86</v>
      </c>
      <c r="AW454" s="2">
        <v>90</v>
      </c>
      <c r="AX454" s="3">
        <f t="shared" si="278"/>
        <v>180</v>
      </c>
      <c r="AY454" s="2">
        <v>4</v>
      </c>
      <c r="AZ454" s="4">
        <f t="shared" si="279"/>
        <v>720</v>
      </c>
      <c r="BA454" s="49">
        <v>0.8</v>
      </c>
      <c r="BB454" s="4">
        <f t="shared" si="280"/>
        <v>576</v>
      </c>
      <c r="BC454" s="150">
        <v>8.0000000000000002E-3</v>
      </c>
      <c r="BD454" s="69">
        <f>IFERROR(
  MAX(0.05, MIN(0.5, CropNorms_Wheat[[#This Row],[Leaf_Area_Per_Shoot_m2]] * CropNorms_Wheat[[#This Row],[Shoot_Bearing_m2]] )),
  0.2
)</f>
        <v>0.5</v>
      </c>
      <c r="BE454" s="4">
        <f>_xlfn.XLOOKUP(CropNorms_Wheat[[#This Row],[LAI_Start_BBCH]], CropPhenology_Wheat[Sub_Stage], CropPhenology_Wheat[Start_GDD], "Not Found")</f>
        <v>151</v>
      </c>
      <c r="BF454" s="3">
        <f t="shared" si="285"/>
        <v>4.6100000000000003</v>
      </c>
      <c r="BG45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4" s="3">
        <f>IF(CropNorms_Wheat[[#This Row],[Max_LAI]]&gt;=1.2, 0.85*CropNorms_Wheat[[#This Row],[Max_LAI]], 1)</f>
        <v>3.9185000000000003</v>
      </c>
      <c r="BI454" s="41">
        <f>_xlfn.XLOOKUP(CropNorms_Wheat[[#This Row],[LAI_End_BBCH]], CropPhenology_Wheat[Sub_Stage], CropPhenology_Wheat[End_GDD], "Not Found")</f>
        <v>1500</v>
      </c>
      <c r="BJ454" s="3" cm="1">
        <f t="array" ref="BJ45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4" s="3" cm="1">
        <f t="array" ref="BK45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54" s="3" cm="1">
        <f t="array" ref="BL45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54" s="3" cm="1">
        <f t="array" ref="BM45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4" s="42">
        <f>(0.28+0.4)/2</f>
        <v>0.34</v>
      </c>
      <c r="BO454" s="43">
        <v>0</v>
      </c>
      <c r="BP454" s="42">
        <v>2.7625000000000002</v>
      </c>
      <c r="BQ454" s="43" t="s">
        <v>1795</v>
      </c>
      <c r="BR454" s="3" t="str" cm="1">
        <f t="array" ref="BR45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4" s="3" t="str" cm="1">
        <f t="array" ref="BS45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4" s="3" t="str" cm="1">
        <f t="array" ref="BT45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4" s="3" t="str" cm="1">
        <f t="array" ref="BU45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4" s="48">
        <v>80</v>
      </c>
      <c r="BW454" s="1">
        <v>40</v>
      </c>
      <c r="BX454" s="44">
        <v>40</v>
      </c>
      <c r="BY454" s="151">
        <v>45962</v>
      </c>
      <c r="BZ454" s="151">
        <v>46022</v>
      </c>
      <c r="CA454" s="152">
        <v>0</v>
      </c>
      <c r="CB454" s="153">
        <v>0</v>
      </c>
      <c r="CC454" s="153">
        <v>1</v>
      </c>
      <c r="CD454" s="153">
        <v>1</v>
      </c>
      <c r="CE454" s="153">
        <v>1</v>
      </c>
      <c r="CF454" s="153">
        <v>0</v>
      </c>
      <c r="CG454" s="153">
        <v>0</v>
      </c>
      <c r="CH454" s="153">
        <v>0</v>
      </c>
      <c r="CI454" s="153">
        <v>0</v>
      </c>
      <c r="CJ454" s="153">
        <v>0</v>
      </c>
      <c r="CK454" s="153">
        <v>0</v>
      </c>
      <c r="CL454" s="153">
        <v>0</v>
      </c>
    </row>
    <row r="455" spans="2:90" x14ac:dyDescent="0.25">
      <c r="B455" s="27" t="s">
        <v>321</v>
      </c>
      <c r="C455" s="2" t="s">
        <v>2206</v>
      </c>
      <c r="D455" s="2" t="s">
        <v>1832</v>
      </c>
      <c r="E455" s="2" t="s">
        <v>2144</v>
      </c>
      <c r="F455" s="90">
        <v>86</v>
      </c>
      <c r="G455" s="2"/>
      <c r="H455" s="2"/>
      <c r="I455" s="2"/>
      <c r="J455" s="2"/>
      <c r="K455" s="2" t="s">
        <v>1748</v>
      </c>
      <c r="L455" s="2" t="s">
        <v>1750</v>
      </c>
      <c r="M455" s="2" t="s">
        <v>358</v>
      </c>
      <c r="N455" s="49"/>
      <c r="O455" s="2" t="s">
        <v>2141</v>
      </c>
      <c r="P455" s="2">
        <v>36</v>
      </c>
      <c r="Q455" s="2">
        <v>5</v>
      </c>
      <c r="R455" s="2">
        <v>6.7</v>
      </c>
      <c r="S455" s="2">
        <v>28</v>
      </c>
      <c r="T455" s="2">
        <v>35</v>
      </c>
      <c r="U455" s="251">
        <v>6</v>
      </c>
      <c r="V455" s="2">
        <v>135</v>
      </c>
      <c r="W455" s="86">
        <v>162</v>
      </c>
      <c r="X455" s="40">
        <f>_xlfn.XLOOKUP("Ripening", CropPhenology_Wheat[Main_Stage], CropPhenology_Wheat[Start_GDD], "Not Found")</f>
        <v>1501</v>
      </c>
      <c r="Y455" s="4" cm="1">
        <f t="array" ref="Y45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5" s="3">
        <f t="shared" si="283"/>
        <v>10.929012345679013</v>
      </c>
      <c r="AA455" s="41">
        <f t="shared" si="276"/>
        <v>155.54927986444505</v>
      </c>
      <c r="AB455" s="2">
        <v>6</v>
      </c>
      <c r="AC455" s="2">
        <v>5</v>
      </c>
      <c r="AD455" s="2">
        <v>2</v>
      </c>
      <c r="AE455" s="2">
        <v>80</v>
      </c>
      <c r="AF455" s="2">
        <v>0</v>
      </c>
      <c r="AG455" s="2">
        <v>5</v>
      </c>
      <c r="AH455" s="49">
        <f t="shared" si="271"/>
        <v>1.2793373275236022</v>
      </c>
      <c r="AI455" s="2">
        <v>5.5</v>
      </c>
      <c r="AJ455" s="2">
        <v>8</v>
      </c>
      <c r="AK455" s="165">
        <v>6</v>
      </c>
      <c r="AL455" s="166">
        <v>7.0999999999999994E-2</v>
      </c>
      <c r="AM455" s="2">
        <v>195</v>
      </c>
      <c r="AN455" s="2">
        <v>285</v>
      </c>
      <c r="AO455" s="85">
        <v>5</v>
      </c>
      <c r="AP455" s="86">
        <v>100</v>
      </c>
      <c r="AQ455" s="149">
        <v>0.6</v>
      </c>
      <c r="AR455" s="2">
        <v>20</v>
      </c>
      <c r="AS455" s="2">
        <v>2.5</v>
      </c>
      <c r="AT455" s="2">
        <v>1</v>
      </c>
      <c r="AU455" s="4">
        <f t="shared" si="277"/>
        <v>200</v>
      </c>
      <c r="AV455" s="3">
        <f t="shared" si="284"/>
        <v>72</v>
      </c>
      <c r="AW455" s="2">
        <v>90</v>
      </c>
      <c r="AX455" s="3">
        <f t="shared" si="278"/>
        <v>180</v>
      </c>
      <c r="AY455" s="2">
        <v>4</v>
      </c>
      <c r="AZ455" s="4">
        <f t="shared" si="279"/>
        <v>720</v>
      </c>
      <c r="BA455" s="49">
        <v>0.6</v>
      </c>
      <c r="BB455" s="4">
        <f t="shared" si="280"/>
        <v>432</v>
      </c>
      <c r="BC455" s="150">
        <v>6.0000000000000001E-3</v>
      </c>
      <c r="BD455" s="69">
        <f>IFERROR(
  MAX(0.05, MIN(0.5, CropNorms_Wheat[[#This Row],[Leaf_Area_Per_Shoot_m2]] * CropNorms_Wheat[[#This Row],[Shoot_Bearing_m2]] )),
  0.2
)</f>
        <v>0.5</v>
      </c>
      <c r="BE455" s="4">
        <f>_xlfn.XLOOKUP(CropNorms_Wheat[[#This Row],[LAI_Start_BBCH]], CropPhenology_Wheat[Sub_Stage], CropPhenology_Wheat[Start_GDD], "Not Found")</f>
        <v>151</v>
      </c>
      <c r="BF455" s="3">
        <f t="shared" si="285"/>
        <v>2.59</v>
      </c>
      <c r="BG45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5" s="3">
        <f>IF(CropNorms_Wheat[[#This Row],[Max_LAI]]&gt;=1.2, 0.85*CropNorms_Wheat[[#This Row],[Max_LAI]], 1)</f>
        <v>2.2014999999999998</v>
      </c>
      <c r="BI455" s="41">
        <f>_xlfn.XLOOKUP(CropNorms_Wheat[[#This Row],[LAI_End_BBCH]], CropPhenology_Wheat[Sub_Stage], CropPhenology_Wheat[End_GDD], "Not Found")</f>
        <v>1500</v>
      </c>
      <c r="BJ455" s="3" cm="1">
        <f t="array" ref="BJ45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5" s="3" cm="1">
        <f t="array" ref="BK45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55" s="3" cm="1">
        <f t="array" ref="BL45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55" s="3" cm="1">
        <f t="array" ref="BM45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5" s="42">
        <f>(0.28+0.4)/2</f>
        <v>0.34</v>
      </c>
      <c r="BO455" s="43">
        <v>0</v>
      </c>
      <c r="BP455" s="42">
        <v>2.7625000000000002</v>
      </c>
      <c r="BQ455" s="43" t="s">
        <v>1795</v>
      </c>
      <c r="BR455" s="3" t="str" cm="1">
        <f t="array" ref="BR45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5" s="3" t="str" cm="1">
        <f t="array" ref="BS45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5" s="3" t="str" cm="1">
        <f t="array" ref="BT45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5" s="3" t="str" cm="1">
        <f t="array" ref="BU45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5" s="48">
        <v>80</v>
      </c>
      <c r="BW455" s="1">
        <v>40</v>
      </c>
      <c r="BX455" s="44">
        <v>40</v>
      </c>
      <c r="BY455" s="151">
        <v>45962</v>
      </c>
      <c r="BZ455" s="151">
        <v>46022</v>
      </c>
      <c r="CA455" s="152">
        <v>0</v>
      </c>
      <c r="CB455" s="153">
        <v>0</v>
      </c>
      <c r="CC455" s="153">
        <v>1</v>
      </c>
      <c r="CD455" s="153">
        <v>1</v>
      </c>
      <c r="CE455" s="153">
        <v>1</v>
      </c>
      <c r="CF455" s="153">
        <v>0</v>
      </c>
      <c r="CG455" s="153">
        <v>0</v>
      </c>
      <c r="CH455" s="153">
        <v>0</v>
      </c>
      <c r="CI455" s="153">
        <v>0</v>
      </c>
      <c r="CJ455" s="153">
        <v>0</v>
      </c>
      <c r="CK455" s="153">
        <v>0</v>
      </c>
      <c r="CL455" s="153">
        <v>0</v>
      </c>
    </row>
    <row r="456" spans="2:90" x14ac:dyDescent="0.25">
      <c r="B456" s="27" t="s">
        <v>321</v>
      </c>
      <c r="C456" s="2" t="s">
        <v>322</v>
      </c>
      <c r="D456" s="2" t="s">
        <v>1832</v>
      </c>
      <c r="E456" s="2" t="s">
        <v>1835</v>
      </c>
      <c r="F456" s="90">
        <v>92</v>
      </c>
      <c r="G456" s="2" t="s">
        <v>2207</v>
      </c>
      <c r="H456" s="2" t="s">
        <v>2208</v>
      </c>
      <c r="I456" s="2" t="s">
        <v>1841</v>
      </c>
      <c r="J456" s="2" t="s">
        <v>2111</v>
      </c>
      <c r="K456" s="2" t="s">
        <v>1748</v>
      </c>
      <c r="L456" s="2" t="s">
        <v>1750</v>
      </c>
      <c r="M456" s="2" t="s">
        <v>358</v>
      </c>
      <c r="N456" s="49">
        <v>7.2605645166288886</v>
      </c>
      <c r="O456" s="2" t="s">
        <v>2078</v>
      </c>
      <c r="P456" s="2">
        <v>41</v>
      </c>
      <c r="Q456" s="2">
        <v>5</v>
      </c>
      <c r="R456" s="2">
        <v>6.7</v>
      </c>
      <c r="S456" s="2">
        <v>28</v>
      </c>
      <c r="T456" s="2">
        <v>35</v>
      </c>
      <c r="U456" s="251">
        <v>6</v>
      </c>
      <c r="V456" s="2">
        <v>122</v>
      </c>
      <c r="W456" s="86">
        <v>150</v>
      </c>
      <c r="X456" s="40">
        <f>_xlfn.XLOOKUP("Ripening", CropPhenology_Wheat[Main_Stage], CropPhenology_Wheat[Start_GDD], "Not Found")</f>
        <v>1501</v>
      </c>
      <c r="Y456" s="4" cm="1">
        <f t="array" ref="Y45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6" s="3">
        <f t="shared" si="283"/>
        <v>11.970546448087433</v>
      </c>
      <c r="AA456" s="41">
        <f t="shared" si="276"/>
        <v>142.0152377648235</v>
      </c>
      <c r="AB456" s="2">
        <v>7</v>
      </c>
      <c r="AC456" s="2">
        <v>5</v>
      </c>
      <c r="AD456" s="2">
        <v>2</v>
      </c>
      <c r="AE456" s="2">
        <v>80</v>
      </c>
      <c r="AF456" s="2">
        <v>0</v>
      </c>
      <c r="AG456" s="2">
        <v>5</v>
      </c>
      <c r="AH456" s="49">
        <f t="shared" si="271"/>
        <v>1.4012580842172935</v>
      </c>
      <c r="AI456" s="2">
        <v>5.5</v>
      </c>
      <c r="AJ456" s="2">
        <v>8</v>
      </c>
      <c r="AK456" s="165">
        <v>6</v>
      </c>
      <c r="AL456" s="166">
        <v>7.0999999999999994E-2</v>
      </c>
      <c r="AM456" s="2">
        <v>195</v>
      </c>
      <c r="AN456" s="2">
        <v>285</v>
      </c>
      <c r="AO456" s="85">
        <v>5</v>
      </c>
      <c r="AP456" s="86">
        <v>100</v>
      </c>
      <c r="AQ456" s="149">
        <v>0.8</v>
      </c>
      <c r="AR456" s="2">
        <v>20</v>
      </c>
      <c r="AS456" s="2">
        <v>2.5</v>
      </c>
      <c r="AT456" s="2">
        <v>1</v>
      </c>
      <c r="AU456" s="4">
        <f t="shared" si="277"/>
        <v>200</v>
      </c>
      <c r="AV456" s="3">
        <f t="shared" si="284"/>
        <v>82</v>
      </c>
      <c r="AW456" s="2">
        <v>90</v>
      </c>
      <c r="AX456" s="3">
        <f t="shared" si="278"/>
        <v>180</v>
      </c>
      <c r="AY456" s="2">
        <v>4</v>
      </c>
      <c r="AZ456" s="4">
        <f t="shared" si="279"/>
        <v>720</v>
      </c>
      <c r="BA456" s="49">
        <v>0.8</v>
      </c>
      <c r="BB456" s="4">
        <f t="shared" si="280"/>
        <v>576</v>
      </c>
      <c r="BC456" s="150">
        <v>8.0000000000000002E-3</v>
      </c>
      <c r="BD456" s="69">
        <f>IFERROR(
  MAX(0.05, MIN(0.5, CropNorms_Wheat[[#This Row],[Leaf_Area_Per_Shoot_m2]] * CropNorms_Wheat[[#This Row],[Shoot_Bearing_m2]] )),
  0.2
)</f>
        <v>0.5</v>
      </c>
      <c r="BE456" s="4">
        <f>_xlfn.XLOOKUP(CropNorms_Wheat[[#This Row],[LAI_Start_BBCH]], CropPhenology_Wheat[Sub_Stage], CropPhenology_Wheat[Start_GDD], "Not Found")</f>
        <v>151</v>
      </c>
      <c r="BF456" s="3">
        <f t="shared" si="285"/>
        <v>4.6100000000000003</v>
      </c>
      <c r="BG45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6" s="3">
        <f>IF(CropNorms_Wheat[[#This Row],[Max_LAI]]&gt;=1.2, 0.85*CropNorms_Wheat[[#This Row],[Max_LAI]], 1)</f>
        <v>3.9185000000000003</v>
      </c>
      <c r="BI456" s="41">
        <f>_xlfn.XLOOKUP(CropNorms_Wheat[[#This Row],[LAI_End_BBCH]], CropPhenology_Wheat[Sub_Stage], CropPhenology_Wheat[End_GDD], "Not Found")</f>
        <v>1500</v>
      </c>
      <c r="BJ456" s="3" cm="1">
        <f t="array" ref="BJ45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K456" s="3" cm="1">
        <f t="array" ref="BK45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56" s="3" cm="1">
        <f t="array" ref="BL45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56" s="3" cm="1">
        <f t="array" ref="BM45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6" s="42">
        <v>0.4</v>
      </c>
      <c r="BO456" s="43">
        <v>0</v>
      </c>
      <c r="BP456" s="42">
        <v>3.25</v>
      </c>
      <c r="BQ456" s="43" t="s">
        <v>1795</v>
      </c>
      <c r="BR456" s="3" t="str" cm="1">
        <f t="array" ref="BR45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6" s="3" t="str" cm="1">
        <f t="array" ref="BS45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6" s="3" t="str" cm="1">
        <f t="array" ref="BT45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6" s="3" t="str" cm="1">
        <f t="array" ref="BU45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6" s="48">
        <v>80</v>
      </c>
      <c r="BW456" s="1">
        <v>40</v>
      </c>
      <c r="BX456" s="44">
        <v>40</v>
      </c>
      <c r="BY456" s="151">
        <v>45962</v>
      </c>
      <c r="BZ456" s="151">
        <v>46022</v>
      </c>
      <c r="CA456" s="152">
        <v>0</v>
      </c>
      <c r="CB456" s="153">
        <v>0</v>
      </c>
      <c r="CC456" s="153">
        <v>1</v>
      </c>
      <c r="CD456" s="153">
        <v>1</v>
      </c>
      <c r="CE456" s="153">
        <v>1</v>
      </c>
      <c r="CF456" s="153">
        <v>0</v>
      </c>
      <c r="CG456" s="153">
        <v>0</v>
      </c>
      <c r="CH456" s="153">
        <v>0</v>
      </c>
      <c r="CI456" s="153">
        <v>0</v>
      </c>
      <c r="CJ456" s="153">
        <v>0</v>
      </c>
      <c r="CK456" s="153">
        <v>0</v>
      </c>
      <c r="CL456" s="153">
        <v>0</v>
      </c>
    </row>
    <row r="457" spans="2:90" x14ac:dyDescent="0.25">
      <c r="B457" s="27" t="s">
        <v>321</v>
      </c>
      <c r="C457" s="2" t="s">
        <v>2209</v>
      </c>
      <c r="D457" s="2" t="s">
        <v>1832</v>
      </c>
      <c r="E457" s="2" t="s">
        <v>2127</v>
      </c>
      <c r="F457" s="90">
        <v>86</v>
      </c>
      <c r="G457" s="2" t="s">
        <v>2210</v>
      </c>
      <c r="H457" s="2" t="s">
        <v>2208</v>
      </c>
      <c r="I457" s="2"/>
      <c r="J457" s="2" t="s">
        <v>1156</v>
      </c>
      <c r="K457" s="2" t="s">
        <v>1748</v>
      </c>
      <c r="L457" s="2" t="s">
        <v>1750</v>
      </c>
      <c r="M457" s="2" t="s">
        <v>358</v>
      </c>
      <c r="N457" s="49"/>
      <c r="O457" s="2" t="s">
        <v>2141</v>
      </c>
      <c r="P457" s="2">
        <v>40</v>
      </c>
      <c r="Q457" s="2">
        <v>5</v>
      </c>
      <c r="R457" s="2">
        <v>6.7</v>
      </c>
      <c r="S457" s="2">
        <v>28</v>
      </c>
      <c r="T457" s="2">
        <v>35</v>
      </c>
      <c r="U457" s="251">
        <v>6</v>
      </c>
      <c r="V457" s="2">
        <v>116</v>
      </c>
      <c r="W457" s="86">
        <v>139</v>
      </c>
      <c r="X457" s="40">
        <f>_xlfn.XLOOKUP("Ripening", CropPhenology_Wheat[Main_Stage], CropPhenology_Wheat[Start_GDD], "Not Found")</f>
        <v>1501</v>
      </c>
      <c r="Y457" s="4" cm="1">
        <f t="array" ref="Y45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7" s="3">
        <f t="shared" si="283"/>
        <v>12.726866782436119</v>
      </c>
      <c r="AA457" s="41">
        <f t="shared" si="276"/>
        <v>133.57568905695686</v>
      </c>
      <c r="AB457" s="2">
        <v>7</v>
      </c>
      <c r="AC457" s="2">
        <v>5</v>
      </c>
      <c r="AD457" s="2">
        <v>2</v>
      </c>
      <c r="AE457" s="2">
        <v>80</v>
      </c>
      <c r="AF457" s="2">
        <v>0</v>
      </c>
      <c r="AG457" s="2">
        <v>5</v>
      </c>
      <c r="AH457" s="49">
        <f t="shared" si="271"/>
        <v>1.4897920527675221</v>
      </c>
      <c r="AI457" s="2">
        <v>5.5</v>
      </c>
      <c r="AJ457" s="2">
        <v>8</v>
      </c>
      <c r="AK457" s="165">
        <v>6</v>
      </c>
      <c r="AL457" s="166">
        <v>7.0999999999999994E-2</v>
      </c>
      <c r="AM457" s="2">
        <v>195</v>
      </c>
      <c r="AN457" s="2">
        <v>285</v>
      </c>
      <c r="AO457" s="85">
        <v>5</v>
      </c>
      <c r="AP457" s="86">
        <v>100</v>
      </c>
      <c r="AQ457" s="149">
        <v>0.6</v>
      </c>
      <c r="AR457" s="2">
        <v>20</v>
      </c>
      <c r="AS457" s="2">
        <v>2.5</v>
      </c>
      <c r="AT457" s="2">
        <v>1</v>
      </c>
      <c r="AU457" s="4">
        <f t="shared" si="277"/>
        <v>200</v>
      </c>
      <c r="AV457" s="3">
        <f t="shared" si="284"/>
        <v>80</v>
      </c>
      <c r="AW457" s="2">
        <v>90</v>
      </c>
      <c r="AX457" s="3">
        <f t="shared" si="278"/>
        <v>180</v>
      </c>
      <c r="AY457" s="2">
        <v>5</v>
      </c>
      <c r="AZ457" s="4">
        <f t="shared" si="279"/>
        <v>900</v>
      </c>
      <c r="BA457" s="49">
        <v>0.6</v>
      </c>
      <c r="BB457" s="4">
        <f t="shared" si="280"/>
        <v>540</v>
      </c>
      <c r="BC457" s="150">
        <v>6.0000000000000001E-3</v>
      </c>
      <c r="BD457" s="69">
        <f>IFERROR(
  MAX(0.05, MIN(0.5, CropNorms_Wheat[[#This Row],[Leaf_Area_Per_Shoot_m2]] * CropNorms_Wheat[[#This Row],[Shoot_Bearing_m2]] )),
  0.2
)</f>
        <v>0.5</v>
      </c>
      <c r="BE457" s="4">
        <f>_xlfn.XLOOKUP(CropNorms_Wheat[[#This Row],[LAI_Start_BBCH]], CropPhenology_Wheat[Sub_Stage], CropPhenology_Wheat[Start_GDD], "Not Found")</f>
        <v>151</v>
      </c>
      <c r="BF457" s="3">
        <f t="shared" si="285"/>
        <v>3.24</v>
      </c>
      <c r="BG45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7" s="3">
        <f>IF(CropNorms_Wheat[[#This Row],[Max_LAI]]&gt;=1.2, 0.85*CropNorms_Wheat[[#This Row],[Max_LAI]], 1)</f>
        <v>2.754</v>
      </c>
      <c r="BI457" s="41">
        <f>_xlfn.XLOOKUP(CropNorms_Wheat[[#This Row],[LAI_End_BBCH]], CropPhenology_Wheat[Sub_Stage], CropPhenology_Wheat[End_GDD], "Not Found")</f>
        <v>1500</v>
      </c>
      <c r="BJ457" s="3" cm="1">
        <f t="array" ref="BJ45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7" s="3" cm="1">
        <f t="array" ref="BK45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0.93777306814087813</v>
      </c>
      <c r="BL457" s="3" cm="1">
        <f t="array" ref="BL45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1.5423394808528104</v>
      </c>
      <c r="BM457" s="3" cm="1">
        <f t="array" ref="BM45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7" s="42">
        <f>(0.28+0.4)/2</f>
        <v>0.34</v>
      </c>
      <c r="BO457" s="43">
        <v>0</v>
      </c>
      <c r="BP457" s="42">
        <v>2.7625000000000002</v>
      </c>
      <c r="BQ457" s="43" t="s">
        <v>1795</v>
      </c>
      <c r="BR457" s="3" t="str" cm="1">
        <f t="array" ref="BR45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7" s="3" t="str" cm="1">
        <f t="array" ref="BS45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7" s="3" t="str" cm="1">
        <f t="array" ref="BT45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7" s="3" t="str" cm="1">
        <f t="array" ref="BU45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7" s="48">
        <v>80</v>
      </c>
      <c r="BW457" s="1">
        <v>40</v>
      </c>
      <c r="BX457" s="44">
        <v>40</v>
      </c>
      <c r="BY457" s="151">
        <v>45962</v>
      </c>
      <c r="BZ457" s="151">
        <v>46022</v>
      </c>
      <c r="CA457" s="152">
        <v>0</v>
      </c>
      <c r="CB457" s="153">
        <v>0</v>
      </c>
      <c r="CC457" s="153">
        <v>1</v>
      </c>
      <c r="CD457" s="153">
        <v>1</v>
      </c>
      <c r="CE457" s="153">
        <v>1</v>
      </c>
      <c r="CF457" s="153">
        <v>0</v>
      </c>
      <c r="CG457" s="153">
        <v>0</v>
      </c>
      <c r="CH457" s="153">
        <v>0</v>
      </c>
      <c r="CI457" s="153">
        <v>0</v>
      </c>
      <c r="CJ457" s="153">
        <v>0</v>
      </c>
      <c r="CK457" s="153">
        <v>0</v>
      </c>
      <c r="CL457" s="153">
        <v>0</v>
      </c>
    </row>
    <row r="458" spans="2:90" x14ac:dyDescent="0.25">
      <c r="B458" s="27" t="s">
        <v>321</v>
      </c>
      <c r="C458" s="2" t="s">
        <v>2211</v>
      </c>
      <c r="D458" s="2" t="s">
        <v>1832</v>
      </c>
      <c r="E458" s="2" t="s">
        <v>2127</v>
      </c>
      <c r="F458" s="90">
        <v>120</v>
      </c>
      <c r="G458" s="2" t="s">
        <v>2212</v>
      </c>
      <c r="H458" s="2" t="s">
        <v>2213</v>
      </c>
      <c r="I458" s="2"/>
      <c r="J458" s="2" t="s">
        <v>1156</v>
      </c>
      <c r="K458" s="2" t="s">
        <v>1748</v>
      </c>
      <c r="L458" s="2" t="s">
        <v>1750</v>
      </c>
      <c r="M458" s="2" t="s">
        <v>358</v>
      </c>
      <c r="N458" s="49"/>
      <c r="O458" s="2" t="s">
        <v>2141</v>
      </c>
      <c r="P458" s="2">
        <v>36</v>
      </c>
      <c r="Q458" s="2">
        <v>5</v>
      </c>
      <c r="R458" s="2">
        <v>6.7</v>
      </c>
      <c r="S458" s="2">
        <v>28</v>
      </c>
      <c r="T458" s="2">
        <v>35</v>
      </c>
      <c r="U458" s="251">
        <v>6</v>
      </c>
      <c r="V458" s="2">
        <v>134</v>
      </c>
      <c r="W458" s="86">
        <v>160</v>
      </c>
      <c r="X458" s="40">
        <f>_xlfn.XLOOKUP("Ripening", CropPhenology_Wheat[Main_Stage], CropPhenology_Wheat[Start_GDD], "Not Found")</f>
        <v>1501</v>
      </c>
      <c r="Y458" s="4" cm="1">
        <f t="array" ref="Y45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8" s="3">
        <f t="shared" si="283"/>
        <v>11.033908582089552</v>
      </c>
      <c r="AA458" s="41">
        <f t="shared" si="276"/>
        <v>154.0705170205481</v>
      </c>
      <c r="AB458" s="2">
        <v>6</v>
      </c>
      <c r="AC458" s="2">
        <v>5</v>
      </c>
      <c r="AD458" s="2">
        <v>2</v>
      </c>
      <c r="AE458" s="2">
        <v>80</v>
      </c>
      <c r="AF458" s="2">
        <v>0</v>
      </c>
      <c r="AG458" s="2">
        <v>5</v>
      </c>
      <c r="AH458" s="49">
        <f t="shared" si="271"/>
        <v>1.2916163575504829</v>
      </c>
      <c r="AI458" s="2">
        <v>5.5</v>
      </c>
      <c r="AJ458" s="2">
        <v>8</v>
      </c>
      <c r="AK458" s="165">
        <v>6</v>
      </c>
      <c r="AL458" s="166">
        <v>7.0999999999999994E-2</v>
      </c>
      <c r="AM458" s="2">
        <v>195</v>
      </c>
      <c r="AN458" s="2">
        <v>285</v>
      </c>
      <c r="AO458" s="85">
        <v>5</v>
      </c>
      <c r="AP458" s="86">
        <v>100</v>
      </c>
      <c r="AQ458" s="149">
        <v>0.6</v>
      </c>
      <c r="AR458" s="2">
        <v>20</v>
      </c>
      <c r="AS458" s="2">
        <v>2.5</v>
      </c>
      <c r="AT458" s="2">
        <v>1</v>
      </c>
      <c r="AU458" s="4">
        <f t="shared" si="277"/>
        <v>200</v>
      </c>
      <c r="AV458" s="3">
        <f t="shared" si="284"/>
        <v>72</v>
      </c>
      <c r="AW458" s="2">
        <v>90</v>
      </c>
      <c r="AX458" s="3">
        <f t="shared" si="278"/>
        <v>180</v>
      </c>
      <c r="AY458" s="2">
        <v>4</v>
      </c>
      <c r="AZ458" s="4">
        <f t="shared" si="279"/>
        <v>720</v>
      </c>
      <c r="BA458" s="49">
        <v>0.6</v>
      </c>
      <c r="BB458" s="4">
        <f t="shared" si="280"/>
        <v>432</v>
      </c>
      <c r="BC458" s="150">
        <v>6.0000000000000001E-3</v>
      </c>
      <c r="BD458" s="69">
        <f>IFERROR(
  MAX(0.05, MIN(0.5, CropNorms_Wheat[[#This Row],[Leaf_Area_Per_Shoot_m2]] * CropNorms_Wheat[[#This Row],[Shoot_Bearing_m2]] )),
  0.2
)</f>
        <v>0.5</v>
      </c>
      <c r="BE458" s="4">
        <f>_xlfn.XLOOKUP(CropNorms_Wheat[[#This Row],[LAI_Start_BBCH]], CropPhenology_Wheat[Sub_Stage], CropPhenology_Wheat[Start_GDD], "Not Found")</f>
        <v>151</v>
      </c>
      <c r="BF458" s="3">
        <f t="shared" si="285"/>
        <v>2.59</v>
      </c>
      <c r="BG45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8" s="3">
        <f>IF(CropNorms_Wheat[[#This Row],[Max_LAI]]&gt;=1.2, 0.85*CropNorms_Wheat[[#This Row],[Max_LAI]], 1)</f>
        <v>2.2014999999999998</v>
      </c>
      <c r="BI458" s="41">
        <f>_xlfn.XLOOKUP(CropNorms_Wheat[[#This Row],[LAI_End_BBCH]], CropPhenology_Wheat[Sub_Stage], CropPhenology_Wheat[End_GDD], "Not Found")</f>
        <v>1500</v>
      </c>
      <c r="BJ458" s="3" cm="1">
        <f t="array" ref="BJ45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8" s="3" cm="1">
        <f t="array" ref="BK45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58" s="3" cm="1">
        <f t="array" ref="BL45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58" s="3" cm="1">
        <f t="array" ref="BM45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8" s="42">
        <f>(0.28+0.4)/2</f>
        <v>0.34</v>
      </c>
      <c r="BO458" s="43">
        <v>0</v>
      </c>
      <c r="BP458" s="42">
        <v>2.7625000000000002</v>
      </c>
      <c r="BQ458" s="43" t="s">
        <v>1795</v>
      </c>
      <c r="BR458" s="3" t="str" cm="1">
        <f t="array" ref="BR45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8" s="3" t="str" cm="1">
        <f t="array" ref="BS45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8" s="3" t="str" cm="1">
        <f t="array" ref="BT45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8" s="3" t="str" cm="1">
        <f t="array" ref="BU45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8" s="48">
        <v>80</v>
      </c>
      <c r="BW458" s="1">
        <v>40</v>
      </c>
      <c r="BX458" s="44">
        <v>40</v>
      </c>
      <c r="BY458" s="151">
        <v>45962</v>
      </c>
      <c r="BZ458" s="151">
        <v>46022</v>
      </c>
      <c r="CA458" s="152">
        <v>0</v>
      </c>
      <c r="CB458" s="153">
        <v>0</v>
      </c>
      <c r="CC458" s="153">
        <v>1</v>
      </c>
      <c r="CD458" s="153">
        <v>1</v>
      </c>
      <c r="CE458" s="153">
        <v>1</v>
      </c>
      <c r="CF458" s="153">
        <v>0</v>
      </c>
      <c r="CG458" s="153">
        <v>0</v>
      </c>
      <c r="CH458" s="153">
        <v>0</v>
      </c>
      <c r="CI458" s="153">
        <v>0</v>
      </c>
      <c r="CJ458" s="153">
        <v>0</v>
      </c>
      <c r="CK458" s="153">
        <v>0</v>
      </c>
      <c r="CL458" s="153">
        <v>0</v>
      </c>
    </row>
    <row r="459" spans="2:90" x14ac:dyDescent="0.25">
      <c r="B459" s="27" t="s">
        <v>321</v>
      </c>
      <c r="C459" s="2" t="s">
        <v>2214</v>
      </c>
      <c r="D459" s="2" t="s">
        <v>2126</v>
      </c>
      <c r="E459" s="2" t="s">
        <v>1835</v>
      </c>
      <c r="F459" s="90">
        <v>95</v>
      </c>
      <c r="G459" s="2" t="s">
        <v>2215</v>
      </c>
      <c r="H459" s="2"/>
      <c r="I459" s="2" t="s">
        <v>2216</v>
      </c>
      <c r="J459" s="2"/>
      <c r="K459" s="2" t="s">
        <v>1748</v>
      </c>
      <c r="L459" s="2" t="s">
        <v>1750</v>
      </c>
      <c r="M459" s="2" t="s">
        <v>358</v>
      </c>
      <c r="N459" s="49"/>
      <c r="O459" s="2" t="s">
        <v>2078</v>
      </c>
      <c r="P459" s="2">
        <v>42</v>
      </c>
      <c r="Q459" s="2">
        <v>5</v>
      </c>
      <c r="R459" s="2">
        <v>6.7</v>
      </c>
      <c r="S459" s="2">
        <v>28</v>
      </c>
      <c r="T459" s="2">
        <v>35</v>
      </c>
      <c r="U459" s="251">
        <v>6</v>
      </c>
      <c r="V459" s="2">
        <v>125</v>
      </c>
      <c r="W459" s="86">
        <v>135</v>
      </c>
      <c r="X459" s="40">
        <f>_xlfn.XLOOKUP("Ripening", CropPhenology_Wheat[Main_Stage], CropPhenology_Wheat[Start_GDD], "Not Found")</f>
        <v>1501</v>
      </c>
      <c r="Y459" s="4" cm="1">
        <f t="array" ref="Y45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59" s="3">
        <f t="shared" si="283"/>
        <v>12.359259259259259</v>
      </c>
      <c r="AA459" s="41">
        <f t="shared" si="276"/>
        <v>137.54869643392269</v>
      </c>
      <c r="AB459" s="2">
        <v>9</v>
      </c>
      <c r="AC459" s="2">
        <v>5</v>
      </c>
      <c r="AD459" s="2">
        <v>2</v>
      </c>
      <c r="AE459" s="2">
        <v>80</v>
      </c>
      <c r="AF459" s="2">
        <v>0</v>
      </c>
      <c r="AG459" s="2">
        <v>5</v>
      </c>
      <c r="AH459" s="49">
        <f t="shared" si="271"/>
        <v>1.446760348583878</v>
      </c>
      <c r="AI459" s="2">
        <v>5.5</v>
      </c>
      <c r="AJ459" s="2">
        <v>8</v>
      </c>
      <c r="AK459" s="165">
        <v>6</v>
      </c>
      <c r="AL459" s="166">
        <v>7.0999999999999994E-2</v>
      </c>
      <c r="AM459" s="2">
        <v>195</v>
      </c>
      <c r="AN459" s="2">
        <v>285</v>
      </c>
      <c r="AO459" s="85">
        <v>5</v>
      </c>
      <c r="AP459" s="86">
        <v>100</v>
      </c>
      <c r="AQ459" s="149">
        <v>0.8</v>
      </c>
      <c r="AR459" s="2">
        <v>20</v>
      </c>
      <c r="AS459" s="2">
        <v>2.5</v>
      </c>
      <c r="AT459" s="2">
        <v>1</v>
      </c>
      <c r="AU459" s="4">
        <f t="shared" si="277"/>
        <v>200</v>
      </c>
      <c r="AV459" s="3">
        <f t="shared" si="284"/>
        <v>84</v>
      </c>
      <c r="AW459" s="2">
        <v>90</v>
      </c>
      <c r="AX459" s="3">
        <f t="shared" si="278"/>
        <v>180</v>
      </c>
      <c r="AY459" s="2">
        <v>4</v>
      </c>
      <c r="AZ459" s="4">
        <f t="shared" si="279"/>
        <v>720</v>
      </c>
      <c r="BA459" s="49">
        <v>0.8</v>
      </c>
      <c r="BB459" s="4">
        <f t="shared" si="280"/>
        <v>576</v>
      </c>
      <c r="BC459" s="150">
        <v>8.0000000000000002E-3</v>
      </c>
      <c r="BD459" s="69">
        <f>IFERROR(
  MAX(0.05, MIN(0.5, CropNorms_Wheat[[#This Row],[Leaf_Area_Per_Shoot_m2]] * CropNorms_Wheat[[#This Row],[Shoot_Bearing_m2]] )),
  0.2
)</f>
        <v>0.5</v>
      </c>
      <c r="BE459" s="4">
        <f>_xlfn.XLOOKUP(CropNorms_Wheat[[#This Row],[LAI_Start_BBCH]], CropPhenology_Wheat[Sub_Stage], CropPhenology_Wheat[Start_GDD], "Not Found")</f>
        <v>151</v>
      </c>
      <c r="BF459" s="3">
        <f t="shared" si="285"/>
        <v>4.6100000000000003</v>
      </c>
      <c r="BG45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59" s="3">
        <f>IF(CropNorms_Wheat[[#This Row],[Max_LAI]]&gt;=1.2, 0.85*CropNorms_Wheat[[#This Row],[Max_LAI]], 1)</f>
        <v>3.9185000000000003</v>
      </c>
      <c r="BI459" s="41">
        <f>_xlfn.XLOOKUP(CropNorms_Wheat[[#This Row],[LAI_End_BBCH]], CropPhenology_Wheat[Sub_Stage], CropPhenology_Wheat[End_GDD], "Not Found")</f>
        <v>1500</v>
      </c>
      <c r="BJ459" s="3" cm="1">
        <f t="array" ref="BJ45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59" s="3" cm="1">
        <f t="array" ref="BK45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59" s="3" cm="1">
        <f t="array" ref="BL45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59" s="3" cm="1">
        <f t="array" ref="BM45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59" s="42">
        <v>0.36890000000000001</v>
      </c>
      <c r="BO459" s="43">
        <v>0</v>
      </c>
      <c r="BP459" s="42">
        <v>2.9973125</v>
      </c>
      <c r="BQ459" s="43" t="s">
        <v>1795</v>
      </c>
      <c r="BR459" s="3" t="str" cm="1">
        <f t="array" ref="BR45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59" s="3" t="str" cm="1">
        <f t="array" ref="BS45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59" s="3" t="str" cm="1">
        <f t="array" ref="BT45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59" s="3" t="str" cm="1">
        <f t="array" ref="BU45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59" s="48">
        <v>80</v>
      </c>
      <c r="BW459" s="1">
        <v>40</v>
      </c>
      <c r="BX459" s="44">
        <v>40</v>
      </c>
      <c r="BY459" s="151">
        <v>45962</v>
      </c>
      <c r="BZ459" s="151">
        <v>46022</v>
      </c>
      <c r="CA459" s="152">
        <v>0</v>
      </c>
      <c r="CB459" s="153">
        <v>0</v>
      </c>
      <c r="CC459" s="153">
        <v>1</v>
      </c>
      <c r="CD459" s="153">
        <v>1</v>
      </c>
      <c r="CE459" s="153">
        <v>1</v>
      </c>
      <c r="CF459" s="153">
        <v>0</v>
      </c>
      <c r="CG459" s="153">
        <v>0</v>
      </c>
      <c r="CH459" s="153">
        <v>0</v>
      </c>
      <c r="CI459" s="153">
        <v>0</v>
      </c>
      <c r="CJ459" s="153">
        <v>0</v>
      </c>
      <c r="CK459" s="153">
        <v>0</v>
      </c>
      <c r="CL459" s="153">
        <v>0</v>
      </c>
    </row>
    <row r="460" spans="2:90" x14ac:dyDescent="0.25">
      <c r="B460" s="27" t="s">
        <v>321</v>
      </c>
      <c r="C460" s="2" t="s">
        <v>2217</v>
      </c>
      <c r="D460" s="2" t="s">
        <v>1832</v>
      </c>
      <c r="E460" s="2" t="s">
        <v>1835</v>
      </c>
      <c r="F460" s="90">
        <v>105</v>
      </c>
      <c r="G460" s="154" t="s">
        <v>2218</v>
      </c>
      <c r="H460" s="2" t="s">
        <v>2219</v>
      </c>
      <c r="I460" s="2"/>
      <c r="J460" s="2" t="s">
        <v>2170</v>
      </c>
      <c r="K460" s="2" t="s">
        <v>1748</v>
      </c>
      <c r="L460" s="2" t="s">
        <v>1750</v>
      </c>
      <c r="M460" s="2" t="s">
        <v>358</v>
      </c>
      <c r="N460" s="49"/>
      <c r="O460" s="2" t="s">
        <v>2078</v>
      </c>
      <c r="P460" s="2">
        <v>37</v>
      </c>
      <c r="Q460" s="2">
        <v>5</v>
      </c>
      <c r="R460" s="2">
        <v>6.7</v>
      </c>
      <c r="S460" s="2">
        <v>28</v>
      </c>
      <c r="T460" s="2">
        <v>35</v>
      </c>
      <c r="U460" s="251">
        <v>6</v>
      </c>
      <c r="V460" s="2">
        <v>120</v>
      </c>
      <c r="W460" s="86">
        <v>155</v>
      </c>
      <c r="X460" s="40">
        <f>_xlfn.XLOOKUP("Ripening", CropPhenology_Wheat[Main_Stage], CropPhenology_Wheat[Start_GDD], "Not Found")</f>
        <v>1501</v>
      </c>
      <c r="Y460" s="4" cm="1">
        <f t="array" ref="Y46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0" s="3">
        <f t="shared" si="283"/>
        <v>11.925268817204302</v>
      </c>
      <c r="AA460" s="41">
        <f t="shared" si="276"/>
        <v>142.55443848338669</v>
      </c>
      <c r="AB460" s="2">
        <v>7</v>
      </c>
      <c r="AC460" s="2">
        <v>5</v>
      </c>
      <c r="AD460" s="2">
        <v>2</v>
      </c>
      <c r="AE460" s="2">
        <v>80</v>
      </c>
      <c r="AF460" s="2">
        <v>0</v>
      </c>
      <c r="AG460" s="2">
        <v>5</v>
      </c>
      <c r="AH460" s="49">
        <f t="shared" si="271"/>
        <v>1.3959579380139151</v>
      </c>
      <c r="AI460" s="2">
        <v>5.5</v>
      </c>
      <c r="AJ460" s="2">
        <v>8</v>
      </c>
      <c r="AK460" s="165">
        <v>6</v>
      </c>
      <c r="AL460" s="166">
        <v>7.0999999999999994E-2</v>
      </c>
      <c r="AM460" s="2">
        <v>195</v>
      </c>
      <c r="AN460" s="2">
        <v>285</v>
      </c>
      <c r="AO460" s="85">
        <v>5</v>
      </c>
      <c r="AP460" s="86">
        <v>100</v>
      </c>
      <c r="AQ460" s="149">
        <v>0.8</v>
      </c>
      <c r="AR460" s="2">
        <v>20</v>
      </c>
      <c r="AS460" s="2">
        <v>2.5</v>
      </c>
      <c r="AT460" s="2">
        <v>1</v>
      </c>
      <c r="AU460" s="4">
        <f t="shared" si="277"/>
        <v>200</v>
      </c>
      <c r="AV460" s="3">
        <f t="shared" si="284"/>
        <v>74</v>
      </c>
      <c r="AW460" s="2">
        <v>90</v>
      </c>
      <c r="AX460" s="3">
        <f t="shared" si="278"/>
        <v>180</v>
      </c>
      <c r="AY460" s="2">
        <v>4</v>
      </c>
      <c r="AZ460" s="4">
        <f t="shared" si="279"/>
        <v>720</v>
      </c>
      <c r="BA460" s="49">
        <v>0.8</v>
      </c>
      <c r="BB460" s="4">
        <f t="shared" si="280"/>
        <v>576</v>
      </c>
      <c r="BC460" s="150">
        <v>8.0000000000000002E-3</v>
      </c>
      <c r="BD460" s="69">
        <f>IFERROR(
  MAX(0.05, MIN(0.5, CropNorms_Wheat[[#This Row],[Leaf_Area_Per_Shoot_m2]] * CropNorms_Wheat[[#This Row],[Shoot_Bearing_m2]] )),
  0.2
)</f>
        <v>0.5</v>
      </c>
      <c r="BE460" s="4">
        <f>_xlfn.XLOOKUP(CropNorms_Wheat[[#This Row],[LAI_Start_BBCH]], CropPhenology_Wheat[Sub_Stage], CropPhenology_Wheat[Start_GDD], "Not Found")</f>
        <v>151</v>
      </c>
      <c r="BF460" s="3">
        <f t="shared" si="285"/>
        <v>4.6100000000000003</v>
      </c>
      <c r="BG46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0" s="3">
        <f>IF(CropNorms_Wheat[[#This Row],[Max_LAI]]&gt;=1.2, 0.85*CropNorms_Wheat[[#This Row],[Max_LAI]], 1)</f>
        <v>3.9185000000000003</v>
      </c>
      <c r="BI460" s="41">
        <f>_xlfn.XLOOKUP(CropNorms_Wheat[[#This Row],[LAI_End_BBCH]], CropPhenology_Wheat[Sub_Stage], CropPhenology_Wheat[End_GDD], "Not Found")</f>
        <v>1500</v>
      </c>
      <c r="BJ460" s="3" cm="1">
        <f t="array" ref="BJ46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0" s="3" cm="1">
        <f t="array" ref="BK46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0" s="3" cm="1">
        <f t="array" ref="BL46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0" s="3" cm="1">
        <f t="array" ref="BM46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0" s="42">
        <f>(0.28+0.4)/2</f>
        <v>0.34</v>
      </c>
      <c r="BO460" s="43">
        <v>0</v>
      </c>
      <c r="BP460" s="42">
        <v>2.7625000000000002</v>
      </c>
      <c r="BQ460" s="43" t="s">
        <v>1795</v>
      </c>
      <c r="BR460" s="3" t="str" cm="1">
        <f t="array" ref="BR46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0" s="3" t="str" cm="1">
        <f t="array" ref="BS46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0" s="3" t="str" cm="1">
        <f t="array" ref="BT46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0" s="3" t="str" cm="1">
        <f t="array" ref="BU46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0" s="48">
        <v>80</v>
      </c>
      <c r="BW460" s="1">
        <v>40</v>
      </c>
      <c r="BX460" s="44">
        <v>40</v>
      </c>
      <c r="BY460" s="151">
        <v>45962</v>
      </c>
      <c r="BZ460" s="151">
        <v>46022</v>
      </c>
      <c r="CA460" s="152">
        <v>0</v>
      </c>
      <c r="CB460" s="153">
        <v>0</v>
      </c>
      <c r="CC460" s="153">
        <v>1</v>
      </c>
      <c r="CD460" s="153">
        <v>1</v>
      </c>
      <c r="CE460" s="153">
        <v>1</v>
      </c>
      <c r="CF460" s="153">
        <v>0</v>
      </c>
      <c r="CG460" s="153">
        <v>0</v>
      </c>
      <c r="CH460" s="153">
        <v>0</v>
      </c>
      <c r="CI460" s="153">
        <v>0</v>
      </c>
      <c r="CJ460" s="153">
        <v>0</v>
      </c>
      <c r="CK460" s="153">
        <v>0</v>
      </c>
      <c r="CL460" s="153">
        <v>0</v>
      </c>
    </row>
    <row r="461" spans="2:90" x14ac:dyDescent="0.25">
      <c r="B461" s="27" t="s">
        <v>321</v>
      </c>
      <c r="C461" s="2" t="s">
        <v>2220</v>
      </c>
      <c r="D461" s="2" t="s">
        <v>1832</v>
      </c>
      <c r="E461" s="2" t="s">
        <v>2167</v>
      </c>
      <c r="F461" s="90">
        <v>115</v>
      </c>
      <c r="G461" s="2" t="s">
        <v>2221</v>
      </c>
      <c r="H461" s="2" t="s">
        <v>2208</v>
      </c>
      <c r="I461" s="2" t="s">
        <v>1841</v>
      </c>
      <c r="J461" s="2" t="s">
        <v>2341</v>
      </c>
      <c r="K461" s="2" t="s">
        <v>1748</v>
      </c>
      <c r="L461" s="2" t="s">
        <v>1750</v>
      </c>
      <c r="M461" s="2" t="s">
        <v>358</v>
      </c>
      <c r="N461" s="49"/>
      <c r="O461" s="2" t="s">
        <v>2078</v>
      </c>
      <c r="P461" s="2">
        <v>38</v>
      </c>
      <c r="Q461" s="2">
        <v>5</v>
      </c>
      <c r="R461" s="2">
        <v>6.7</v>
      </c>
      <c r="S461" s="2">
        <v>28</v>
      </c>
      <c r="T461" s="2">
        <v>35</v>
      </c>
      <c r="U461" s="251">
        <v>6</v>
      </c>
      <c r="V461" s="2">
        <v>115</v>
      </c>
      <c r="W461" s="86">
        <v>150</v>
      </c>
      <c r="X461" s="40">
        <f>_xlfn.XLOOKUP("Ripening", CropPhenology_Wheat[Main_Stage], CropPhenology_Wheat[Start_GDD], "Not Found")</f>
        <v>1501</v>
      </c>
      <c r="Y461" s="4" cm="1">
        <f t="array" ref="Y46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1" s="3">
        <f t="shared" si="283"/>
        <v>12.39463768115942</v>
      </c>
      <c r="AA461" s="41">
        <f t="shared" si="276"/>
        <v>137.15608666674461</v>
      </c>
      <c r="AB461" s="2">
        <v>7</v>
      </c>
      <c r="AC461" s="2">
        <v>5</v>
      </c>
      <c r="AD461" s="2">
        <v>2</v>
      </c>
      <c r="AE461" s="2">
        <v>80</v>
      </c>
      <c r="AF461" s="2">
        <v>0</v>
      </c>
      <c r="AG461" s="2">
        <v>5</v>
      </c>
      <c r="AH461" s="49">
        <f t="shared" si="271"/>
        <v>1.4509017050298381</v>
      </c>
      <c r="AI461" s="2">
        <v>5.5</v>
      </c>
      <c r="AJ461" s="2">
        <v>8</v>
      </c>
      <c r="AK461" s="165">
        <v>6</v>
      </c>
      <c r="AL461" s="166">
        <v>7.0999999999999994E-2</v>
      </c>
      <c r="AM461" s="2">
        <v>195</v>
      </c>
      <c r="AN461" s="2">
        <v>285</v>
      </c>
      <c r="AO461" s="85">
        <v>5</v>
      </c>
      <c r="AP461" s="86">
        <v>100</v>
      </c>
      <c r="AQ461" s="149">
        <v>0.8</v>
      </c>
      <c r="AR461" s="2">
        <v>20</v>
      </c>
      <c r="AS461" s="2">
        <v>2.5</v>
      </c>
      <c r="AT461" s="2">
        <v>1</v>
      </c>
      <c r="AU461" s="4">
        <f t="shared" si="277"/>
        <v>200</v>
      </c>
      <c r="AV461" s="3">
        <f t="shared" si="284"/>
        <v>76</v>
      </c>
      <c r="AW461" s="2">
        <v>90</v>
      </c>
      <c r="AX461" s="3">
        <f t="shared" si="278"/>
        <v>180</v>
      </c>
      <c r="AY461" s="2">
        <v>4</v>
      </c>
      <c r="AZ461" s="4">
        <f t="shared" si="279"/>
        <v>720</v>
      </c>
      <c r="BA461" s="49">
        <v>0.8</v>
      </c>
      <c r="BB461" s="4">
        <f t="shared" si="280"/>
        <v>576</v>
      </c>
      <c r="BC461" s="150">
        <v>8.0000000000000002E-3</v>
      </c>
      <c r="BD461" s="69">
        <f>IFERROR(
  MAX(0.05, MIN(0.5, CropNorms_Wheat[[#This Row],[Leaf_Area_Per_Shoot_m2]] * CropNorms_Wheat[[#This Row],[Shoot_Bearing_m2]] )),
  0.2
)</f>
        <v>0.5</v>
      </c>
      <c r="BE461" s="4">
        <f>_xlfn.XLOOKUP(CropNorms_Wheat[[#This Row],[LAI_Start_BBCH]], CropPhenology_Wheat[Sub_Stage], CropPhenology_Wheat[Start_GDD], "Not Found")</f>
        <v>151</v>
      </c>
      <c r="BF461" s="3">
        <f t="shared" si="285"/>
        <v>4.6100000000000003</v>
      </c>
      <c r="BG46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1" s="3">
        <f>IF(CropNorms_Wheat[[#This Row],[Max_LAI]]&gt;=1.2, 0.85*CropNorms_Wheat[[#This Row],[Max_LAI]], 1)</f>
        <v>3.9185000000000003</v>
      </c>
      <c r="BI461" s="41">
        <f>_xlfn.XLOOKUP(CropNorms_Wheat[[#This Row],[LAI_End_BBCH]], CropPhenology_Wheat[Sub_Stage], CropPhenology_Wheat[End_GDD], "Not Found")</f>
        <v>1500</v>
      </c>
      <c r="BJ461" s="3" cm="1">
        <f t="array" ref="BJ46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1" s="3" cm="1">
        <f t="array" ref="BK46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1" s="3" cm="1">
        <f t="array" ref="BL46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1" s="3" cm="1">
        <f t="array" ref="BM46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1" s="42">
        <v>0.4</v>
      </c>
      <c r="BO461" s="43">
        <v>0</v>
      </c>
      <c r="BP461" s="42">
        <v>3.25</v>
      </c>
      <c r="BQ461" s="43" t="s">
        <v>1795</v>
      </c>
      <c r="BR461" s="3" t="str" cm="1">
        <f t="array" ref="BR46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1" s="3" t="str" cm="1">
        <f t="array" ref="BS46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1" s="3" t="str" cm="1">
        <f t="array" ref="BT46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1" s="3" t="str" cm="1">
        <f t="array" ref="BU46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1" s="48">
        <v>80</v>
      </c>
      <c r="BW461" s="1">
        <v>40</v>
      </c>
      <c r="BX461" s="44">
        <v>40</v>
      </c>
      <c r="BY461" s="151">
        <v>45962</v>
      </c>
      <c r="BZ461" s="151">
        <v>46022</v>
      </c>
      <c r="CA461" s="152">
        <v>0</v>
      </c>
      <c r="CB461" s="153">
        <v>0</v>
      </c>
      <c r="CC461" s="153">
        <v>1</v>
      </c>
      <c r="CD461" s="153">
        <v>1</v>
      </c>
      <c r="CE461" s="153">
        <v>1</v>
      </c>
      <c r="CF461" s="153">
        <v>0</v>
      </c>
      <c r="CG461" s="153">
        <v>0</v>
      </c>
      <c r="CH461" s="153">
        <v>0</v>
      </c>
      <c r="CI461" s="153">
        <v>0</v>
      </c>
      <c r="CJ461" s="153">
        <v>0</v>
      </c>
      <c r="CK461" s="153">
        <v>0</v>
      </c>
      <c r="CL461" s="153">
        <v>0</v>
      </c>
    </row>
    <row r="462" spans="2:90" x14ac:dyDescent="0.25">
      <c r="B462" s="27" t="s">
        <v>321</v>
      </c>
      <c r="C462" s="2" t="s">
        <v>2222</v>
      </c>
      <c r="D462" s="2" t="s">
        <v>2126</v>
      </c>
      <c r="E462" s="2" t="s">
        <v>1835</v>
      </c>
      <c r="F462" s="90">
        <v>101</v>
      </c>
      <c r="G462" s="2" t="s">
        <v>2223</v>
      </c>
      <c r="H462" s="2"/>
      <c r="I462" s="2"/>
      <c r="J462" s="2"/>
      <c r="K462" s="2" t="s">
        <v>1748</v>
      </c>
      <c r="L462" s="2" t="s">
        <v>1750</v>
      </c>
      <c r="M462" s="2" t="s">
        <v>358</v>
      </c>
      <c r="N462" s="49"/>
      <c r="O462" s="2" t="s">
        <v>2078</v>
      </c>
      <c r="P462" s="2">
        <v>45</v>
      </c>
      <c r="Q462" s="2">
        <v>5</v>
      </c>
      <c r="R462" s="2">
        <v>6.7</v>
      </c>
      <c r="S462" s="2">
        <v>28</v>
      </c>
      <c r="T462" s="2">
        <v>35</v>
      </c>
      <c r="U462" s="251">
        <v>6</v>
      </c>
      <c r="V462" s="2">
        <v>120</v>
      </c>
      <c r="W462" s="86">
        <v>145</v>
      </c>
      <c r="X462" s="40">
        <f>_xlfn.XLOOKUP("Ripening", CropPhenology_Wheat[Main_Stage], CropPhenology_Wheat[Start_GDD], "Not Found")</f>
        <v>1501</v>
      </c>
      <c r="Y462" s="4" cm="1">
        <f t="array" ref="Y46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2" s="3">
        <f t="shared" si="283"/>
        <v>12.25919540229885</v>
      </c>
      <c r="AA462" s="41">
        <f t="shared" si="276"/>
        <v>138.67141718625476</v>
      </c>
      <c r="AB462" s="2">
        <v>9</v>
      </c>
      <c r="AC462" s="2">
        <v>5</v>
      </c>
      <c r="AD462" s="2">
        <v>2</v>
      </c>
      <c r="AE462" s="2">
        <v>80</v>
      </c>
      <c r="AF462" s="2">
        <v>0</v>
      </c>
      <c r="AG462" s="2">
        <v>5</v>
      </c>
      <c r="AH462" s="49">
        <f t="shared" si="271"/>
        <v>1.435046991210277</v>
      </c>
      <c r="AI462" s="2">
        <v>5.5</v>
      </c>
      <c r="AJ462" s="2">
        <v>8</v>
      </c>
      <c r="AK462" s="165">
        <v>6</v>
      </c>
      <c r="AL462" s="166">
        <v>7.0999999999999994E-2</v>
      </c>
      <c r="AM462" s="2">
        <v>195</v>
      </c>
      <c r="AN462" s="2">
        <v>285</v>
      </c>
      <c r="AO462" s="85">
        <v>5</v>
      </c>
      <c r="AP462" s="86">
        <v>100</v>
      </c>
      <c r="AQ462" s="149">
        <v>0.8</v>
      </c>
      <c r="AR462" s="2">
        <v>20</v>
      </c>
      <c r="AS462" s="2">
        <v>2.5</v>
      </c>
      <c r="AT462" s="2">
        <v>1</v>
      </c>
      <c r="AU462" s="4">
        <f t="shared" si="277"/>
        <v>200</v>
      </c>
      <c r="AV462" s="3">
        <f t="shared" si="284"/>
        <v>90</v>
      </c>
      <c r="AW462" s="2">
        <v>90</v>
      </c>
      <c r="AX462" s="3">
        <f t="shared" si="278"/>
        <v>180</v>
      </c>
      <c r="AY462" s="2">
        <v>4</v>
      </c>
      <c r="AZ462" s="4">
        <f t="shared" si="279"/>
        <v>720</v>
      </c>
      <c r="BA462" s="49">
        <v>0.8</v>
      </c>
      <c r="BB462" s="4">
        <f t="shared" si="280"/>
        <v>576</v>
      </c>
      <c r="BC462" s="150">
        <v>8.0000000000000002E-3</v>
      </c>
      <c r="BD462" s="69">
        <f>IFERROR(
  MAX(0.05, MIN(0.5, CropNorms_Wheat[[#This Row],[Leaf_Area_Per_Shoot_m2]] * CropNorms_Wheat[[#This Row],[Shoot_Bearing_m2]] )),
  0.2
)</f>
        <v>0.5</v>
      </c>
      <c r="BE462" s="4">
        <f>_xlfn.XLOOKUP(CropNorms_Wheat[[#This Row],[LAI_Start_BBCH]], CropPhenology_Wheat[Sub_Stage], CropPhenology_Wheat[Start_GDD], "Not Found")</f>
        <v>151</v>
      </c>
      <c r="BF462" s="3">
        <f t="shared" si="285"/>
        <v>4.6100000000000003</v>
      </c>
      <c r="BG46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2" s="3">
        <f>IF(CropNorms_Wheat[[#This Row],[Max_LAI]]&gt;=1.2, 0.85*CropNorms_Wheat[[#This Row],[Max_LAI]], 1)</f>
        <v>3.9185000000000003</v>
      </c>
      <c r="BI462" s="41">
        <f>_xlfn.XLOOKUP(CropNorms_Wheat[[#This Row],[LAI_End_BBCH]], CropPhenology_Wheat[Sub_Stage], CropPhenology_Wheat[End_GDD], "Not Found")</f>
        <v>1500</v>
      </c>
      <c r="BJ462" s="3" cm="1">
        <f t="array" ref="BJ46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2" s="3" cm="1">
        <f t="array" ref="BK46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2" s="3" cm="1">
        <f t="array" ref="BL46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2" s="3" cm="1">
        <f t="array" ref="BM46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2" s="42">
        <f>(0.28+0.4)/2</f>
        <v>0.34</v>
      </c>
      <c r="BO462" s="43">
        <v>0</v>
      </c>
      <c r="BP462" s="42">
        <v>2.7625000000000002</v>
      </c>
      <c r="BQ462" s="43" t="s">
        <v>1795</v>
      </c>
      <c r="BR462" s="3" t="str" cm="1">
        <f t="array" ref="BR46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2" s="3" t="str" cm="1">
        <f t="array" ref="BS46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2" s="3" t="str" cm="1">
        <f t="array" ref="BT46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2" s="3" t="str" cm="1">
        <f t="array" ref="BU46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2" s="48">
        <v>80</v>
      </c>
      <c r="BW462" s="1">
        <v>40</v>
      </c>
      <c r="BX462" s="44">
        <v>40</v>
      </c>
      <c r="BY462" s="151">
        <v>45962</v>
      </c>
      <c r="BZ462" s="151">
        <v>46022</v>
      </c>
      <c r="CA462" s="152">
        <v>0</v>
      </c>
      <c r="CB462" s="153">
        <v>0</v>
      </c>
      <c r="CC462" s="153">
        <v>1</v>
      </c>
      <c r="CD462" s="153">
        <v>1</v>
      </c>
      <c r="CE462" s="153">
        <v>1</v>
      </c>
      <c r="CF462" s="153">
        <v>0</v>
      </c>
      <c r="CG462" s="153">
        <v>0</v>
      </c>
      <c r="CH462" s="153">
        <v>0</v>
      </c>
      <c r="CI462" s="153">
        <v>0</v>
      </c>
      <c r="CJ462" s="153">
        <v>0</v>
      </c>
      <c r="CK462" s="153">
        <v>0</v>
      </c>
      <c r="CL462" s="153">
        <v>0</v>
      </c>
    </row>
    <row r="463" spans="2:90" x14ac:dyDescent="0.25">
      <c r="B463" s="27" t="s">
        <v>321</v>
      </c>
      <c r="C463" s="2" t="s">
        <v>2224</v>
      </c>
      <c r="D463" s="2" t="s">
        <v>2126</v>
      </c>
      <c r="E463" s="2" t="s">
        <v>2127</v>
      </c>
      <c r="F463" s="90">
        <v>115</v>
      </c>
      <c r="G463" s="2"/>
      <c r="H463" s="2"/>
      <c r="I463" s="2"/>
      <c r="J463" s="2"/>
      <c r="K463" s="2" t="s">
        <v>1748</v>
      </c>
      <c r="L463" s="2" t="s">
        <v>1750</v>
      </c>
      <c r="M463" s="2" t="s">
        <v>358</v>
      </c>
      <c r="N463" s="49"/>
      <c r="O463" s="2" t="s">
        <v>2078</v>
      </c>
      <c r="P463" s="2">
        <v>40</v>
      </c>
      <c r="Q463" s="2">
        <v>5</v>
      </c>
      <c r="R463" s="2">
        <v>6.7</v>
      </c>
      <c r="S463" s="2">
        <v>28</v>
      </c>
      <c r="T463" s="2">
        <v>35</v>
      </c>
      <c r="U463" s="251">
        <v>6</v>
      </c>
      <c r="V463" s="2">
        <v>115</v>
      </c>
      <c r="W463" s="86">
        <v>140</v>
      </c>
      <c r="X463" s="40">
        <f>_xlfn.XLOOKUP("Ripening", CropPhenology_Wheat[Main_Stage], CropPhenology_Wheat[Start_GDD], "Not Found")</f>
        <v>1501</v>
      </c>
      <c r="Y463" s="4" cm="1">
        <f t="array" ref="Y46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3" s="3">
        <f t="shared" si="283"/>
        <v>12.752018633540374</v>
      </c>
      <c r="AA463" s="41">
        <f t="shared" si="276"/>
        <v>133.31222678177855</v>
      </c>
      <c r="AB463" s="2">
        <v>6</v>
      </c>
      <c r="AC463" s="2">
        <v>5</v>
      </c>
      <c r="AD463" s="2">
        <v>2</v>
      </c>
      <c r="AE463" s="2">
        <v>80</v>
      </c>
      <c r="AF463" s="2">
        <v>0</v>
      </c>
      <c r="AG463" s="2">
        <v>5</v>
      </c>
      <c r="AH463" s="49">
        <f t="shared" si="271"/>
        <v>1.4927362988673731</v>
      </c>
      <c r="AI463" s="2">
        <v>5.5</v>
      </c>
      <c r="AJ463" s="2">
        <v>8</v>
      </c>
      <c r="AK463" s="165">
        <v>6</v>
      </c>
      <c r="AL463" s="166">
        <v>7.0999999999999994E-2</v>
      </c>
      <c r="AM463" s="2">
        <v>195</v>
      </c>
      <c r="AN463" s="2">
        <v>285</v>
      </c>
      <c r="AO463" s="85">
        <v>5</v>
      </c>
      <c r="AP463" s="86">
        <v>100</v>
      </c>
      <c r="AQ463" s="149">
        <v>0.8</v>
      </c>
      <c r="AR463" s="2">
        <v>20</v>
      </c>
      <c r="AS463" s="2">
        <v>2.5</v>
      </c>
      <c r="AT463" s="2">
        <v>1</v>
      </c>
      <c r="AU463" s="4">
        <f t="shared" si="277"/>
        <v>200</v>
      </c>
      <c r="AV463" s="3">
        <f t="shared" si="284"/>
        <v>80</v>
      </c>
      <c r="AW463" s="2">
        <v>90</v>
      </c>
      <c r="AX463" s="3">
        <f t="shared" si="278"/>
        <v>180</v>
      </c>
      <c r="AY463" s="2">
        <v>4</v>
      </c>
      <c r="AZ463" s="4">
        <f t="shared" si="279"/>
        <v>720</v>
      </c>
      <c r="BA463" s="49">
        <v>0.8</v>
      </c>
      <c r="BB463" s="4">
        <f t="shared" si="280"/>
        <v>576</v>
      </c>
      <c r="BC463" s="150">
        <v>8.0000000000000002E-3</v>
      </c>
      <c r="BD463" s="69">
        <f>IFERROR(
  MAX(0.05, MIN(0.5, CropNorms_Wheat[[#This Row],[Leaf_Area_Per_Shoot_m2]] * CropNorms_Wheat[[#This Row],[Shoot_Bearing_m2]] )),
  0.2
)</f>
        <v>0.5</v>
      </c>
      <c r="BE463" s="4">
        <f>_xlfn.XLOOKUP(CropNorms_Wheat[[#This Row],[LAI_Start_BBCH]], CropPhenology_Wheat[Sub_Stage], CropPhenology_Wheat[Start_GDD], "Not Found")</f>
        <v>151</v>
      </c>
      <c r="BF463" s="3">
        <f t="shared" si="285"/>
        <v>4.6100000000000003</v>
      </c>
      <c r="BG46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3" s="3">
        <f>IF(CropNorms_Wheat[[#This Row],[Max_LAI]]&gt;=1.2, 0.85*CropNorms_Wheat[[#This Row],[Max_LAI]], 1)</f>
        <v>3.9185000000000003</v>
      </c>
      <c r="BI463" s="41">
        <f>_xlfn.XLOOKUP(CropNorms_Wheat[[#This Row],[LAI_End_BBCH]], CropPhenology_Wheat[Sub_Stage], CropPhenology_Wheat[End_GDD], "Not Found")</f>
        <v>1500</v>
      </c>
      <c r="BJ463" s="3" cm="1">
        <f t="array" ref="BJ46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3" s="3" cm="1">
        <f t="array" ref="BK46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3" s="3" cm="1">
        <f t="array" ref="BL46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3" s="3" cm="1">
        <f t="array" ref="BM46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3" s="42">
        <v>0.39</v>
      </c>
      <c r="BO463" s="43">
        <v>0</v>
      </c>
      <c r="BP463" s="42">
        <v>3.1687500000000002</v>
      </c>
      <c r="BQ463" s="43" t="s">
        <v>1795</v>
      </c>
      <c r="BR463" s="3" t="str" cm="1">
        <f t="array" ref="BR46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3" s="3" t="str" cm="1">
        <f t="array" ref="BS46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3" s="3" t="str" cm="1">
        <f t="array" ref="BT46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3" s="3" t="str" cm="1">
        <f t="array" ref="BU46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3" s="48">
        <v>80</v>
      </c>
      <c r="BW463" s="1">
        <v>40</v>
      </c>
      <c r="BX463" s="44">
        <v>40</v>
      </c>
      <c r="BY463" s="151">
        <v>45962</v>
      </c>
      <c r="BZ463" s="151">
        <v>46022</v>
      </c>
      <c r="CA463" s="152">
        <v>0</v>
      </c>
      <c r="CB463" s="153">
        <v>0</v>
      </c>
      <c r="CC463" s="153">
        <v>1</v>
      </c>
      <c r="CD463" s="153">
        <v>1</v>
      </c>
      <c r="CE463" s="153">
        <v>1</v>
      </c>
      <c r="CF463" s="153">
        <v>0</v>
      </c>
      <c r="CG463" s="153">
        <v>0</v>
      </c>
      <c r="CH463" s="153">
        <v>0</v>
      </c>
      <c r="CI463" s="153">
        <v>0</v>
      </c>
      <c r="CJ463" s="153">
        <v>0</v>
      </c>
      <c r="CK463" s="153">
        <v>0</v>
      </c>
      <c r="CL463" s="153">
        <v>0</v>
      </c>
    </row>
    <row r="464" spans="2:90" x14ac:dyDescent="0.25">
      <c r="B464" s="27" t="s">
        <v>321</v>
      </c>
      <c r="C464" s="2" t="s">
        <v>2225</v>
      </c>
      <c r="D464" s="2" t="s">
        <v>1834</v>
      </c>
      <c r="E464" s="2" t="s">
        <v>1835</v>
      </c>
      <c r="F464" s="90">
        <v>105</v>
      </c>
      <c r="G464" s="2" t="s">
        <v>2226</v>
      </c>
      <c r="H464" s="2" t="s">
        <v>2227</v>
      </c>
      <c r="I464" s="2" t="s">
        <v>1841</v>
      </c>
      <c r="J464" s="2" t="s">
        <v>1156</v>
      </c>
      <c r="K464" s="2" t="s">
        <v>1748</v>
      </c>
      <c r="L464" s="2" t="s">
        <v>1750</v>
      </c>
      <c r="M464" s="2" t="s">
        <v>358</v>
      </c>
      <c r="N464" s="49"/>
      <c r="O464" s="2" t="s">
        <v>2141</v>
      </c>
      <c r="P464" s="2">
        <v>48</v>
      </c>
      <c r="Q464" s="2">
        <v>5</v>
      </c>
      <c r="R464" s="2">
        <v>6.7</v>
      </c>
      <c r="S464" s="2">
        <v>28</v>
      </c>
      <c r="T464" s="2">
        <v>35</v>
      </c>
      <c r="U464" s="251">
        <v>6</v>
      </c>
      <c r="V464" s="2">
        <v>142</v>
      </c>
      <c r="W464" s="86">
        <v>165</v>
      </c>
      <c r="X464" s="40">
        <f>_xlfn.XLOOKUP("Ripening", CropPhenology_Wheat[Main_Stage], CropPhenology_Wheat[Start_GDD], "Not Found")</f>
        <v>1501</v>
      </c>
      <c r="Y464" s="4" cm="1">
        <f t="array" ref="Y46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4" s="3">
        <f t="shared" si="283"/>
        <v>10.534400341442595</v>
      </c>
      <c r="AA464" s="41">
        <f t="shared" si="276"/>
        <v>161.37605795292944</v>
      </c>
      <c r="AB464" s="2">
        <v>7</v>
      </c>
      <c r="AC464" s="2">
        <v>5</v>
      </c>
      <c r="AD464" s="2">
        <v>2</v>
      </c>
      <c r="AE464" s="2">
        <v>80</v>
      </c>
      <c r="AF464" s="2">
        <v>0</v>
      </c>
      <c r="AG464" s="2">
        <v>5</v>
      </c>
      <c r="AH464" s="49">
        <f t="shared" si="271"/>
        <v>1.2331445105571037</v>
      </c>
      <c r="AI464" s="2">
        <v>5.5</v>
      </c>
      <c r="AJ464" s="2">
        <v>8</v>
      </c>
      <c r="AK464" s="165">
        <v>6</v>
      </c>
      <c r="AL464" s="166">
        <v>7.0999999999999994E-2</v>
      </c>
      <c r="AM464" s="2">
        <v>195</v>
      </c>
      <c r="AN464" s="2">
        <v>285</v>
      </c>
      <c r="AO464" s="85">
        <v>5</v>
      </c>
      <c r="AP464" s="86">
        <v>100</v>
      </c>
      <c r="AQ464" s="149">
        <v>0.6</v>
      </c>
      <c r="AR464" s="2">
        <v>20</v>
      </c>
      <c r="AS464" s="2">
        <v>2.5</v>
      </c>
      <c r="AT464" s="2">
        <v>1</v>
      </c>
      <c r="AU464" s="4">
        <f t="shared" si="277"/>
        <v>200</v>
      </c>
      <c r="AV464" s="3">
        <f t="shared" si="284"/>
        <v>96</v>
      </c>
      <c r="AW464" s="2">
        <v>90</v>
      </c>
      <c r="AX464" s="3">
        <f t="shared" si="278"/>
        <v>180</v>
      </c>
      <c r="AY464" s="2">
        <v>4</v>
      </c>
      <c r="AZ464" s="4">
        <f t="shared" si="279"/>
        <v>720</v>
      </c>
      <c r="BA464" s="49">
        <v>0.6</v>
      </c>
      <c r="BB464" s="4">
        <f t="shared" si="280"/>
        <v>432</v>
      </c>
      <c r="BC464" s="150">
        <v>6.0000000000000001E-3</v>
      </c>
      <c r="BD464" s="69">
        <f>IFERROR(
  MAX(0.05, MIN(0.5, CropNorms_Wheat[[#This Row],[Leaf_Area_Per_Shoot_m2]] * CropNorms_Wheat[[#This Row],[Shoot_Bearing_m2]] )),
  0.2
)</f>
        <v>0.5</v>
      </c>
      <c r="BE464" s="4">
        <f>_xlfn.XLOOKUP(CropNorms_Wheat[[#This Row],[LAI_Start_BBCH]], CropPhenology_Wheat[Sub_Stage], CropPhenology_Wheat[Start_GDD], "Not Found")</f>
        <v>151</v>
      </c>
      <c r="BF464" s="3">
        <f t="shared" si="285"/>
        <v>2.59</v>
      </c>
      <c r="BG46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4" s="3">
        <f>IF(CropNorms_Wheat[[#This Row],[Max_LAI]]&gt;=1.2, 0.85*CropNorms_Wheat[[#This Row],[Max_LAI]], 1)</f>
        <v>2.2014999999999998</v>
      </c>
      <c r="BI464" s="41">
        <f>_xlfn.XLOOKUP(CropNorms_Wheat[[#This Row],[LAI_End_BBCH]], CropPhenology_Wheat[Sub_Stage], CropPhenology_Wheat[End_GDD], "Not Found")</f>
        <v>1500</v>
      </c>
      <c r="BJ464" s="3" cm="1">
        <f t="array" ref="BJ46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4" s="3" cm="1">
        <f t="array" ref="BK46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64" s="3" cm="1">
        <f t="array" ref="BL46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64" s="3" cm="1">
        <f t="array" ref="BM46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4" s="42">
        <v>0.39</v>
      </c>
      <c r="BO464" s="43">
        <v>0</v>
      </c>
      <c r="BP464" s="42">
        <v>3.1687500000000002</v>
      </c>
      <c r="BQ464" s="43" t="s">
        <v>1795</v>
      </c>
      <c r="BR464" s="3" t="str" cm="1">
        <f t="array" ref="BR46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4" s="3" t="str" cm="1">
        <f t="array" ref="BS46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4" s="3" t="str" cm="1">
        <f t="array" ref="BT46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4" s="3" t="str" cm="1">
        <f t="array" ref="BU46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4" s="48">
        <v>80</v>
      </c>
      <c r="BW464" s="1">
        <v>40</v>
      </c>
      <c r="BX464" s="44">
        <v>40</v>
      </c>
      <c r="BY464" s="151">
        <v>45962</v>
      </c>
      <c r="BZ464" s="151">
        <v>46022</v>
      </c>
      <c r="CA464" s="152">
        <v>0</v>
      </c>
      <c r="CB464" s="153">
        <v>0</v>
      </c>
      <c r="CC464" s="153">
        <v>1</v>
      </c>
      <c r="CD464" s="153">
        <v>1</v>
      </c>
      <c r="CE464" s="153">
        <v>1</v>
      </c>
      <c r="CF464" s="153">
        <v>0</v>
      </c>
      <c r="CG464" s="153">
        <v>0</v>
      </c>
      <c r="CH464" s="153">
        <v>0</v>
      </c>
      <c r="CI464" s="153">
        <v>0</v>
      </c>
      <c r="CJ464" s="153">
        <v>0</v>
      </c>
      <c r="CK464" s="153">
        <v>0</v>
      </c>
      <c r="CL464" s="153">
        <v>0</v>
      </c>
    </row>
    <row r="465" spans="2:90" x14ac:dyDescent="0.25">
      <c r="B465" s="27" t="s">
        <v>321</v>
      </c>
      <c r="C465" s="2" t="s">
        <v>2228</v>
      </c>
      <c r="D465" s="2" t="s">
        <v>1832</v>
      </c>
      <c r="E465" s="2" t="s">
        <v>1835</v>
      </c>
      <c r="F465" s="90">
        <v>105</v>
      </c>
      <c r="G465" s="2" t="s">
        <v>1836</v>
      </c>
      <c r="H465" s="2" t="s">
        <v>2151</v>
      </c>
      <c r="I465" s="2" t="s">
        <v>1841</v>
      </c>
      <c r="J465" s="2"/>
      <c r="K465" s="2" t="s">
        <v>1748</v>
      </c>
      <c r="L465" s="2" t="s">
        <v>1750</v>
      </c>
      <c r="M465" s="2" t="s">
        <v>358</v>
      </c>
      <c r="N465" s="49">
        <v>7.4467618065708461</v>
      </c>
      <c r="O465" s="2" t="s">
        <v>2078</v>
      </c>
      <c r="P465" s="2">
        <v>28</v>
      </c>
      <c r="Q465" s="2">
        <v>5</v>
      </c>
      <c r="R465" s="2">
        <v>6.7</v>
      </c>
      <c r="S465" s="2">
        <v>28</v>
      </c>
      <c r="T465" s="2">
        <v>35</v>
      </c>
      <c r="U465" s="251">
        <v>6</v>
      </c>
      <c r="V465" s="2">
        <v>130</v>
      </c>
      <c r="W465" s="86">
        <v>157</v>
      </c>
      <c r="X465" s="40">
        <f>_xlfn.XLOOKUP("Ripening", CropPhenology_Wheat[Main_Stage], CropPhenology_Wheat[Start_GDD], "Not Found")</f>
        <v>1501</v>
      </c>
      <c r="Y465" s="4" cm="1">
        <f t="array" ref="Y46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5" s="3">
        <f t="shared" si="283"/>
        <v>11.318716315531603</v>
      </c>
      <c r="AA465" s="41">
        <f t="shared" si="276"/>
        <v>150.1937103651278</v>
      </c>
      <c r="AB465" s="2">
        <v>7</v>
      </c>
      <c r="AC465" s="2">
        <v>5</v>
      </c>
      <c r="AD465" s="2">
        <v>2</v>
      </c>
      <c r="AE465" s="2">
        <v>80</v>
      </c>
      <c r="AF465" s="2">
        <v>0</v>
      </c>
      <c r="AG465" s="2">
        <v>5</v>
      </c>
      <c r="AH465" s="49">
        <f t="shared" si="271"/>
        <v>1.3249556157592877</v>
      </c>
      <c r="AI465" s="2">
        <v>5.5</v>
      </c>
      <c r="AJ465" s="2">
        <v>8</v>
      </c>
      <c r="AK465" s="165">
        <v>6</v>
      </c>
      <c r="AL465" s="166">
        <v>7.0999999999999994E-2</v>
      </c>
      <c r="AM465" s="2">
        <v>195</v>
      </c>
      <c r="AN465" s="2">
        <v>285</v>
      </c>
      <c r="AO465" s="85">
        <v>5</v>
      </c>
      <c r="AP465" s="86">
        <v>100</v>
      </c>
      <c r="AQ465" s="149">
        <v>0.8</v>
      </c>
      <c r="AR465" s="2">
        <v>20</v>
      </c>
      <c r="AS465" s="2">
        <v>2.5</v>
      </c>
      <c r="AT465" s="2">
        <v>1</v>
      </c>
      <c r="AU465" s="4">
        <f t="shared" si="277"/>
        <v>200</v>
      </c>
      <c r="AV465" s="3">
        <f t="shared" si="284"/>
        <v>56</v>
      </c>
      <c r="AW465" s="2">
        <v>90</v>
      </c>
      <c r="AX465" s="3">
        <f t="shared" si="278"/>
        <v>180</v>
      </c>
      <c r="AY465" s="2">
        <v>4</v>
      </c>
      <c r="AZ465" s="4">
        <f t="shared" si="279"/>
        <v>720</v>
      </c>
      <c r="BA465" s="49">
        <v>0.8</v>
      </c>
      <c r="BB465" s="4">
        <f t="shared" si="280"/>
        <v>576</v>
      </c>
      <c r="BC465" s="150">
        <v>8.0000000000000002E-3</v>
      </c>
      <c r="BD465" s="69">
        <f>IFERROR(
  MAX(0.05, MIN(0.5, CropNorms_Wheat[[#This Row],[Leaf_Area_Per_Shoot_m2]] * CropNorms_Wheat[[#This Row],[Shoot_Bearing_m2]] )),
  0.2
)</f>
        <v>0.5</v>
      </c>
      <c r="BE465" s="4">
        <f>_xlfn.XLOOKUP(CropNorms_Wheat[[#This Row],[LAI_Start_BBCH]], CropPhenology_Wheat[Sub_Stage], CropPhenology_Wheat[Start_GDD], "Not Found")</f>
        <v>151</v>
      </c>
      <c r="BF465" s="3">
        <f t="shared" si="285"/>
        <v>4.6100000000000003</v>
      </c>
      <c r="BG46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5" s="3">
        <f>IF(CropNorms_Wheat[[#This Row],[Max_LAI]]&gt;=1.2, 0.85*CropNorms_Wheat[[#This Row],[Max_LAI]], 1)</f>
        <v>3.9185000000000003</v>
      </c>
      <c r="BI465" s="41">
        <f>_xlfn.XLOOKUP(CropNorms_Wheat[[#This Row],[LAI_End_BBCH]], CropPhenology_Wheat[Sub_Stage], CropPhenology_Wheat[End_GDD], "Not Found")</f>
        <v>1500</v>
      </c>
      <c r="BJ465" s="3" cm="1">
        <f t="array" ref="BJ46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K465" s="3" cm="1">
        <f t="array" ref="BK46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5" s="3" cm="1">
        <f t="array" ref="BL46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5" s="3" cm="1">
        <f t="array" ref="BM46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5" s="42">
        <v>0.39</v>
      </c>
      <c r="BO465" s="43">
        <v>0</v>
      </c>
      <c r="BP465" s="42">
        <v>3.1687500000000002</v>
      </c>
      <c r="BQ465" s="43" t="s">
        <v>1795</v>
      </c>
      <c r="BR465" s="3" t="str" cm="1">
        <f t="array" ref="BR46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5" s="3" t="str" cm="1">
        <f t="array" ref="BS46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5" s="3" t="str" cm="1">
        <f t="array" ref="BT46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5" s="3" t="str" cm="1">
        <f t="array" ref="BU46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5" s="48">
        <v>80</v>
      </c>
      <c r="BW465" s="1">
        <v>40</v>
      </c>
      <c r="BX465" s="44">
        <v>40</v>
      </c>
      <c r="BY465" s="151">
        <v>45962</v>
      </c>
      <c r="BZ465" s="151">
        <v>46022</v>
      </c>
      <c r="CA465" s="152">
        <v>0</v>
      </c>
      <c r="CB465" s="153">
        <v>0</v>
      </c>
      <c r="CC465" s="153">
        <v>1</v>
      </c>
      <c r="CD465" s="153">
        <v>1</v>
      </c>
      <c r="CE465" s="153">
        <v>1</v>
      </c>
      <c r="CF465" s="153">
        <v>0</v>
      </c>
      <c r="CG465" s="153">
        <v>0</v>
      </c>
      <c r="CH465" s="153">
        <v>0</v>
      </c>
      <c r="CI465" s="153">
        <v>0</v>
      </c>
      <c r="CJ465" s="153">
        <v>0</v>
      </c>
      <c r="CK465" s="153">
        <v>0</v>
      </c>
      <c r="CL465" s="153">
        <v>0</v>
      </c>
    </row>
    <row r="466" spans="2:90" x14ac:dyDescent="0.25">
      <c r="B466" s="27" t="s">
        <v>321</v>
      </c>
      <c r="C466" s="2" t="s">
        <v>2229</v>
      </c>
      <c r="D466" s="2" t="s">
        <v>2126</v>
      </c>
      <c r="E466" s="2" t="s">
        <v>2230</v>
      </c>
      <c r="F466" s="90">
        <v>110</v>
      </c>
      <c r="G466" s="2"/>
      <c r="H466" s="2" t="s">
        <v>2227</v>
      </c>
      <c r="I466" s="2"/>
      <c r="J466" s="2" t="s">
        <v>2111</v>
      </c>
      <c r="K466" s="2" t="s">
        <v>1748</v>
      </c>
      <c r="L466" s="2" t="s">
        <v>1750</v>
      </c>
      <c r="M466" s="2" t="s">
        <v>358</v>
      </c>
      <c r="N466" s="49"/>
      <c r="O466" s="2" t="s">
        <v>2141</v>
      </c>
      <c r="P466" s="2">
        <v>50</v>
      </c>
      <c r="Q466" s="2">
        <v>5</v>
      </c>
      <c r="R466" s="2">
        <v>6.7</v>
      </c>
      <c r="S466" s="2">
        <v>28</v>
      </c>
      <c r="T466" s="2">
        <v>35</v>
      </c>
      <c r="U466" s="251">
        <v>6</v>
      </c>
      <c r="V466" s="2">
        <v>142</v>
      </c>
      <c r="W466" s="86">
        <v>163</v>
      </c>
      <c r="X466" s="40">
        <f>_xlfn.XLOOKUP("Ripening", CropPhenology_Wheat[Main_Stage], CropPhenology_Wheat[Start_GDD], "Not Found")</f>
        <v>1501</v>
      </c>
      <c r="Y466" s="4" cm="1">
        <f t="array" ref="Y46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6" s="3">
        <f t="shared" si="283"/>
        <v>10.590209971485354</v>
      </c>
      <c r="AA466" s="41">
        <f t="shared" si="276"/>
        <v>160.52561796010949</v>
      </c>
      <c r="AB466" s="2">
        <v>6</v>
      </c>
      <c r="AC466" s="2">
        <v>5</v>
      </c>
      <c r="AD466" s="2">
        <v>2</v>
      </c>
      <c r="AE466" s="2">
        <v>80</v>
      </c>
      <c r="AF466" s="2">
        <v>0</v>
      </c>
      <c r="AG466" s="2">
        <v>5</v>
      </c>
      <c r="AH466" s="49">
        <f t="shared" si="271"/>
        <v>1.2396775201915209</v>
      </c>
      <c r="AI466" s="2">
        <v>5.5</v>
      </c>
      <c r="AJ466" s="2">
        <v>8</v>
      </c>
      <c r="AK466" s="165">
        <v>6</v>
      </c>
      <c r="AL466" s="166">
        <v>7.0999999999999994E-2</v>
      </c>
      <c r="AM466" s="2">
        <v>195</v>
      </c>
      <c r="AN466" s="2">
        <v>285</v>
      </c>
      <c r="AO466" s="85">
        <v>5</v>
      </c>
      <c r="AP466" s="86">
        <v>100</v>
      </c>
      <c r="AQ466" s="149">
        <v>0.6</v>
      </c>
      <c r="AR466" s="2">
        <v>20</v>
      </c>
      <c r="AS466" s="2">
        <v>2.5</v>
      </c>
      <c r="AT466" s="2">
        <v>1</v>
      </c>
      <c r="AU466" s="4">
        <f t="shared" si="277"/>
        <v>200</v>
      </c>
      <c r="AV466" s="3">
        <f t="shared" si="284"/>
        <v>100</v>
      </c>
      <c r="AW466" s="2">
        <v>90</v>
      </c>
      <c r="AX466" s="3">
        <f t="shared" si="278"/>
        <v>180</v>
      </c>
      <c r="AY466" s="2">
        <v>5</v>
      </c>
      <c r="AZ466" s="4">
        <f t="shared" si="279"/>
        <v>900</v>
      </c>
      <c r="BA466" s="49">
        <v>0.6</v>
      </c>
      <c r="BB466" s="4">
        <f t="shared" si="280"/>
        <v>540</v>
      </c>
      <c r="BC466" s="150">
        <v>6.0000000000000001E-3</v>
      </c>
      <c r="BD466" s="69">
        <f>IFERROR(
  MAX(0.05, MIN(0.5, CropNorms_Wheat[[#This Row],[Leaf_Area_Per_Shoot_m2]] * CropNorms_Wheat[[#This Row],[Shoot_Bearing_m2]] )),
  0.2
)</f>
        <v>0.5</v>
      </c>
      <c r="BE466" s="4">
        <f>_xlfn.XLOOKUP(CropNorms_Wheat[[#This Row],[LAI_Start_BBCH]], CropPhenology_Wheat[Sub_Stage], CropPhenology_Wheat[Start_GDD], "Not Found")</f>
        <v>151</v>
      </c>
      <c r="BF466" s="3">
        <f t="shared" si="285"/>
        <v>3.24</v>
      </c>
      <c r="BG46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6" s="3">
        <f>IF(CropNorms_Wheat[[#This Row],[Max_LAI]]&gt;=1.2, 0.85*CropNorms_Wheat[[#This Row],[Max_LAI]], 1)</f>
        <v>2.754</v>
      </c>
      <c r="BI466" s="41">
        <f>_xlfn.XLOOKUP(CropNorms_Wheat[[#This Row],[LAI_End_BBCH]], CropPhenology_Wheat[Sub_Stage], CropPhenology_Wheat[End_GDD], "Not Found")</f>
        <v>1500</v>
      </c>
      <c r="BJ466" s="3" cm="1">
        <f t="array" ref="BJ46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6" s="3" cm="1">
        <f t="array" ref="BK46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0.93777306814087813</v>
      </c>
      <c r="BL466" s="3" cm="1">
        <f t="array" ref="BL46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1.5423394808528104</v>
      </c>
      <c r="BM466" s="3" cm="1">
        <f t="array" ref="BM46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6" s="42">
        <f t="shared" ref="BN466:BN467" si="286">(0.28+0.4)/2</f>
        <v>0.34</v>
      </c>
      <c r="BO466" s="43">
        <v>0</v>
      </c>
      <c r="BP466" s="42">
        <v>2.7625000000000002</v>
      </c>
      <c r="BQ466" s="43" t="s">
        <v>1795</v>
      </c>
      <c r="BR466" s="3" t="str" cm="1">
        <f t="array" ref="BR46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6" s="3" t="str" cm="1">
        <f t="array" ref="BS46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6" s="3" t="str" cm="1">
        <f t="array" ref="BT46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6" s="3" t="str" cm="1">
        <f t="array" ref="BU46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6" s="48">
        <v>80</v>
      </c>
      <c r="BW466" s="1">
        <v>40</v>
      </c>
      <c r="BX466" s="44">
        <v>40</v>
      </c>
      <c r="BY466" s="151">
        <v>45962</v>
      </c>
      <c r="BZ466" s="151">
        <v>46022</v>
      </c>
      <c r="CA466" s="152">
        <v>0</v>
      </c>
      <c r="CB466" s="153">
        <v>0</v>
      </c>
      <c r="CC466" s="153">
        <v>1</v>
      </c>
      <c r="CD466" s="153">
        <v>1</v>
      </c>
      <c r="CE466" s="153">
        <v>1</v>
      </c>
      <c r="CF466" s="153">
        <v>0</v>
      </c>
      <c r="CG466" s="153">
        <v>0</v>
      </c>
      <c r="CH466" s="153">
        <v>0</v>
      </c>
      <c r="CI466" s="153">
        <v>0</v>
      </c>
      <c r="CJ466" s="153">
        <v>0</v>
      </c>
      <c r="CK466" s="153">
        <v>0</v>
      </c>
      <c r="CL466" s="153">
        <v>0</v>
      </c>
    </row>
    <row r="467" spans="2:90" x14ac:dyDescent="0.25">
      <c r="B467" s="27" t="s">
        <v>321</v>
      </c>
      <c r="C467" s="2" t="s">
        <v>2231</v>
      </c>
      <c r="D467" s="2" t="s">
        <v>1832</v>
      </c>
      <c r="E467" s="2" t="s">
        <v>1835</v>
      </c>
      <c r="F467" s="90">
        <v>102</v>
      </c>
      <c r="G467" s="2"/>
      <c r="H467" s="2" t="s">
        <v>2232</v>
      </c>
      <c r="I467" s="2"/>
      <c r="J467" s="2"/>
      <c r="K467" s="2" t="s">
        <v>1748</v>
      </c>
      <c r="L467" s="2" t="s">
        <v>1750</v>
      </c>
      <c r="M467" s="2" t="s">
        <v>358</v>
      </c>
      <c r="N467" s="49"/>
      <c r="O467" s="2" t="s">
        <v>2078</v>
      </c>
      <c r="P467" s="2">
        <v>39</v>
      </c>
      <c r="Q467" s="2">
        <v>5</v>
      </c>
      <c r="R467" s="2">
        <v>6.7</v>
      </c>
      <c r="S467" s="2">
        <v>28</v>
      </c>
      <c r="T467" s="2">
        <v>35</v>
      </c>
      <c r="U467" s="251">
        <v>6</v>
      </c>
      <c r="V467" s="2">
        <v>117</v>
      </c>
      <c r="W467" s="86">
        <v>145</v>
      </c>
      <c r="X467" s="40">
        <f>_xlfn.XLOOKUP("Ripening", CropPhenology_Wheat[Main_Stage], CropPhenology_Wheat[Start_GDD], "Not Found")</f>
        <v>1501</v>
      </c>
      <c r="Y467" s="4" cm="1">
        <f t="array" ref="Y46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7" s="3">
        <f t="shared" si="283"/>
        <v>12.440819333922782</v>
      </c>
      <c r="AA467" s="41">
        <f t="shared" si="276"/>
        <v>136.64694859482086</v>
      </c>
      <c r="AB467" s="2">
        <v>7</v>
      </c>
      <c r="AC467" s="2">
        <v>5</v>
      </c>
      <c r="AD467" s="2">
        <v>2</v>
      </c>
      <c r="AE467" s="2">
        <v>80</v>
      </c>
      <c r="AF467" s="2">
        <v>0</v>
      </c>
      <c r="AG467" s="2">
        <v>5</v>
      </c>
      <c r="AH467" s="49">
        <f t="shared" si="271"/>
        <v>1.4563076749709611</v>
      </c>
      <c r="AI467" s="2">
        <v>5.5</v>
      </c>
      <c r="AJ467" s="2">
        <v>8</v>
      </c>
      <c r="AK467" s="165">
        <v>6</v>
      </c>
      <c r="AL467" s="166">
        <v>7.0999999999999994E-2</v>
      </c>
      <c r="AM467" s="2">
        <v>195</v>
      </c>
      <c r="AN467" s="2">
        <v>285</v>
      </c>
      <c r="AO467" s="85">
        <v>5</v>
      </c>
      <c r="AP467" s="86">
        <v>100</v>
      </c>
      <c r="AQ467" s="149">
        <v>0.8</v>
      </c>
      <c r="AR467" s="2">
        <v>20</v>
      </c>
      <c r="AS467" s="2">
        <v>2.5</v>
      </c>
      <c r="AT467" s="2">
        <v>1</v>
      </c>
      <c r="AU467" s="4">
        <f t="shared" si="277"/>
        <v>200</v>
      </c>
      <c r="AV467" s="3">
        <f t="shared" si="284"/>
        <v>78</v>
      </c>
      <c r="AW467" s="2">
        <v>90</v>
      </c>
      <c r="AX467" s="3">
        <f t="shared" si="278"/>
        <v>180</v>
      </c>
      <c r="AY467" s="2">
        <v>4</v>
      </c>
      <c r="AZ467" s="4">
        <f t="shared" si="279"/>
        <v>720</v>
      </c>
      <c r="BA467" s="49">
        <v>0.8</v>
      </c>
      <c r="BB467" s="4">
        <f t="shared" si="280"/>
        <v>576</v>
      </c>
      <c r="BC467" s="150">
        <v>8.0000000000000002E-3</v>
      </c>
      <c r="BD467" s="69">
        <f>IFERROR(
  MAX(0.05, MIN(0.5, CropNorms_Wheat[[#This Row],[Leaf_Area_Per_Shoot_m2]] * CropNorms_Wheat[[#This Row],[Shoot_Bearing_m2]] )),
  0.2
)</f>
        <v>0.5</v>
      </c>
      <c r="BE467" s="4">
        <f>_xlfn.XLOOKUP(CropNorms_Wheat[[#This Row],[LAI_Start_BBCH]], CropPhenology_Wheat[Sub_Stage], CropPhenology_Wheat[Start_GDD], "Not Found")</f>
        <v>151</v>
      </c>
      <c r="BF467" s="3">
        <f t="shared" si="285"/>
        <v>4.6100000000000003</v>
      </c>
      <c r="BG46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7" s="3">
        <f>IF(CropNorms_Wheat[[#This Row],[Max_LAI]]&gt;=1.2, 0.85*CropNorms_Wheat[[#This Row],[Max_LAI]], 1)</f>
        <v>3.9185000000000003</v>
      </c>
      <c r="BI467" s="41">
        <f>_xlfn.XLOOKUP(CropNorms_Wheat[[#This Row],[LAI_End_BBCH]], CropPhenology_Wheat[Sub_Stage], CropPhenology_Wheat[End_GDD], "Not Found")</f>
        <v>1500</v>
      </c>
      <c r="BJ467" s="3" cm="1">
        <f t="array" ref="BJ46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7" s="3" cm="1">
        <f t="array" ref="BK46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7" s="3" cm="1">
        <f t="array" ref="BL46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7" s="3" cm="1">
        <f t="array" ref="BM46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7" s="42">
        <f t="shared" si="286"/>
        <v>0.34</v>
      </c>
      <c r="BO467" s="43">
        <v>0</v>
      </c>
      <c r="BP467" s="42">
        <v>2.7625000000000002</v>
      </c>
      <c r="BQ467" s="43" t="s">
        <v>1795</v>
      </c>
      <c r="BR467" s="3" t="str" cm="1">
        <f t="array" ref="BR46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7" s="3" t="str" cm="1">
        <f t="array" ref="BS46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7" s="3" t="str" cm="1">
        <f t="array" ref="BT46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7" s="3" t="str" cm="1">
        <f t="array" ref="BU46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7" s="48">
        <v>80</v>
      </c>
      <c r="BW467" s="1">
        <v>40</v>
      </c>
      <c r="BX467" s="44">
        <v>40</v>
      </c>
      <c r="BY467" s="151">
        <v>45962</v>
      </c>
      <c r="BZ467" s="151">
        <v>46022</v>
      </c>
      <c r="CA467" s="152">
        <v>0</v>
      </c>
      <c r="CB467" s="153">
        <v>0</v>
      </c>
      <c r="CC467" s="153">
        <v>1</v>
      </c>
      <c r="CD467" s="153">
        <v>1</v>
      </c>
      <c r="CE467" s="153">
        <v>1</v>
      </c>
      <c r="CF467" s="153">
        <v>0</v>
      </c>
      <c r="CG467" s="153">
        <v>0</v>
      </c>
      <c r="CH467" s="153">
        <v>0</v>
      </c>
      <c r="CI467" s="153">
        <v>0</v>
      </c>
      <c r="CJ467" s="153">
        <v>0</v>
      </c>
      <c r="CK467" s="153">
        <v>0</v>
      </c>
      <c r="CL467" s="153">
        <v>0</v>
      </c>
    </row>
    <row r="468" spans="2:90" x14ac:dyDescent="0.25">
      <c r="B468" s="27" t="s">
        <v>321</v>
      </c>
      <c r="C468" s="2" t="s">
        <v>2233</v>
      </c>
      <c r="D468" s="2" t="s">
        <v>2126</v>
      </c>
      <c r="E468" s="2" t="s">
        <v>2144</v>
      </c>
      <c r="F468" s="90">
        <v>73</v>
      </c>
      <c r="G468" s="2" t="s">
        <v>2234</v>
      </c>
      <c r="H468" s="2"/>
      <c r="I468" s="2"/>
      <c r="J468" s="2" t="s">
        <v>2235</v>
      </c>
      <c r="K468" s="2" t="s">
        <v>1748</v>
      </c>
      <c r="L468" s="2" t="s">
        <v>1750</v>
      </c>
      <c r="M468" s="2" t="s">
        <v>358</v>
      </c>
      <c r="N468" s="49"/>
      <c r="O468" s="2" t="s">
        <v>2078</v>
      </c>
      <c r="P468" s="2">
        <v>42</v>
      </c>
      <c r="Q468" s="2">
        <v>5</v>
      </c>
      <c r="R468" s="2">
        <v>6.7</v>
      </c>
      <c r="S468" s="2">
        <v>28</v>
      </c>
      <c r="T468" s="2">
        <v>35</v>
      </c>
      <c r="U468" s="251">
        <v>6</v>
      </c>
      <c r="V468" s="2">
        <v>114</v>
      </c>
      <c r="W468" s="86">
        <v>131</v>
      </c>
      <c r="X468" s="40">
        <f>_xlfn.XLOOKUP("Ripening", CropPhenology_Wheat[Main_Stage], CropPhenology_Wheat[Start_GDD], "Not Found")</f>
        <v>1501</v>
      </c>
      <c r="Y468" s="4" cm="1">
        <f t="array" ref="Y46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8" s="3">
        <f t="shared" si="283"/>
        <v>13.185147984464979</v>
      </c>
      <c r="AA468" s="41">
        <f t="shared" si="276"/>
        <v>128.9329480414612</v>
      </c>
      <c r="AB468" s="2">
        <v>9</v>
      </c>
      <c r="AC468" s="2">
        <v>5</v>
      </c>
      <c r="AD468" s="2">
        <v>2</v>
      </c>
      <c r="AE468" s="2">
        <v>80</v>
      </c>
      <c r="AF468" s="2">
        <v>0</v>
      </c>
      <c r="AG468" s="2">
        <v>5</v>
      </c>
      <c r="AH468" s="49">
        <f t="shared" si="271"/>
        <v>1.5434379111226653</v>
      </c>
      <c r="AI468" s="2">
        <v>5.5</v>
      </c>
      <c r="AJ468" s="2">
        <v>8</v>
      </c>
      <c r="AK468" s="165">
        <v>6</v>
      </c>
      <c r="AL468" s="166">
        <v>7.0999999999999994E-2</v>
      </c>
      <c r="AM468" s="2">
        <v>195</v>
      </c>
      <c r="AN468" s="2">
        <v>285</v>
      </c>
      <c r="AO468" s="85">
        <v>5</v>
      </c>
      <c r="AP468" s="86">
        <v>100</v>
      </c>
      <c r="AQ468" s="149">
        <v>0.8</v>
      </c>
      <c r="AR468" s="2">
        <v>20</v>
      </c>
      <c r="AS468" s="2">
        <v>2.5</v>
      </c>
      <c r="AT468" s="2">
        <v>1</v>
      </c>
      <c r="AU468" s="4">
        <f t="shared" si="277"/>
        <v>200</v>
      </c>
      <c r="AV468" s="3">
        <f t="shared" si="284"/>
        <v>84</v>
      </c>
      <c r="AW468" s="2">
        <v>90</v>
      </c>
      <c r="AX468" s="3">
        <f t="shared" si="278"/>
        <v>180</v>
      </c>
      <c r="AY468" s="2">
        <v>4</v>
      </c>
      <c r="AZ468" s="4">
        <f t="shared" si="279"/>
        <v>720</v>
      </c>
      <c r="BA468" s="49">
        <v>0.8</v>
      </c>
      <c r="BB468" s="4">
        <f t="shared" si="280"/>
        <v>576</v>
      </c>
      <c r="BC468" s="150">
        <v>8.0000000000000002E-3</v>
      </c>
      <c r="BD468" s="69">
        <f>IFERROR(
  MAX(0.05, MIN(0.5, CropNorms_Wheat[[#This Row],[Leaf_Area_Per_Shoot_m2]] * CropNorms_Wheat[[#This Row],[Shoot_Bearing_m2]] )),
  0.2
)</f>
        <v>0.5</v>
      </c>
      <c r="BE468" s="4">
        <f>_xlfn.XLOOKUP(CropNorms_Wheat[[#This Row],[LAI_Start_BBCH]], CropPhenology_Wheat[Sub_Stage], CropPhenology_Wheat[Start_GDD], "Not Found")</f>
        <v>151</v>
      </c>
      <c r="BF468" s="3">
        <f t="shared" si="285"/>
        <v>4.6100000000000003</v>
      </c>
      <c r="BG46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8" s="3">
        <f>IF(CropNorms_Wheat[[#This Row],[Max_LAI]]&gt;=1.2, 0.85*CropNorms_Wheat[[#This Row],[Max_LAI]], 1)</f>
        <v>3.9185000000000003</v>
      </c>
      <c r="BI468" s="41">
        <f>_xlfn.XLOOKUP(CropNorms_Wheat[[#This Row],[LAI_End_BBCH]], CropPhenology_Wheat[Sub_Stage], CropPhenology_Wheat[End_GDD], "Not Found")</f>
        <v>1500</v>
      </c>
      <c r="BJ468" s="3" cm="1">
        <f t="array" ref="BJ46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8" s="3" cm="1">
        <f t="array" ref="BK46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8" s="3" cm="1">
        <f t="array" ref="BL46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8" s="3" cm="1">
        <f t="array" ref="BM46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8" s="42">
        <v>0.4</v>
      </c>
      <c r="BO468" s="43">
        <v>0</v>
      </c>
      <c r="BP468" s="42">
        <v>3.25</v>
      </c>
      <c r="BQ468" s="43" t="s">
        <v>1795</v>
      </c>
      <c r="BR468" s="3" t="str" cm="1">
        <f t="array" ref="BR46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8" s="3" t="str" cm="1">
        <f t="array" ref="BS46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8" s="3" t="str" cm="1">
        <f t="array" ref="BT46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8" s="3" t="str" cm="1">
        <f t="array" ref="BU46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8" s="48">
        <v>80</v>
      </c>
      <c r="BW468" s="1">
        <v>40</v>
      </c>
      <c r="BX468" s="44">
        <v>40</v>
      </c>
      <c r="BY468" s="151">
        <v>45962</v>
      </c>
      <c r="BZ468" s="151">
        <v>46022</v>
      </c>
      <c r="CA468" s="152">
        <v>0</v>
      </c>
      <c r="CB468" s="153">
        <v>0</v>
      </c>
      <c r="CC468" s="153">
        <v>1</v>
      </c>
      <c r="CD468" s="153">
        <v>1</v>
      </c>
      <c r="CE468" s="153">
        <v>1</v>
      </c>
      <c r="CF468" s="153">
        <v>0</v>
      </c>
      <c r="CG468" s="153">
        <v>0</v>
      </c>
      <c r="CH468" s="153">
        <v>0</v>
      </c>
      <c r="CI468" s="153">
        <v>0</v>
      </c>
      <c r="CJ468" s="153">
        <v>0</v>
      </c>
      <c r="CK468" s="153">
        <v>0</v>
      </c>
      <c r="CL468" s="153">
        <v>0</v>
      </c>
    </row>
    <row r="469" spans="2:90" x14ac:dyDescent="0.25">
      <c r="B469" s="27" t="s">
        <v>321</v>
      </c>
      <c r="C469" s="2" t="s">
        <v>2236</v>
      </c>
      <c r="D469" s="2" t="s">
        <v>2126</v>
      </c>
      <c r="E469" s="2" t="s">
        <v>2127</v>
      </c>
      <c r="F469" s="90">
        <v>120</v>
      </c>
      <c r="G469" s="2" t="s">
        <v>2237</v>
      </c>
      <c r="H469" s="2" t="s">
        <v>2238</v>
      </c>
      <c r="I469" s="2"/>
      <c r="J469" s="2" t="s">
        <v>2239</v>
      </c>
      <c r="K469" s="2" t="s">
        <v>1748</v>
      </c>
      <c r="L469" s="2" t="s">
        <v>1750</v>
      </c>
      <c r="M469" s="2" t="s">
        <v>358</v>
      </c>
      <c r="N469" s="49"/>
      <c r="O469" s="2" t="s">
        <v>2078</v>
      </c>
      <c r="P469" s="2">
        <v>40</v>
      </c>
      <c r="Q469" s="2">
        <v>5</v>
      </c>
      <c r="R469" s="2">
        <v>6.7</v>
      </c>
      <c r="S469" s="2">
        <v>28</v>
      </c>
      <c r="T469" s="2">
        <v>35</v>
      </c>
      <c r="U469" s="251">
        <v>6</v>
      </c>
      <c r="V469" s="2">
        <v>121</v>
      </c>
      <c r="W469" s="86">
        <v>150</v>
      </c>
      <c r="X469" s="40">
        <f>_xlfn.XLOOKUP("Ripening", CropPhenology_Wheat[Main_Stage], CropPhenology_Wheat[Start_GDD], "Not Found")</f>
        <v>1501</v>
      </c>
      <c r="Y469" s="4" cm="1">
        <f t="array" ref="Y46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69" s="3">
        <f t="shared" si="283"/>
        <v>12.028126721763085</v>
      </c>
      <c r="AA469" s="41">
        <f t="shared" si="276"/>
        <v>141.33539156385058</v>
      </c>
      <c r="AB469" s="2">
        <v>9</v>
      </c>
      <c r="AC469" s="2">
        <v>5</v>
      </c>
      <c r="AD469" s="2">
        <v>2</v>
      </c>
      <c r="AE469" s="2">
        <v>80</v>
      </c>
      <c r="AF469" s="2">
        <v>0</v>
      </c>
      <c r="AG469" s="2">
        <v>5</v>
      </c>
      <c r="AH469" s="49">
        <f t="shared" si="271"/>
        <v>1.407998363312267</v>
      </c>
      <c r="AI469" s="2">
        <v>5.5</v>
      </c>
      <c r="AJ469" s="2">
        <v>8</v>
      </c>
      <c r="AK469" s="165">
        <v>6</v>
      </c>
      <c r="AL469" s="166">
        <v>7.0999999999999994E-2</v>
      </c>
      <c r="AM469" s="2">
        <v>195</v>
      </c>
      <c r="AN469" s="2">
        <v>285</v>
      </c>
      <c r="AO469" s="85">
        <v>5</v>
      </c>
      <c r="AP469" s="86">
        <v>100</v>
      </c>
      <c r="AQ469" s="149">
        <v>0.8</v>
      </c>
      <c r="AR469" s="2">
        <v>20</v>
      </c>
      <c r="AS469" s="2">
        <v>2.5</v>
      </c>
      <c r="AT469" s="2">
        <v>1</v>
      </c>
      <c r="AU469" s="4">
        <f t="shared" si="277"/>
        <v>200</v>
      </c>
      <c r="AV469" s="3">
        <f t="shared" si="284"/>
        <v>80</v>
      </c>
      <c r="AW469" s="2">
        <v>90</v>
      </c>
      <c r="AX469" s="3">
        <f t="shared" si="278"/>
        <v>180</v>
      </c>
      <c r="AY469" s="2">
        <v>4</v>
      </c>
      <c r="AZ469" s="4">
        <f t="shared" si="279"/>
        <v>720</v>
      </c>
      <c r="BA469" s="49">
        <v>0.8</v>
      </c>
      <c r="BB469" s="4">
        <f t="shared" si="280"/>
        <v>576</v>
      </c>
      <c r="BC469" s="150">
        <v>8.0000000000000002E-3</v>
      </c>
      <c r="BD469" s="69">
        <f>IFERROR(
  MAX(0.05, MIN(0.5, CropNorms_Wheat[[#This Row],[Leaf_Area_Per_Shoot_m2]] * CropNorms_Wheat[[#This Row],[Shoot_Bearing_m2]] )),
  0.2
)</f>
        <v>0.5</v>
      </c>
      <c r="BE469" s="4">
        <f>_xlfn.XLOOKUP(CropNorms_Wheat[[#This Row],[LAI_Start_BBCH]], CropPhenology_Wheat[Sub_Stage], CropPhenology_Wheat[Start_GDD], "Not Found")</f>
        <v>151</v>
      </c>
      <c r="BF469" s="3">
        <f t="shared" si="285"/>
        <v>4.6100000000000003</v>
      </c>
      <c r="BG46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69" s="3">
        <f>IF(CropNorms_Wheat[[#This Row],[Max_LAI]]&gt;=1.2, 0.85*CropNorms_Wheat[[#This Row],[Max_LAI]], 1)</f>
        <v>3.9185000000000003</v>
      </c>
      <c r="BI469" s="41">
        <f>_xlfn.XLOOKUP(CropNorms_Wheat[[#This Row],[LAI_End_BBCH]], CropPhenology_Wheat[Sub_Stage], CropPhenology_Wheat[End_GDD], "Not Found")</f>
        <v>1500</v>
      </c>
      <c r="BJ469" s="3" cm="1">
        <f t="array" ref="BJ46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69" s="3" cm="1">
        <f t="array" ref="BK46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69" s="3" cm="1">
        <f t="array" ref="BL46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69" s="3" cm="1">
        <f t="array" ref="BM46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69" s="42">
        <v>0.4</v>
      </c>
      <c r="BO469" s="43">
        <v>0</v>
      </c>
      <c r="BP469" s="42">
        <v>3.25</v>
      </c>
      <c r="BQ469" s="43" t="s">
        <v>1795</v>
      </c>
      <c r="BR469" s="3" t="str" cm="1">
        <f t="array" ref="BR46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69" s="3" t="str" cm="1">
        <f t="array" ref="BS46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69" s="3" t="str" cm="1">
        <f t="array" ref="BT46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69" s="3" t="str" cm="1">
        <f t="array" ref="BU46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69" s="48">
        <v>80</v>
      </c>
      <c r="BW469" s="1">
        <v>40</v>
      </c>
      <c r="BX469" s="44">
        <v>40</v>
      </c>
      <c r="BY469" s="151">
        <v>45962</v>
      </c>
      <c r="BZ469" s="151">
        <v>46022</v>
      </c>
      <c r="CA469" s="152">
        <v>0</v>
      </c>
      <c r="CB469" s="153">
        <v>0</v>
      </c>
      <c r="CC469" s="153">
        <v>1</v>
      </c>
      <c r="CD469" s="153">
        <v>1</v>
      </c>
      <c r="CE469" s="153">
        <v>1</v>
      </c>
      <c r="CF469" s="153">
        <v>0</v>
      </c>
      <c r="CG469" s="153">
        <v>0</v>
      </c>
      <c r="CH469" s="153">
        <v>0</v>
      </c>
      <c r="CI469" s="153">
        <v>0</v>
      </c>
      <c r="CJ469" s="153">
        <v>0</v>
      </c>
      <c r="CK469" s="153">
        <v>0</v>
      </c>
      <c r="CL469" s="153">
        <v>0</v>
      </c>
    </row>
    <row r="470" spans="2:90" x14ac:dyDescent="0.25">
      <c r="B470" s="27" t="s">
        <v>321</v>
      </c>
      <c r="C470" s="2" t="s">
        <v>2240</v>
      </c>
      <c r="D470" s="2" t="s">
        <v>2126</v>
      </c>
      <c r="E470" s="2" t="s">
        <v>1835</v>
      </c>
      <c r="F470" s="90">
        <v>100</v>
      </c>
      <c r="G470" s="2" t="s">
        <v>2241</v>
      </c>
      <c r="H470" s="2"/>
      <c r="I470" s="2"/>
      <c r="J470" s="2" t="s">
        <v>2170</v>
      </c>
      <c r="K470" s="2" t="s">
        <v>1748</v>
      </c>
      <c r="L470" s="2" t="s">
        <v>1750</v>
      </c>
      <c r="M470" s="2" t="s">
        <v>358</v>
      </c>
      <c r="N470" s="49"/>
      <c r="O470" s="2" t="s">
        <v>2078</v>
      </c>
      <c r="P470" s="2">
        <v>47</v>
      </c>
      <c r="Q470" s="2">
        <v>5</v>
      </c>
      <c r="R470" s="2">
        <v>6.7</v>
      </c>
      <c r="S470" s="2">
        <v>28</v>
      </c>
      <c r="T470" s="2">
        <v>35</v>
      </c>
      <c r="U470" s="251">
        <v>6</v>
      </c>
      <c r="V470" s="2">
        <v>122</v>
      </c>
      <c r="W470" s="86">
        <v>148</v>
      </c>
      <c r="X470" s="40">
        <f>_xlfn.XLOOKUP("Ripening", CropPhenology_Wheat[Main_Stage], CropPhenology_Wheat[Start_GDD], "Not Found")</f>
        <v>1501</v>
      </c>
      <c r="Y470" s="4" cm="1">
        <f t="array" ref="Y47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0" s="3">
        <f t="shared" si="283"/>
        <v>12.038159060700044</v>
      </c>
      <c r="AA470" s="41">
        <f t="shared" si="276"/>
        <v>141.21760573423936</v>
      </c>
      <c r="AB470" s="2">
        <v>9</v>
      </c>
      <c r="AC470" s="2">
        <v>5</v>
      </c>
      <c r="AD470" s="2">
        <v>2</v>
      </c>
      <c r="AE470" s="2">
        <v>80</v>
      </c>
      <c r="AF470" s="2">
        <v>0</v>
      </c>
      <c r="AG470" s="2">
        <v>5</v>
      </c>
      <c r="AH470" s="49">
        <f t="shared" si="271"/>
        <v>1.4091727371054756</v>
      </c>
      <c r="AI470" s="2">
        <v>5.5</v>
      </c>
      <c r="AJ470" s="2">
        <v>8</v>
      </c>
      <c r="AK470" s="165">
        <v>6</v>
      </c>
      <c r="AL470" s="166">
        <v>7.0999999999999994E-2</v>
      </c>
      <c r="AM470" s="2">
        <v>195</v>
      </c>
      <c r="AN470" s="2">
        <v>285</v>
      </c>
      <c r="AO470" s="85">
        <v>5</v>
      </c>
      <c r="AP470" s="86">
        <v>100</v>
      </c>
      <c r="AQ470" s="149">
        <v>0.8</v>
      </c>
      <c r="AR470" s="2">
        <v>20</v>
      </c>
      <c r="AS470" s="2">
        <v>2.5</v>
      </c>
      <c r="AT470" s="2">
        <v>1</v>
      </c>
      <c r="AU470" s="4">
        <f t="shared" si="277"/>
        <v>200</v>
      </c>
      <c r="AV470" s="3">
        <f t="shared" si="284"/>
        <v>94</v>
      </c>
      <c r="AW470" s="2">
        <v>90</v>
      </c>
      <c r="AX470" s="3">
        <f t="shared" si="278"/>
        <v>180</v>
      </c>
      <c r="AY470" s="2">
        <v>4</v>
      </c>
      <c r="AZ470" s="4">
        <f t="shared" si="279"/>
        <v>720</v>
      </c>
      <c r="BA470" s="49">
        <v>0.8</v>
      </c>
      <c r="BB470" s="4">
        <f t="shared" si="280"/>
        <v>576</v>
      </c>
      <c r="BC470" s="150">
        <v>8.0000000000000002E-3</v>
      </c>
      <c r="BD470" s="69">
        <f>IFERROR(
  MAX(0.05, MIN(0.5, CropNorms_Wheat[[#This Row],[Leaf_Area_Per_Shoot_m2]] * CropNorms_Wheat[[#This Row],[Shoot_Bearing_m2]] )),
  0.2
)</f>
        <v>0.5</v>
      </c>
      <c r="BE470" s="4">
        <f>_xlfn.XLOOKUP(CropNorms_Wheat[[#This Row],[LAI_Start_BBCH]], CropPhenology_Wheat[Sub_Stage], CropPhenology_Wheat[Start_GDD], "Not Found")</f>
        <v>151</v>
      </c>
      <c r="BF470" s="3">
        <f t="shared" si="285"/>
        <v>4.6100000000000003</v>
      </c>
      <c r="BG47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0" s="3">
        <f>IF(CropNorms_Wheat[[#This Row],[Max_LAI]]&gt;=1.2, 0.85*CropNorms_Wheat[[#This Row],[Max_LAI]], 1)</f>
        <v>3.9185000000000003</v>
      </c>
      <c r="BI470" s="41">
        <f>_xlfn.XLOOKUP(CropNorms_Wheat[[#This Row],[LAI_End_BBCH]], CropPhenology_Wheat[Sub_Stage], CropPhenology_Wheat[End_GDD], "Not Found")</f>
        <v>1500</v>
      </c>
      <c r="BJ470" s="3" cm="1">
        <f t="array" ref="BJ47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0" s="3" cm="1">
        <f t="array" ref="BK47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0" s="3" cm="1">
        <f t="array" ref="BL47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0" s="3" cm="1">
        <f t="array" ref="BM47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0" s="42">
        <v>0.4</v>
      </c>
      <c r="BO470" s="43">
        <v>0</v>
      </c>
      <c r="BP470" s="42">
        <v>3.25</v>
      </c>
      <c r="BQ470" s="43" t="s">
        <v>1795</v>
      </c>
      <c r="BR470" s="3" t="str" cm="1">
        <f t="array" ref="BR47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0" s="3" t="str" cm="1">
        <f t="array" ref="BS47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0" s="3" t="str" cm="1">
        <f t="array" ref="BT47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0" s="3" t="str" cm="1">
        <f t="array" ref="BU47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0" s="48">
        <v>80</v>
      </c>
      <c r="BW470" s="1">
        <v>40</v>
      </c>
      <c r="BX470" s="44">
        <v>40</v>
      </c>
      <c r="BY470" s="151">
        <v>45962</v>
      </c>
      <c r="BZ470" s="151">
        <v>46022</v>
      </c>
      <c r="CA470" s="152">
        <v>0</v>
      </c>
      <c r="CB470" s="153">
        <v>0</v>
      </c>
      <c r="CC470" s="153">
        <v>1</v>
      </c>
      <c r="CD470" s="153">
        <v>1</v>
      </c>
      <c r="CE470" s="153">
        <v>1</v>
      </c>
      <c r="CF470" s="153">
        <v>0</v>
      </c>
      <c r="CG470" s="153">
        <v>0</v>
      </c>
      <c r="CH470" s="153">
        <v>0</v>
      </c>
      <c r="CI470" s="153">
        <v>0</v>
      </c>
      <c r="CJ470" s="153">
        <v>0</v>
      </c>
      <c r="CK470" s="153">
        <v>0</v>
      </c>
      <c r="CL470" s="153">
        <v>0</v>
      </c>
    </row>
    <row r="471" spans="2:90" x14ac:dyDescent="0.25">
      <c r="B471" s="27" t="s">
        <v>321</v>
      </c>
      <c r="C471" s="2" t="s">
        <v>2242</v>
      </c>
      <c r="D471" s="2" t="s">
        <v>2126</v>
      </c>
      <c r="E471" s="2" t="s">
        <v>1835</v>
      </c>
      <c r="F471" s="90">
        <v>103</v>
      </c>
      <c r="G471" s="2" t="s">
        <v>2243</v>
      </c>
      <c r="H471" s="2" t="s">
        <v>2227</v>
      </c>
      <c r="I471" s="2"/>
      <c r="J471" s="2" t="s">
        <v>2343</v>
      </c>
      <c r="K471" s="2" t="s">
        <v>1748</v>
      </c>
      <c r="L471" s="2" t="s">
        <v>1750</v>
      </c>
      <c r="M471" s="2" t="s">
        <v>358</v>
      </c>
      <c r="N471" s="49"/>
      <c r="O471" s="2" t="s">
        <v>2078</v>
      </c>
      <c r="P471" s="2">
        <v>45</v>
      </c>
      <c r="Q471" s="2">
        <v>5</v>
      </c>
      <c r="R471" s="2">
        <v>6.7</v>
      </c>
      <c r="S471" s="2">
        <v>28</v>
      </c>
      <c r="T471" s="2">
        <v>35</v>
      </c>
      <c r="U471" s="251">
        <v>6</v>
      </c>
      <c r="V471" s="2">
        <v>125</v>
      </c>
      <c r="W471" s="86">
        <v>152</v>
      </c>
      <c r="X471" s="40">
        <f>_xlfn.XLOOKUP("Ripening", CropPhenology_Wheat[Main_Stage], CropPhenology_Wheat[Start_GDD], "Not Found")</f>
        <v>1501</v>
      </c>
      <c r="Y471" s="4" cm="1">
        <f t="array" ref="Y47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1" s="3">
        <f t="shared" si="283"/>
        <v>11.737500000000001</v>
      </c>
      <c r="AA471" s="41">
        <f t="shared" si="276"/>
        <v>144.83493077742278</v>
      </c>
      <c r="AB471" s="2">
        <v>9</v>
      </c>
      <c r="AC471" s="2">
        <v>5</v>
      </c>
      <c r="AD471" s="2">
        <v>2</v>
      </c>
      <c r="AE471" s="2">
        <v>80</v>
      </c>
      <c r="AF471" s="2">
        <v>0</v>
      </c>
      <c r="AG471" s="2">
        <v>5</v>
      </c>
      <c r="AH471" s="49">
        <f t="shared" si="271"/>
        <v>1.3739779411764705</v>
      </c>
      <c r="AI471" s="2">
        <v>5.5</v>
      </c>
      <c r="AJ471" s="2">
        <v>8</v>
      </c>
      <c r="AK471" s="165">
        <v>6</v>
      </c>
      <c r="AL471" s="166">
        <v>7.0999999999999994E-2</v>
      </c>
      <c r="AM471" s="2">
        <v>195</v>
      </c>
      <c r="AN471" s="2">
        <v>285</v>
      </c>
      <c r="AO471" s="85">
        <v>5</v>
      </c>
      <c r="AP471" s="86">
        <v>100</v>
      </c>
      <c r="AQ471" s="149">
        <v>0.8</v>
      </c>
      <c r="AR471" s="2">
        <v>20</v>
      </c>
      <c r="AS471" s="2">
        <v>2.5</v>
      </c>
      <c r="AT471" s="2">
        <v>1</v>
      </c>
      <c r="AU471" s="4">
        <f t="shared" si="277"/>
        <v>200</v>
      </c>
      <c r="AV471" s="3">
        <f t="shared" si="284"/>
        <v>90</v>
      </c>
      <c r="AW471" s="2">
        <v>90</v>
      </c>
      <c r="AX471" s="3">
        <f t="shared" si="278"/>
        <v>180</v>
      </c>
      <c r="AY471" s="2">
        <v>4</v>
      </c>
      <c r="AZ471" s="4">
        <f t="shared" si="279"/>
        <v>720</v>
      </c>
      <c r="BA471" s="49">
        <v>0.8</v>
      </c>
      <c r="BB471" s="4">
        <f t="shared" si="280"/>
        <v>576</v>
      </c>
      <c r="BC471" s="150">
        <v>8.0000000000000002E-3</v>
      </c>
      <c r="BD471" s="69">
        <f>IFERROR(
  MAX(0.05, MIN(0.5, CropNorms_Wheat[[#This Row],[Leaf_Area_Per_Shoot_m2]] * CropNorms_Wheat[[#This Row],[Shoot_Bearing_m2]] )),
  0.2
)</f>
        <v>0.5</v>
      </c>
      <c r="BE471" s="4">
        <f>_xlfn.XLOOKUP(CropNorms_Wheat[[#This Row],[LAI_Start_BBCH]], CropPhenology_Wheat[Sub_Stage], CropPhenology_Wheat[Start_GDD], "Not Found")</f>
        <v>151</v>
      </c>
      <c r="BF471" s="3">
        <f t="shared" si="285"/>
        <v>4.6100000000000003</v>
      </c>
      <c r="BG47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1" s="3">
        <f>IF(CropNorms_Wheat[[#This Row],[Max_LAI]]&gt;=1.2, 0.85*CropNorms_Wheat[[#This Row],[Max_LAI]], 1)</f>
        <v>3.9185000000000003</v>
      </c>
      <c r="BI471" s="41">
        <f>_xlfn.XLOOKUP(CropNorms_Wheat[[#This Row],[LAI_End_BBCH]], CropPhenology_Wheat[Sub_Stage], CropPhenology_Wheat[End_GDD], "Not Found")</f>
        <v>1500</v>
      </c>
      <c r="BJ471" s="3" cm="1">
        <f t="array" ref="BJ47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1" s="3" cm="1">
        <f t="array" ref="BK47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1" s="3" cm="1">
        <f t="array" ref="BL47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1" s="3" cm="1">
        <f t="array" ref="BM47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1" s="42">
        <v>0.4</v>
      </c>
      <c r="BO471" s="43">
        <v>0</v>
      </c>
      <c r="BP471" s="42">
        <v>3.25</v>
      </c>
      <c r="BQ471" s="43" t="s">
        <v>1795</v>
      </c>
      <c r="BR471" s="3" t="str" cm="1">
        <f t="array" ref="BR47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1" s="3" t="str" cm="1">
        <f t="array" ref="BS47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1" s="3" t="str" cm="1">
        <f t="array" ref="BT47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1" s="3" t="str" cm="1">
        <f t="array" ref="BU47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1" s="48">
        <v>80</v>
      </c>
      <c r="BW471" s="1">
        <v>40</v>
      </c>
      <c r="BX471" s="44">
        <v>40</v>
      </c>
      <c r="BY471" s="151">
        <v>45962</v>
      </c>
      <c r="BZ471" s="151">
        <v>46022</v>
      </c>
      <c r="CA471" s="152">
        <v>0</v>
      </c>
      <c r="CB471" s="153">
        <v>0</v>
      </c>
      <c r="CC471" s="153">
        <v>1</v>
      </c>
      <c r="CD471" s="153">
        <v>1</v>
      </c>
      <c r="CE471" s="153">
        <v>1</v>
      </c>
      <c r="CF471" s="153">
        <v>0</v>
      </c>
      <c r="CG471" s="153">
        <v>0</v>
      </c>
      <c r="CH471" s="153">
        <v>0</v>
      </c>
      <c r="CI471" s="153">
        <v>0</v>
      </c>
      <c r="CJ471" s="153">
        <v>0</v>
      </c>
      <c r="CK471" s="153">
        <v>0</v>
      </c>
      <c r="CL471" s="153">
        <v>0</v>
      </c>
    </row>
    <row r="472" spans="2:90" x14ac:dyDescent="0.25">
      <c r="B472" s="27" t="s">
        <v>321</v>
      </c>
      <c r="C472" s="2" t="s">
        <v>2244</v>
      </c>
      <c r="D472" s="2" t="s">
        <v>2126</v>
      </c>
      <c r="E472" s="2" t="s">
        <v>2144</v>
      </c>
      <c r="F472" s="90">
        <v>81</v>
      </c>
      <c r="G472" s="2"/>
      <c r="H472" s="2"/>
      <c r="I472" s="2"/>
      <c r="J472" s="2"/>
      <c r="K472" s="2" t="s">
        <v>1748</v>
      </c>
      <c r="L472" s="2" t="s">
        <v>1750</v>
      </c>
      <c r="M472" s="2" t="s">
        <v>358</v>
      </c>
      <c r="N472" s="49"/>
      <c r="O472" s="2" t="s">
        <v>2078</v>
      </c>
      <c r="P472" s="2">
        <v>29</v>
      </c>
      <c r="Q472" s="2">
        <v>5</v>
      </c>
      <c r="R472" s="2">
        <v>6.7</v>
      </c>
      <c r="S472" s="2">
        <v>28</v>
      </c>
      <c r="T472" s="2">
        <v>35</v>
      </c>
      <c r="U472" s="251">
        <v>6</v>
      </c>
      <c r="V472" s="2">
        <v>126</v>
      </c>
      <c r="W472" s="86">
        <v>154</v>
      </c>
      <c r="X472" s="40">
        <f>_xlfn.XLOOKUP("Ripening", CropPhenology_Wheat[Main_Stage], CropPhenology_Wheat[Start_GDD], "Not Found")</f>
        <v>1501</v>
      </c>
      <c r="Y472" s="4" cm="1">
        <f t="array" ref="Y47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2" s="3">
        <f t="shared" si="283"/>
        <v>11.619408369408369</v>
      </c>
      <c r="AA472" s="41">
        <f t="shared" si="276"/>
        <v>146.30693284485704</v>
      </c>
      <c r="AB472" s="2">
        <v>9</v>
      </c>
      <c r="AC472" s="2">
        <v>5</v>
      </c>
      <c r="AD472" s="2">
        <v>2</v>
      </c>
      <c r="AE472" s="2">
        <v>80</v>
      </c>
      <c r="AF472" s="2">
        <v>0</v>
      </c>
      <c r="AG472" s="2">
        <v>5</v>
      </c>
      <c r="AH472" s="49">
        <f t="shared" si="271"/>
        <v>1.3601542738307442</v>
      </c>
      <c r="AI472" s="2">
        <v>5.5</v>
      </c>
      <c r="AJ472" s="2">
        <v>8</v>
      </c>
      <c r="AK472" s="165">
        <v>6</v>
      </c>
      <c r="AL472" s="166">
        <v>7.0999999999999994E-2</v>
      </c>
      <c r="AM472" s="2">
        <v>195</v>
      </c>
      <c r="AN472" s="2">
        <v>285</v>
      </c>
      <c r="AO472" s="85">
        <v>5</v>
      </c>
      <c r="AP472" s="86">
        <v>100</v>
      </c>
      <c r="AQ472" s="149">
        <v>0.8</v>
      </c>
      <c r="AR472" s="2">
        <v>20</v>
      </c>
      <c r="AS472" s="2">
        <v>2.5</v>
      </c>
      <c r="AT472" s="2">
        <v>1</v>
      </c>
      <c r="AU472" s="4">
        <f t="shared" si="277"/>
        <v>200</v>
      </c>
      <c r="AV472" s="3">
        <f t="shared" si="284"/>
        <v>58</v>
      </c>
      <c r="AW472" s="2">
        <v>90</v>
      </c>
      <c r="AX472" s="3">
        <f t="shared" si="278"/>
        <v>180</v>
      </c>
      <c r="AY472" s="2">
        <v>4</v>
      </c>
      <c r="AZ472" s="4">
        <f t="shared" si="279"/>
        <v>720</v>
      </c>
      <c r="BA472" s="49">
        <v>0.8</v>
      </c>
      <c r="BB472" s="4">
        <f t="shared" si="280"/>
        <v>576</v>
      </c>
      <c r="BC472" s="150">
        <v>8.0000000000000002E-3</v>
      </c>
      <c r="BD472" s="69">
        <f>IFERROR(
  MAX(0.05, MIN(0.5, CropNorms_Wheat[[#This Row],[Leaf_Area_Per_Shoot_m2]] * CropNorms_Wheat[[#This Row],[Shoot_Bearing_m2]] )),
  0.2
)</f>
        <v>0.5</v>
      </c>
      <c r="BE472" s="4">
        <f>_xlfn.XLOOKUP(CropNorms_Wheat[[#This Row],[LAI_Start_BBCH]], CropPhenology_Wheat[Sub_Stage], CropPhenology_Wheat[Start_GDD], "Not Found")</f>
        <v>151</v>
      </c>
      <c r="BF472" s="3">
        <f t="shared" si="285"/>
        <v>4.6100000000000003</v>
      </c>
      <c r="BG47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2" s="3">
        <f>IF(CropNorms_Wheat[[#This Row],[Max_LAI]]&gt;=1.2, 0.85*CropNorms_Wheat[[#This Row],[Max_LAI]], 1)</f>
        <v>3.9185000000000003</v>
      </c>
      <c r="BI472" s="41">
        <f>_xlfn.XLOOKUP(CropNorms_Wheat[[#This Row],[LAI_End_BBCH]], CropPhenology_Wheat[Sub_Stage], CropPhenology_Wheat[End_GDD], "Not Found")</f>
        <v>1500</v>
      </c>
      <c r="BJ472" s="3" cm="1">
        <f t="array" ref="BJ47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2" s="3" cm="1">
        <f t="array" ref="BK47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2" s="3" cm="1">
        <f t="array" ref="BL47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2" s="3" cm="1">
        <f t="array" ref="BM47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2" s="42">
        <v>0.4</v>
      </c>
      <c r="BO472" s="43">
        <v>0</v>
      </c>
      <c r="BP472" s="42">
        <v>3.25</v>
      </c>
      <c r="BQ472" s="43" t="s">
        <v>1795</v>
      </c>
      <c r="BR472" s="3" t="str" cm="1">
        <f t="array" ref="BR47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2" s="3" t="str" cm="1">
        <f t="array" ref="BS47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2" s="3" t="str" cm="1">
        <f t="array" ref="BT47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2" s="3" t="str" cm="1">
        <f t="array" ref="BU47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2" s="48">
        <v>80</v>
      </c>
      <c r="BW472" s="1">
        <v>40</v>
      </c>
      <c r="BX472" s="44">
        <v>40</v>
      </c>
      <c r="BY472" s="151">
        <v>45962</v>
      </c>
      <c r="BZ472" s="151">
        <v>46022</v>
      </c>
      <c r="CA472" s="152">
        <v>0</v>
      </c>
      <c r="CB472" s="153">
        <v>0</v>
      </c>
      <c r="CC472" s="153">
        <v>1</v>
      </c>
      <c r="CD472" s="153">
        <v>1</v>
      </c>
      <c r="CE472" s="153">
        <v>1</v>
      </c>
      <c r="CF472" s="153">
        <v>0</v>
      </c>
      <c r="CG472" s="153">
        <v>0</v>
      </c>
      <c r="CH472" s="153">
        <v>0</v>
      </c>
      <c r="CI472" s="153">
        <v>0</v>
      </c>
      <c r="CJ472" s="153">
        <v>0</v>
      </c>
      <c r="CK472" s="153">
        <v>0</v>
      </c>
      <c r="CL472" s="153">
        <v>0</v>
      </c>
    </row>
    <row r="473" spans="2:90" x14ac:dyDescent="0.25">
      <c r="B473" s="27" t="s">
        <v>321</v>
      </c>
      <c r="C473" s="2" t="s">
        <v>2245</v>
      </c>
      <c r="D473" s="2" t="s">
        <v>2126</v>
      </c>
      <c r="E473" s="2" t="s">
        <v>1835</v>
      </c>
      <c r="F473" s="90">
        <v>110</v>
      </c>
      <c r="G473" s="2" t="s">
        <v>2246</v>
      </c>
      <c r="H473" s="2" t="s">
        <v>2131</v>
      </c>
      <c r="I473" s="2"/>
      <c r="J473" s="2"/>
      <c r="K473" s="2" t="s">
        <v>1748</v>
      </c>
      <c r="L473" s="2" t="s">
        <v>1750</v>
      </c>
      <c r="M473" s="2" t="s">
        <v>358</v>
      </c>
      <c r="N473" s="49"/>
      <c r="O473" s="2" t="s">
        <v>2078</v>
      </c>
      <c r="P473" s="2">
        <v>32</v>
      </c>
      <c r="Q473" s="2">
        <v>5</v>
      </c>
      <c r="R473" s="2">
        <v>6.7</v>
      </c>
      <c r="S473" s="2">
        <v>28</v>
      </c>
      <c r="T473" s="2">
        <v>35</v>
      </c>
      <c r="U473" s="251">
        <v>6</v>
      </c>
      <c r="V473" s="2">
        <v>138</v>
      </c>
      <c r="W473" s="86">
        <v>165</v>
      </c>
      <c r="X473" s="40">
        <f>_xlfn.XLOOKUP("Ripening", CropPhenology_Wheat[Main_Stage], CropPhenology_Wheat[Start_GDD], "Not Found")</f>
        <v>1501</v>
      </c>
      <c r="Y473" s="4" cm="1">
        <f t="array" ref="Y47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3" s="3">
        <f t="shared" si="283"/>
        <v>10.707905138339921</v>
      </c>
      <c r="AA473" s="41">
        <f t="shared" si="276"/>
        <v>158.76121221069727</v>
      </c>
      <c r="AB473" s="2">
        <v>6</v>
      </c>
      <c r="AC473" s="2">
        <v>5</v>
      </c>
      <c r="AD473" s="2">
        <v>2</v>
      </c>
      <c r="AE473" s="2">
        <v>80</v>
      </c>
      <c r="AF473" s="2">
        <v>0</v>
      </c>
      <c r="AG473" s="2">
        <v>5</v>
      </c>
      <c r="AH473" s="49">
        <f t="shared" si="271"/>
        <v>1.2534547779586145</v>
      </c>
      <c r="AI473" s="2">
        <v>5.5</v>
      </c>
      <c r="AJ473" s="2">
        <v>8</v>
      </c>
      <c r="AK473" s="165">
        <v>6</v>
      </c>
      <c r="AL473" s="166">
        <v>7.0999999999999994E-2</v>
      </c>
      <c r="AM473" s="2">
        <v>195</v>
      </c>
      <c r="AN473" s="2">
        <v>285</v>
      </c>
      <c r="AO473" s="85">
        <v>5</v>
      </c>
      <c r="AP473" s="86">
        <v>100</v>
      </c>
      <c r="AQ473" s="149">
        <v>0.8</v>
      </c>
      <c r="AR473" s="2">
        <v>20</v>
      </c>
      <c r="AS473" s="2">
        <v>2.5</v>
      </c>
      <c r="AT473" s="2">
        <v>1</v>
      </c>
      <c r="AU473" s="4">
        <f t="shared" si="277"/>
        <v>200</v>
      </c>
      <c r="AV473" s="3">
        <f t="shared" si="284"/>
        <v>64</v>
      </c>
      <c r="AW473" s="2">
        <v>90</v>
      </c>
      <c r="AX473" s="3">
        <f t="shared" si="278"/>
        <v>180</v>
      </c>
      <c r="AY473" s="2">
        <v>4</v>
      </c>
      <c r="AZ473" s="4">
        <f t="shared" si="279"/>
        <v>720</v>
      </c>
      <c r="BA473" s="49">
        <v>0.8</v>
      </c>
      <c r="BB473" s="4">
        <f t="shared" si="280"/>
        <v>576</v>
      </c>
      <c r="BC473" s="150">
        <v>8.0000000000000002E-3</v>
      </c>
      <c r="BD473" s="69">
        <f>IFERROR(
  MAX(0.05, MIN(0.5, CropNorms_Wheat[[#This Row],[Leaf_Area_Per_Shoot_m2]] * CropNorms_Wheat[[#This Row],[Shoot_Bearing_m2]] )),
  0.2
)</f>
        <v>0.5</v>
      </c>
      <c r="BE473" s="4">
        <f>_xlfn.XLOOKUP(CropNorms_Wheat[[#This Row],[LAI_Start_BBCH]], CropPhenology_Wheat[Sub_Stage], CropPhenology_Wheat[Start_GDD], "Not Found")</f>
        <v>151</v>
      </c>
      <c r="BF473" s="3">
        <f t="shared" si="285"/>
        <v>4.6100000000000003</v>
      </c>
      <c r="BG47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3" s="3">
        <f>IF(CropNorms_Wheat[[#This Row],[Max_LAI]]&gt;=1.2, 0.85*CropNorms_Wheat[[#This Row],[Max_LAI]], 1)</f>
        <v>3.9185000000000003</v>
      </c>
      <c r="BI473" s="41">
        <f>_xlfn.XLOOKUP(CropNorms_Wheat[[#This Row],[LAI_End_BBCH]], CropPhenology_Wheat[Sub_Stage], CropPhenology_Wheat[End_GDD], "Not Found")</f>
        <v>1500</v>
      </c>
      <c r="BJ473" s="3" cm="1">
        <f t="array" ref="BJ47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3" s="3" cm="1">
        <f t="array" ref="BK47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3" s="3" cm="1">
        <f t="array" ref="BL47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3" s="3" cm="1">
        <f t="array" ref="BM47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3" s="42">
        <f t="shared" ref="BN473:BN475" si="287">(0.28+0.4)/2</f>
        <v>0.34</v>
      </c>
      <c r="BO473" s="43">
        <v>0</v>
      </c>
      <c r="BP473" s="42">
        <v>2.7625000000000002</v>
      </c>
      <c r="BQ473" s="43" t="s">
        <v>1795</v>
      </c>
      <c r="BR473" s="3" t="str" cm="1">
        <f t="array" ref="BR47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3" s="3" t="str" cm="1">
        <f t="array" ref="BS47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3" s="3" t="str" cm="1">
        <f t="array" ref="BT47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3" s="3" t="str" cm="1">
        <f t="array" ref="BU47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3" s="48">
        <v>80</v>
      </c>
      <c r="BW473" s="1">
        <v>40</v>
      </c>
      <c r="BX473" s="44">
        <v>40</v>
      </c>
      <c r="BY473" s="151">
        <v>45962</v>
      </c>
      <c r="BZ473" s="151">
        <v>46022</v>
      </c>
      <c r="CA473" s="152">
        <v>0</v>
      </c>
      <c r="CB473" s="153">
        <v>0</v>
      </c>
      <c r="CC473" s="153">
        <v>1</v>
      </c>
      <c r="CD473" s="153">
        <v>1</v>
      </c>
      <c r="CE473" s="153">
        <v>1</v>
      </c>
      <c r="CF473" s="153">
        <v>0</v>
      </c>
      <c r="CG473" s="153">
        <v>0</v>
      </c>
      <c r="CH473" s="153">
        <v>0</v>
      </c>
      <c r="CI473" s="153">
        <v>0</v>
      </c>
      <c r="CJ473" s="153">
        <v>0</v>
      </c>
      <c r="CK473" s="153">
        <v>0</v>
      </c>
      <c r="CL473" s="153">
        <v>0</v>
      </c>
    </row>
    <row r="474" spans="2:90" x14ac:dyDescent="0.25">
      <c r="B474" s="27" t="s">
        <v>321</v>
      </c>
      <c r="C474" s="2" t="s">
        <v>2247</v>
      </c>
      <c r="D474" s="2" t="s">
        <v>2126</v>
      </c>
      <c r="E474" s="2" t="s">
        <v>2127</v>
      </c>
      <c r="F474" s="90">
        <v>120</v>
      </c>
      <c r="G474" s="2" t="s">
        <v>2248</v>
      </c>
      <c r="H474" s="2" t="s">
        <v>2227</v>
      </c>
      <c r="I474" s="2"/>
      <c r="J474" s="2" t="s">
        <v>2343</v>
      </c>
      <c r="K474" s="2" t="s">
        <v>1748</v>
      </c>
      <c r="L474" s="2" t="s">
        <v>1750</v>
      </c>
      <c r="M474" s="2" t="s">
        <v>358</v>
      </c>
      <c r="N474" s="49"/>
      <c r="O474" s="2" t="s">
        <v>2141</v>
      </c>
      <c r="P474" s="2">
        <v>40</v>
      </c>
      <c r="Q474" s="2">
        <v>5</v>
      </c>
      <c r="R474" s="2">
        <v>6.7</v>
      </c>
      <c r="S474" s="2">
        <v>28</v>
      </c>
      <c r="T474" s="2">
        <v>35</v>
      </c>
      <c r="U474" s="251">
        <v>6</v>
      </c>
      <c r="V474" s="2">
        <v>138</v>
      </c>
      <c r="W474" s="86">
        <v>160</v>
      </c>
      <c r="X474" s="40">
        <f>_xlfn.XLOOKUP("Ripening", CropPhenology_Wheat[Main_Stage], CropPhenology_Wheat[Start_GDD], "Not Found")</f>
        <v>1501</v>
      </c>
      <c r="Y474" s="4" cm="1">
        <f t="array" ref="Y47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4" s="3">
        <f t="shared" si="283"/>
        <v>10.850045289855071</v>
      </c>
      <c r="AA474" s="41">
        <f t="shared" si="276"/>
        <v>156.68137363348347</v>
      </c>
      <c r="AB474" s="2">
        <v>6</v>
      </c>
      <c r="AC474" s="2">
        <v>5</v>
      </c>
      <c r="AD474" s="2">
        <v>2</v>
      </c>
      <c r="AE474" s="2">
        <v>80</v>
      </c>
      <c r="AF474" s="2">
        <v>0</v>
      </c>
      <c r="AG474" s="2">
        <v>5</v>
      </c>
      <c r="AH474" s="49">
        <f t="shared" si="271"/>
        <v>1.2700935368712702</v>
      </c>
      <c r="AI474" s="2">
        <v>5.5</v>
      </c>
      <c r="AJ474" s="2">
        <v>8</v>
      </c>
      <c r="AK474" s="165">
        <v>6</v>
      </c>
      <c r="AL474" s="166">
        <v>7.0999999999999994E-2</v>
      </c>
      <c r="AM474" s="2">
        <v>195</v>
      </c>
      <c r="AN474" s="2">
        <v>285</v>
      </c>
      <c r="AO474" s="85">
        <v>5</v>
      </c>
      <c r="AP474" s="86">
        <v>100</v>
      </c>
      <c r="AQ474" s="149">
        <v>0.6</v>
      </c>
      <c r="AR474" s="2">
        <v>20</v>
      </c>
      <c r="AS474" s="2">
        <v>2.5</v>
      </c>
      <c r="AT474" s="2">
        <v>1</v>
      </c>
      <c r="AU474" s="4">
        <f t="shared" si="277"/>
        <v>200</v>
      </c>
      <c r="AV474" s="3">
        <f t="shared" si="284"/>
        <v>80</v>
      </c>
      <c r="AW474" s="2">
        <v>90</v>
      </c>
      <c r="AX474" s="3">
        <f t="shared" si="278"/>
        <v>180</v>
      </c>
      <c r="AY474" s="2">
        <v>4</v>
      </c>
      <c r="AZ474" s="4">
        <f t="shared" si="279"/>
        <v>720</v>
      </c>
      <c r="BA474" s="49">
        <v>0.6</v>
      </c>
      <c r="BB474" s="4">
        <f t="shared" si="280"/>
        <v>432</v>
      </c>
      <c r="BC474" s="150">
        <v>6.0000000000000001E-3</v>
      </c>
      <c r="BD474" s="69">
        <f>IFERROR(
  MAX(0.05, MIN(0.5, CropNorms_Wheat[[#This Row],[Leaf_Area_Per_Shoot_m2]] * CropNorms_Wheat[[#This Row],[Shoot_Bearing_m2]] )),
  0.2
)</f>
        <v>0.5</v>
      </c>
      <c r="BE474" s="4">
        <f>_xlfn.XLOOKUP(CropNorms_Wheat[[#This Row],[LAI_Start_BBCH]], CropPhenology_Wheat[Sub_Stage], CropPhenology_Wheat[Start_GDD], "Not Found")</f>
        <v>151</v>
      </c>
      <c r="BF474" s="3">
        <f t="shared" si="285"/>
        <v>2.59</v>
      </c>
      <c r="BG47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4" s="3">
        <f>IF(CropNorms_Wheat[[#This Row],[Max_LAI]]&gt;=1.2, 0.85*CropNorms_Wheat[[#This Row],[Max_LAI]], 1)</f>
        <v>2.2014999999999998</v>
      </c>
      <c r="BI474" s="41">
        <f>_xlfn.XLOOKUP(CropNorms_Wheat[[#This Row],[LAI_End_BBCH]], CropPhenology_Wheat[Sub_Stage], CropPhenology_Wheat[End_GDD], "Not Found")</f>
        <v>1500</v>
      </c>
      <c r="BJ474" s="3" cm="1">
        <f t="array" ref="BJ47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4" s="3" cm="1">
        <f t="array" ref="BK47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74" s="3" cm="1">
        <f t="array" ref="BL47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74" s="3" cm="1">
        <f t="array" ref="BM47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4" s="42">
        <f t="shared" si="287"/>
        <v>0.34</v>
      </c>
      <c r="BO474" s="43">
        <v>0</v>
      </c>
      <c r="BP474" s="42">
        <v>2.7625000000000002</v>
      </c>
      <c r="BQ474" s="43" t="s">
        <v>1795</v>
      </c>
      <c r="BR474" s="3" t="str" cm="1">
        <f t="array" ref="BR47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4" s="3" t="str" cm="1">
        <f t="array" ref="BS47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4" s="3" t="str" cm="1">
        <f t="array" ref="BT47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4" s="3" t="str" cm="1">
        <f t="array" ref="BU47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4" s="48">
        <v>80</v>
      </c>
      <c r="BW474" s="1">
        <v>40</v>
      </c>
      <c r="BX474" s="44">
        <v>40</v>
      </c>
      <c r="BY474" s="151">
        <v>45962</v>
      </c>
      <c r="BZ474" s="151">
        <v>46022</v>
      </c>
      <c r="CA474" s="152">
        <v>0</v>
      </c>
      <c r="CB474" s="153">
        <v>0</v>
      </c>
      <c r="CC474" s="153">
        <v>1</v>
      </c>
      <c r="CD474" s="153">
        <v>1</v>
      </c>
      <c r="CE474" s="153">
        <v>1</v>
      </c>
      <c r="CF474" s="153">
        <v>0</v>
      </c>
      <c r="CG474" s="153">
        <v>0</v>
      </c>
      <c r="CH474" s="153">
        <v>0</v>
      </c>
      <c r="CI474" s="153">
        <v>0</v>
      </c>
      <c r="CJ474" s="153">
        <v>0</v>
      </c>
      <c r="CK474" s="153">
        <v>0</v>
      </c>
      <c r="CL474" s="153">
        <v>0</v>
      </c>
    </row>
    <row r="475" spans="2:90" x14ac:dyDescent="0.25">
      <c r="B475" s="27" t="s">
        <v>321</v>
      </c>
      <c r="C475" s="2" t="s">
        <v>2249</v>
      </c>
      <c r="D475" s="2" t="s">
        <v>2126</v>
      </c>
      <c r="E475" s="2" t="s">
        <v>2127</v>
      </c>
      <c r="F475" s="90">
        <v>115</v>
      </c>
      <c r="G475" s="2"/>
      <c r="H475" s="2" t="s">
        <v>2227</v>
      </c>
      <c r="I475" s="2"/>
      <c r="J475" s="2" t="s">
        <v>2170</v>
      </c>
      <c r="K475" s="2" t="s">
        <v>1748</v>
      </c>
      <c r="L475" s="2" t="s">
        <v>1750</v>
      </c>
      <c r="M475" s="2" t="s">
        <v>358</v>
      </c>
      <c r="N475" s="49"/>
      <c r="O475" s="2" t="s">
        <v>2141</v>
      </c>
      <c r="P475" s="2">
        <v>36</v>
      </c>
      <c r="Q475" s="2">
        <v>5</v>
      </c>
      <c r="R475" s="2">
        <v>6.7</v>
      </c>
      <c r="S475" s="2">
        <v>28</v>
      </c>
      <c r="T475" s="2">
        <v>35</v>
      </c>
      <c r="U475" s="251">
        <v>6</v>
      </c>
      <c r="V475" s="2">
        <v>138</v>
      </c>
      <c r="W475" s="86">
        <v>160</v>
      </c>
      <c r="X475" s="40">
        <f>_xlfn.XLOOKUP("Ripening", CropPhenology_Wheat[Main_Stage], CropPhenology_Wheat[Start_GDD], "Not Found")</f>
        <v>1501</v>
      </c>
      <c r="Y475" s="4" cm="1">
        <f t="array" ref="Y47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5" s="3">
        <f t="shared" si="283"/>
        <v>10.850045289855071</v>
      </c>
      <c r="AA475" s="41">
        <f t="shared" si="276"/>
        <v>156.68137363348347</v>
      </c>
      <c r="AB475" s="2">
        <v>6</v>
      </c>
      <c r="AC475" s="2">
        <v>5</v>
      </c>
      <c r="AD475" s="2">
        <v>2</v>
      </c>
      <c r="AE475" s="2">
        <v>80</v>
      </c>
      <c r="AF475" s="2">
        <v>0</v>
      </c>
      <c r="AG475" s="2">
        <v>5</v>
      </c>
      <c r="AH475" s="49">
        <f t="shared" si="271"/>
        <v>1.2700935368712702</v>
      </c>
      <c r="AI475" s="2">
        <v>5.5</v>
      </c>
      <c r="AJ475" s="2">
        <v>8</v>
      </c>
      <c r="AK475" s="165">
        <v>6</v>
      </c>
      <c r="AL475" s="166">
        <v>7.0999999999999994E-2</v>
      </c>
      <c r="AM475" s="2">
        <v>195</v>
      </c>
      <c r="AN475" s="2">
        <v>285</v>
      </c>
      <c r="AO475" s="85">
        <v>5</v>
      </c>
      <c r="AP475" s="86">
        <v>100</v>
      </c>
      <c r="AQ475" s="149">
        <v>0.6</v>
      </c>
      <c r="AR475" s="2">
        <v>20</v>
      </c>
      <c r="AS475" s="2">
        <v>2.5</v>
      </c>
      <c r="AT475" s="2">
        <v>1</v>
      </c>
      <c r="AU475" s="4">
        <f t="shared" si="277"/>
        <v>200</v>
      </c>
      <c r="AV475" s="3">
        <f t="shared" si="284"/>
        <v>72</v>
      </c>
      <c r="AW475" s="2">
        <v>90</v>
      </c>
      <c r="AX475" s="3">
        <f t="shared" si="278"/>
        <v>180</v>
      </c>
      <c r="AY475" s="2">
        <v>4</v>
      </c>
      <c r="AZ475" s="4">
        <f t="shared" si="279"/>
        <v>720</v>
      </c>
      <c r="BA475" s="49">
        <v>0.6</v>
      </c>
      <c r="BB475" s="4">
        <f t="shared" si="280"/>
        <v>432</v>
      </c>
      <c r="BC475" s="150">
        <v>6.0000000000000001E-3</v>
      </c>
      <c r="BD475" s="69">
        <f>IFERROR(
  MAX(0.05, MIN(0.5, CropNorms_Wheat[[#This Row],[Leaf_Area_Per_Shoot_m2]] * CropNorms_Wheat[[#This Row],[Shoot_Bearing_m2]] )),
  0.2
)</f>
        <v>0.5</v>
      </c>
      <c r="BE475" s="4">
        <f>_xlfn.XLOOKUP(CropNorms_Wheat[[#This Row],[LAI_Start_BBCH]], CropPhenology_Wheat[Sub_Stage], CropPhenology_Wheat[Start_GDD], "Not Found")</f>
        <v>151</v>
      </c>
      <c r="BF475" s="3">
        <f t="shared" si="285"/>
        <v>2.59</v>
      </c>
      <c r="BG47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5" s="3">
        <f>IF(CropNorms_Wheat[[#This Row],[Max_LAI]]&gt;=1.2, 0.85*CropNorms_Wheat[[#This Row],[Max_LAI]], 1)</f>
        <v>2.2014999999999998</v>
      </c>
      <c r="BI475" s="41">
        <f>_xlfn.XLOOKUP(CropNorms_Wheat[[#This Row],[LAI_End_BBCH]], CropPhenology_Wheat[Sub_Stage], CropPhenology_Wheat[End_GDD], "Not Found")</f>
        <v>1500</v>
      </c>
      <c r="BJ475" s="3" cm="1">
        <f t="array" ref="BJ47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5" s="3" cm="1">
        <f t="array" ref="BK47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75" s="3" cm="1">
        <f t="array" ref="BL47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75" s="3" cm="1">
        <f t="array" ref="BM47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5" s="42">
        <f t="shared" si="287"/>
        <v>0.34</v>
      </c>
      <c r="BO475" s="43">
        <v>0</v>
      </c>
      <c r="BP475" s="42">
        <v>2.7625000000000002</v>
      </c>
      <c r="BQ475" s="43" t="s">
        <v>1795</v>
      </c>
      <c r="BR475" s="3" t="str" cm="1">
        <f t="array" ref="BR47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5" s="3" t="str" cm="1">
        <f t="array" ref="BS47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5" s="3" t="str" cm="1">
        <f t="array" ref="BT47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5" s="3" t="str" cm="1">
        <f t="array" ref="BU47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5" s="48">
        <v>80</v>
      </c>
      <c r="BW475" s="1">
        <v>40</v>
      </c>
      <c r="BX475" s="44">
        <v>40</v>
      </c>
      <c r="BY475" s="151">
        <v>45962</v>
      </c>
      <c r="BZ475" s="151">
        <v>46022</v>
      </c>
      <c r="CA475" s="152">
        <v>0</v>
      </c>
      <c r="CB475" s="153">
        <v>0</v>
      </c>
      <c r="CC475" s="153">
        <v>1</v>
      </c>
      <c r="CD475" s="153">
        <v>1</v>
      </c>
      <c r="CE475" s="153">
        <v>1</v>
      </c>
      <c r="CF475" s="153">
        <v>0</v>
      </c>
      <c r="CG475" s="153">
        <v>0</v>
      </c>
      <c r="CH475" s="153">
        <v>0</v>
      </c>
      <c r="CI475" s="153">
        <v>0</v>
      </c>
      <c r="CJ475" s="153">
        <v>0</v>
      </c>
      <c r="CK475" s="153">
        <v>0</v>
      </c>
      <c r="CL475" s="153">
        <v>0</v>
      </c>
    </row>
    <row r="476" spans="2:90" x14ac:dyDescent="0.25">
      <c r="B476" s="27" t="s">
        <v>321</v>
      </c>
      <c r="C476" s="2" t="s">
        <v>2250</v>
      </c>
      <c r="D476" s="2" t="s">
        <v>1832</v>
      </c>
      <c r="E476" s="2" t="s">
        <v>1835</v>
      </c>
      <c r="F476" s="90">
        <v>98</v>
      </c>
      <c r="G476" s="2"/>
      <c r="H476" s="2" t="s">
        <v>2251</v>
      </c>
      <c r="I476" s="2"/>
      <c r="J476" s="2" t="s">
        <v>2170</v>
      </c>
      <c r="K476" s="2" t="s">
        <v>1748</v>
      </c>
      <c r="L476" s="2" t="s">
        <v>1750</v>
      </c>
      <c r="M476" s="2" t="s">
        <v>358</v>
      </c>
      <c r="N476" s="49"/>
      <c r="O476" s="2" t="s">
        <v>2078</v>
      </c>
      <c r="P476" s="2">
        <v>39</v>
      </c>
      <c r="Q476" s="2">
        <v>5</v>
      </c>
      <c r="R476" s="2">
        <v>6.7</v>
      </c>
      <c r="S476" s="2">
        <v>28</v>
      </c>
      <c r="T476" s="2">
        <v>35</v>
      </c>
      <c r="U476" s="251">
        <v>6</v>
      </c>
      <c r="V476" s="2">
        <v>121</v>
      </c>
      <c r="W476" s="86">
        <v>140</v>
      </c>
      <c r="X476" s="40">
        <f>_xlfn.XLOOKUP("Ripening", CropPhenology_Wheat[Main_Stage], CropPhenology_Wheat[Start_GDD], "Not Found")</f>
        <v>1501</v>
      </c>
      <c r="Y476" s="4" cm="1">
        <f t="array" ref="Y47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6" s="3">
        <f t="shared" si="283"/>
        <v>12.385507674144037</v>
      </c>
      <c r="AA476" s="41">
        <f t="shared" si="276"/>
        <v>137.25719160861826</v>
      </c>
      <c r="AB476" s="2">
        <v>7</v>
      </c>
      <c r="AC476" s="2">
        <v>5</v>
      </c>
      <c r="AD476" s="2">
        <v>2</v>
      </c>
      <c r="AE476" s="2">
        <v>80</v>
      </c>
      <c r="AF476" s="2">
        <v>0</v>
      </c>
      <c r="AG476" s="2">
        <v>5</v>
      </c>
      <c r="AH476" s="49">
        <f t="shared" si="271"/>
        <v>1.4498329571498021</v>
      </c>
      <c r="AI476" s="2">
        <v>5.5</v>
      </c>
      <c r="AJ476" s="2">
        <v>8</v>
      </c>
      <c r="AK476" s="165">
        <v>6</v>
      </c>
      <c r="AL476" s="166">
        <v>7.0999999999999994E-2</v>
      </c>
      <c r="AM476" s="2">
        <v>195</v>
      </c>
      <c r="AN476" s="2">
        <v>285</v>
      </c>
      <c r="AO476" s="85">
        <v>5</v>
      </c>
      <c r="AP476" s="86">
        <v>100</v>
      </c>
      <c r="AQ476" s="149">
        <v>0.8</v>
      </c>
      <c r="AR476" s="2">
        <v>20</v>
      </c>
      <c r="AS476" s="2">
        <v>2.5</v>
      </c>
      <c r="AT476" s="2">
        <v>1</v>
      </c>
      <c r="AU476" s="4">
        <f t="shared" si="277"/>
        <v>200</v>
      </c>
      <c r="AV476" s="3">
        <f t="shared" si="284"/>
        <v>78</v>
      </c>
      <c r="AW476" s="2">
        <v>90</v>
      </c>
      <c r="AX476" s="3">
        <f t="shared" si="278"/>
        <v>180</v>
      </c>
      <c r="AY476" s="2">
        <v>4</v>
      </c>
      <c r="AZ476" s="4">
        <f t="shared" si="279"/>
        <v>720</v>
      </c>
      <c r="BA476" s="49">
        <v>0.8</v>
      </c>
      <c r="BB476" s="4">
        <f t="shared" si="280"/>
        <v>576</v>
      </c>
      <c r="BC476" s="150">
        <v>8.0000000000000002E-3</v>
      </c>
      <c r="BD476" s="69">
        <f>IFERROR(
  MAX(0.05, MIN(0.5, CropNorms_Wheat[[#This Row],[Leaf_Area_Per_Shoot_m2]] * CropNorms_Wheat[[#This Row],[Shoot_Bearing_m2]] )),
  0.2
)</f>
        <v>0.5</v>
      </c>
      <c r="BE476" s="4">
        <f>_xlfn.XLOOKUP(CropNorms_Wheat[[#This Row],[LAI_Start_BBCH]], CropPhenology_Wheat[Sub_Stage], CropPhenology_Wheat[Start_GDD], "Not Found")</f>
        <v>151</v>
      </c>
      <c r="BF476" s="3">
        <f t="shared" si="285"/>
        <v>4.6100000000000003</v>
      </c>
      <c r="BG47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6" s="3">
        <f>IF(CropNorms_Wheat[[#This Row],[Max_LAI]]&gt;=1.2, 0.85*CropNorms_Wheat[[#This Row],[Max_LAI]], 1)</f>
        <v>3.9185000000000003</v>
      </c>
      <c r="BI476" s="41">
        <f>_xlfn.XLOOKUP(CropNorms_Wheat[[#This Row],[LAI_End_BBCH]], CropPhenology_Wheat[Sub_Stage], CropPhenology_Wheat[End_GDD], "Not Found")</f>
        <v>1500</v>
      </c>
      <c r="BJ476" s="3" cm="1">
        <f t="array" ref="BJ47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6" s="3" cm="1">
        <f t="array" ref="BK47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6" s="3" cm="1">
        <f t="array" ref="BL47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6" s="3" cm="1">
        <f t="array" ref="BM47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6" s="42">
        <v>0.34289999999999998</v>
      </c>
      <c r="BO476" s="43">
        <v>0</v>
      </c>
      <c r="BP476" s="42">
        <v>2.7860624999999999</v>
      </c>
      <c r="BQ476" s="43" t="s">
        <v>1795</v>
      </c>
      <c r="BR476" s="3" t="str" cm="1">
        <f t="array" ref="BR47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6" s="3" t="str" cm="1">
        <f t="array" ref="BS47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6" s="3" t="str" cm="1">
        <f t="array" ref="BT47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6" s="3" t="str" cm="1">
        <f t="array" ref="BU47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6" s="48">
        <v>80</v>
      </c>
      <c r="BW476" s="1">
        <v>40</v>
      </c>
      <c r="BX476" s="44">
        <v>40</v>
      </c>
      <c r="BY476" s="151">
        <v>45962</v>
      </c>
      <c r="BZ476" s="151">
        <v>46022</v>
      </c>
      <c r="CA476" s="152">
        <v>0</v>
      </c>
      <c r="CB476" s="153">
        <v>0</v>
      </c>
      <c r="CC476" s="153">
        <v>1</v>
      </c>
      <c r="CD476" s="153">
        <v>1</v>
      </c>
      <c r="CE476" s="153">
        <v>1</v>
      </c>
      <c r="CF476" s="153">
        <v>0</v>
      </c>
      <c r="CG476" s="153">
        <v>0</v>
      </c>
      <c r="CH476" s="153">
        <v>0</v>
      </c>
      <c r="CI476" s="153">
        <v>0</v>
      </c>
      <c r="CJ476" s="153">
        <v>0</v>
      </c>
      <c r="CK476" s="153">
        <v>0</v>
      </c>
      <c r="CL476" s="153">
        <v>0</v>
      </c>
    </row>
    <row r="477" spans="2:90" x14ac:dyDescent="0.25">
      <c r="B477" s="27" t="s">
        <v>321</v>
      </c>
      <c r="C477" s="2" t="s">
        <v>2252</v>
      </c>
      <c r="D477" s="2" t="s">
        <v>1832</v>
      </c>
      <c r="E477" s="2" t="s">
        <v>2144</v>
      </c>
      <c r="F477" s="90">
        <v>60</v>
      </c>
      <c r="G477" s="2" t="s">
        <v>2253</v>
      </c>
      <c r="H477" s="2" t="s">
        <v>2213</v>
      </c>
      <c r="I477" s="2"/>
      <c r="J477" s="2"/>
      <c r="K477" s="2" t="s">
        <v>1748</v>
      </c>
      <c r="L477" s="2" t="s">
        <v>1750</v>
      </c>
      <c r="M477" s="2" t="s">
        <v>358</v>
      </c>
      <c r="N477" s="49"/>
      <c r="O477" s="2" t="s">
        <v>2078</v>
      </c>
      <c r="P477" s="2">
        <v>33</v>
      </c>
      <c r="Q477" s="2">
        <v>5</v>
      </c>
      <c r="R477" s="2">
        <v>6.7</v>
      </c>
      <c r="S477" s="2">
        <v>28</v>
      </c>
      <c r="T477" s="2">
        <v>35</v>
      </c>
      <c r="U477" s="251">
        <v>6</v>
      </c>
      <c r="V477" s="2">
        <v>133</v>
      </c>
      <c r="W477" s="86">
        <v>159</v>
      </c>
      <c r="X477" s="40">
        <f>_xlfn.XLOOKUP("Ripening", CropPhenology_Wheat[Main_Stage], CropPhenology_Wheat[Start_GDD], "Not Found")</f>
        <v>1501</v>
      </c>
      <c r="Y477" s="4" cm="1">
        <f t="array" ref="Y47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7" s="3">
        <f t="shared" si="283"/>
        <v>11.111103229772546</v>
      </c>
      <c r="AA477" s="41">
        <f t="shared" si="276"/>
        <v>153.00010852610902</v>
      </c>
      <c r="AB477" s="2">
        <v>6</v>
      </c>
      <c r="AC477" s="2">
        <v>5</v>
      </c>
      <c r="AD477" s="2">
        <v>2</v>
      </c>
      <c r="AE477" s="2">
        <v>80</v>
      </c>
      <c r="AF477" s="2">
        <v>0</v>
      </c>
      <c r="AG477" s="2">
        <v>5</v>
      </c>
      <c r="AH477" s="49">
        <f t="shared" si="271"/>
        <v>1.3006526721910217</v>
      </c>
      <c r="AI477" s="2">
        <v>5.5</v>
      </c>
      <c r="AJ477" s="2">
        <v>8</v>
      </c>
      <c r="AK477" s="165">
        <v>6</v>
      </c>
      <c r="AL477" s="166">
        <v>7.0999999999999994E-2</v>
      </c>
      <c r="AM477" s="2">
        <v>195</v>
      </c>
      <c r="AN477" s="2">
        <v>285</v>
      </c>
      <c r="AO477" s="85">
        <v>5</v>
      </c>
      <c r="AP477" s="86">
        <v>100</v>
      </c>
      <c r="AQ477" s="149">
        <v>0.8</v>
      </c>
      <c r="AR477" s="2">
        <v>20</v>
      </c>
      <c r="AS477" s="2">
        <v>2.5</v>
      </c>
      <c r="AT477" s="2">
        <v>1</v>
      </c>
      <c r="AU477" s="4">
        <f t="shared" si="277"/>
        <v>200</v>
      </c>
      <c r="AV477" s="3">
        <f t="shared" si="284"/>
        <v>66</v>
      </c>
      <c r="AW477" s="2">
        <v>90</v>
      </c>
      <c r="AX477" s="3">
        <f t="shared" si="278"/>
        <v>180</v>
      </c>
      <c r="AY477" s="2">
        <v>4</v>
      </c>
      <c r="AZ477" s="4">
        <f t="shared" si="279"/>
        <v>720</v>
      </c>
      <c r="BA477" s="49">
        <v>0.8</v>
      </c>
      <c r="BB477" s="4">
        <f t="shared" si="280"/>
        <v>576</v>
      </c>
      <c r="BC477" s="150">
        <v>8.0000000000000002E-3</v>
      </c>
      <c r="BD477" s="69">
        <f>IFERROR(
  MAX(0.05, MIN(0.5, CropNorms_Wheat[[#This Row],[Leaf_Area_Per_Shoot_m2]] * CropNorms_Wheat[[#This Row],[Shoot_Bearing_m2]] )),
  0.2
)</f>
        <v>0.5</v>
      </c>
      <c r="BE477" s="4">
        <f>_xlfn.XLOOKUP(CropNorms_Wheat[[#This Row],[LAI_Start_BBCH]], CropPhenology_Wheat[Sub_Stage], CropPhenology_Wheat[Start_GDD], "Not Found")</f>
        <v>151</v>
      </c>
      <c r="BF477" s="3">
        <f t="shared" si="285"/>
        <v>4.6100000000000003</v>
      </c>
      <c r="BG47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7" s="3">
        <f>IF(CropNorms_Wheat[[#This Row],[Max_LAI]]&gt;=1.2, 0.85*CropNorms_Wheat[[#This Row],[Max_LAI]], 1)</f>
        <v>3.9185000000000003</v>
      </c>
      <c r="BI477" s="41">
        <f>_xlfn.XLOOKUP(CropNorms_Wheat[[#This Row],[LAI_End_BBCH]], CropPhenology_Wheat[Sub_Stage], CropPhenology_Wheat[End_GDD], "Not Found")</f>
        <v>1500</v>
      </c>
      <c r="BJ477" s="3" cm="1">
        <f t="array" ref="BJ47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7" s="3" cm="1">
        <f t="array" ref="BK47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7" s="3" cm="1">
        <f t="array" ref="BL47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7" s="3" cm="1">
        <f t="array" ref="BM47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7" s="42">
        <f>(0.28+0.4)/2</f>
        <v>0.34</v>
      </c>
      <c r="BO477" s="43">
        <v>0</v>
      </c>
      <c r="BP477" s="42">
        <v>2.7625000000000002</v>
      </c>
      <c r="BQ477" s="43" t="s">
        <v>1795</v>
      </c>
      <c r="BR477" s="3" t="str" cm="1">
        <f t="array" ref="BR47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7" s="3" t="str" cm="1">
        <f t="array" ref="BS47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7" s="3" t="str" cm="1">
        <f t="array" ref="BT47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7" s="3" t="str" cm="1">
        <f t="array" ref="BU47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7" s="48">
        <v>80</v>
      </c>
      <c r="BW477" s="1">
        <v>40</v>
      </c>
      <c r="BX477" s="44">
        <v>40</v>
      </c>
      <c r="BY477" s="151">
        <v>45962</v>
      </c>
      <c r="BZ477" s="151">
        <v>46022</v>
      </c>
      <c r="CA477" s="152">
        <v>0</v>
      </c>
      <c r="CB477" s="153">
        <v>0</v>
      </c>
      <c r="CC477" s="153">
        <v>1</v>
      </c>
      <c r="CD477" s="153">
        <v>1</v>
      </c>
      <c r="CE477" s="153">
        <v>1</v>
      </c>
      <c r="CF477" s="153">
        <v>0</v>
      </c>
      <c r="CG477" s="153">
        <v>0</v>
      </c>
      <c r="CH477" s="153">
        <v>0</v>
      </c>
      <c r="CI477" s="153">
        <v>0</v>
      </c>
      <c r="CJ477" s="153">
        <v>0</v>
      </c>
      <c r="CK477" s="153">
        <v>0</v>
      </c>
      <c r="CL477" s="153">
        <v>0</v>
      </c>
    </row>
    <row r="478" spans="2:90" x14ac:dyDescent="0.25">
      <c r="B478" s="27" t="s">
        <v>321</v>
      </c>
      <c r="C478" s="2" t="s">
        <v>2254</v>
      </c>
      <c r="D478" s="2" t="s">
        <v>1870</v>
      </c>
      <c r="E478" s="2" t="s">
        <v>1835</v>
      </c>
      <c r="F478" s="90">
        <v>105</v>
      </c>
      <c r="G478" s="2" t="s">
        <v>2255</v>
      </c>
      <c r="H478" s="2" t="s">
        <v>2128</v>
      </c>
      <c r="I478" s="2" t="s">
        <v>1837</v>
      </c>
      <c r="J478" s="2" t="s">
        <v>2170</v>
      </c>
      <c r="K478" s="2" t="s">
        <v>1748</v>
      </c>
      <c r="L478" s="2" t="s">
        <v>1750</v>
      </c>
      <c r="M478" s="2" t="s">
        <v>358</v>
      </c>
      <c r="N478" s="49"/>
      <c r="O478" s="2" t="s">
        <v>2141</v>
      </c>
      <c r="P478" s="2">
        <v>39</v>
      </c>
      <c r="Q478" s="2">
        <v>5</v>
      </c>
      <c r="R478" s="2">
        <v>6.7</v>
      </c>
      <c r="S478" s="2">
        <v>28</v>
      </c>
      <c r="T478" s="2">
        <v>35</v>
      </c>
      <c r="U478" s="251">
        <v>6</v>
      </c>
      <c r="V478" s="2">
        <v>136</v>
      </c>
      <c r="W478" s="86">
        <v>161</v>
      </c>
      <c r="X478" s="40">
        <f>_xlfn.XLOOKUP("Ripening", CropPhenology_Wheat[Main_Stage], CropPhenology_Wheat[Start_GDD], "Not Found")</f>
        <v>1501</v>
      </c>
      <c r="Y478" s="4" cm="1">
        <f t="array" ref="Y47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8" s="3">
        <f t="shared" si="283"/>
        <v>10.911490683229815</v>
      </c>
      <c r="AA478" s="41">
        <f t="shared" si="276"/>
        <v>155.79906076561832</v>
      </c>
      <c r="AB478" s="2">
        <v>7</v>
      </c>
      <c r="AC478" s="2">
        <v>5</v>
      </c>
      <c r="AD478" s="2">
        <v>2</v>
      </c>
      <c r="AE478" s="2">
        <v>80</v>
      </c>
      <c r="AF478" s="2">
        <v>0</v>
      </c>
      <c r="AG478" s="2">
        <v>5</v>
      </c>
      <c r="AH478" s="49">
        <f t="shared" si="271"/>
        <v>1.2772862623310195</v>
      </c>
      <c r="AI478" s="2">
        <v>5.5</v>
      </c>
      <c r="AJ478" s="2">
        <v>8</v>
      </c>
      <c r="AK478" s="165">
        <v>6</v>
      </c>
      <c r="AL478" s="166">
        <v>7.0999999999999994E-2</v>
      </c>
      <c r="AM478" s="2">
        <v>195</v>
      </c>
      <c r="AN478" s="2">
        <v>285</v>
      </c>
      <c r="AO478" s="85">
        <v>5</v>
      </c>
      <c r="AP478" s="86">
        <v>100</v>
      </c>
      <c r="AQ478" s="149">
        <v>0.6</v>
      </c>
      <c r="AR478" s="2">
        <v>20</v>
      </c>
      <c r="AS478" s="2">
        <v>2.5</v>
      </c>
      <c r="AT478" s="2">
        <v>1</v>
      </c>
      <c r="AU478" s="4">
        <f t="shared" si="277"/>
        <v>200</v>
      </c>
      <c r="AV478" s="3">
        <f t="shared" si="284"/>
        <v>78</v>
      </c>
      <c r="AW478" s="2">
        <v>90</v>
      </c>
      <c r="AX478" s="3">
        <f t="shared" si="278"/>
        <v>180</v>
      </c>
      <c r="AY478" s="2">
        <v>4</v>
      </c>
      <c r="AZ478" s="4">
        <f t="shared" si="279"/>
        <v>720</v>
      </c>
      <c r="BA478" s="49">
        <v>0.6</v>
      </c>
      <c r="BB478" s="4">
        <f t="shared" si="280"/>
        <v>432</v>
      </c>
      <c r="BC478" s="150">
        <v>6.0000000000000001E-3</v>
      </c>
      <c r="BD478" s="69">
        <f>IFERROR(
  MAX(0.05, MIN(0.5, CropNorms_Wheat[[#This Row],[Leaf_Area_Per_Shoot_m2]] * CropNorms_Wheat[[#This Row],[Shoot_Bearing_m2]] )),
  0.2
)</f>
        <v>0.5</v>
      </c>
      <c r="BE478" s="4">
        <f>_xlfn.XLOOKUP(CropNorms_Wheat[[#This Row],[LAI_Start_BBCH]], CropPhenology_Wheat[Sub_Stage], CropPhenology_Wheat[Start_GDD], "Not Found")</f>
        <v>151</v>
      </c>
      <c r="BF478" s="3">
        <f t="shared" si="285"/>
        <v>2.59</v>
      </c>
      <c r="BG47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8" s="3">
        <f>IF(CropNorms_Wheat[[#This Row],[Max_LAI]]&gt;=1.2, 0.85*CropNorms_Wheat[[#This Row],[Max_LAI]], 1)</f>
        <v>2.2014999999999998</v>
      </c>
      <c r="BI478" s="41">
        <f>_xlfn.XLOOKUP(CropNorms_Wheat[[#This Row],[LAI_End_BBCH]], CropPhenology_Wheat[Sub_Stage], CropPhenology_Wheat[End_GDD], "Not Found")</f>
        <v>1500</v>
      </c>
      <c r="BJ478" s="3" cm="1">
        <f t="array" ref="BJ47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8" s="3" cm="1">
        <f t="array" ref="BK47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78" s="3" cm="1">
        <f t="array" ref="BL47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78" s="3" cm="1">
        <f t="array" ref="BM47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8" s="42">
        <f>(0.28+0.4)/2</f>
        <v>0.34</v>
      </c>
      <c r="BO478" s="43">
        <v>0</v>
      </c>
      <c r="BP478" s="42">
        <v>2.7625000000000002</v>
      </c>
      <c r="BQ478" s="43" t="s">
        <v>1795</v>
      </c>
      <c r="BR478" s="3" t="str" cm="1">
        <f t="array" ref="BR47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8" s="3" t="str" cm="1">
        <f t="array" ref="BS47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8" s="3" t="str" cm="1">
        <f t="array" ref="BT47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8" s="3" t="str" cm="1">
        <f t="array" ref="BU47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8" s="48">
        <v>80</v>
      </c>
      <c r="BW478" s="1">
        <v>40</v>
      </c>
      <c r="BX478" s="44">
        <v>40</v>
      </c>
      <c r="BY478" s="151">
        <v>45962</v>
      </c>
      <c r="BZ478" s="151">
        <v>46022</v>
      </c>
      <c r="CA478" s="152">
        <v>0</v>
      </c>
      <c r="CB478" s="153">
        <v>0</v>
      </c>
      <c r="CC478" s="153">
        <v>1</v>
      </c>
      <c r="CD478" s="153">
        <v>1</v>
      </c>
      <c r="CE478" s="153">
        <v>1</v>
      </c>
      <c r="CF478" s="153">
        <v>0</v>
      </c>
      <c r="CG478" s="153">
        <v>0</v>
      </c>
      <c r="CH478" s="153">
        <v>0</v>
      </c>
      <c r="CI478" s="153">
        <v>0</v>
      </c>
      <c r="CJ478" s="153">
        <v>0</v>
      </c>
      <c r="CK478" s="153">
        <v>0</v>
      </c>
      <c r="CL478" s="153">
        <v>0</v>
      </c>
    </row>
    <row r="479" spans="2:90" x14ac:dyDescent="0.25">
      <c r="B479" s="27" t="s">
        <v>321</v>
      </c>
      <c r="C479" s="2" t="s">
        <v>2256</v>
      </c>
      <c r="D479" s="2" t="s">
        <v>1832</v>
      </c>
      <c r="E479" s="2" t="s">
        <v>2144</v>
      </c>
      <c r="F479" s="90">
        <v>71.7</v>
      </c>
      <c r="G479" s="2"/>
      <c r="H479" s="2" t="s">
        <v>1840</v>
      </c>
      <c r="I479" s="2"/>
      <c r="J479" s="2"/>
      <c r="K479" s="2" t="s">
        <v>1748</v>
      </c>
      <c r="L479" s="2" t="s">
        <v>1750</v>
      </c>
      <c r="M479" s="2" t="s">
        <v>358</v>
      </c>
      <c r="N479" s="49"/>
      <c r="O479" s="2" t="s">
        <v>2078</v>
      </c>
      <c r="P479" s="2">
        <v>38</v>
      </c>
      <c r="Q479" s="2">
        <v>5</v>
      </c>
      <c r="R479" s="2">
        <v>6.7</v>
      </c>
      <c r="S479" s="2">
        <v>28</v>
      </c>
      <c r="T479" s="2">
        <v>35</v>
      </c>
      <c r="U479" s="251">
        <v>6</v>
      </c>
      <c r="V479" s="2">
        <v>138</v>
      </c>
      <c r="W479" s="86">
        <v>159</v>
      </c>
      <c r="X479" s="40">
        <f>_xlfn.XLOOKUP("Ripening", CropPhenology_Wheat[Main_Stage], CropPhenology_Wheat[Start_GDD], "Not Found")</f>
        <v>1501</v>
      </c>
      <c r="Y479" s="4" cm="1">
        <f t="array" ref="Y47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79" s="3">
        <f t="shared" si="283"/>
        <v>10.879546076018595</v>
      </c>
      <c r="AA479" s="41">
        <f t="shared" si="276"/>
        <v>156.25651917107561</v>
      </c>
      <c r="AB479" s="2">
        <v>6</v>
      </c>
      <c r="AC479" s="2">
        <v>5</v>
      </c>
      <c r="AD479" s="2">
        <v>2</v>
      </c>
      <c r="AE479" s="2">
        <v>80</v>
      </c>
      <c r="AF479" s="2">
        <v>0</v>
      </c>
      <c r="AG479" s="2">
        <v>5</v>
      </c>
      <c r="AH479" s="49">
        <f t="shared" si="271"/>
        <v>1.273546864192765</v>
      </c>
      <c r="AI479" s="2">
        <v>5.5</v>
      </c>
      <c r="AJ479" s="2">
        <v>8</v>
      </c>
      <c r="AK479" s="165">
        <v>6</v>
      </c>
      <c r="AL479" s="166">
        <v>7.0999999999999994E-2</v>
      </c>
      <c r="AM479" s="2">
        <v>195</v>
      </c>
      <c r="AN479" s="2">
        <v>285</v>
      </c>
      <c r="AO479" s="85">
        <v>5</v>
      </c>
      <c r="AP479" s="86">
        <v>100</v>
      </c>
      <c r="AQ479" s="149">
        <v>0.8</v>
      </c>
      <c r="AR479" s="2">
        <v>20</v>
      </c>
      <c r="AS479" s="2">
        <v>2.5</v>
      </c>
      <c r="AT479" s="2">
        <v>1</v>
      </c>
      <c r="AU479" s="4">
        <f t="shared" si="277"/>
        <v>200</v>
      </c>
      <c r="AV479" s="3">
        <f t="shared" si="284"/>
        <v>76</v>
      </c>
      <c r="AW479" s="2">
        <v>90</v>
      </c>
      <c r="AX479" s="3">
        <f t="shared" si="278"/>
        <v>180</v>
      </c>
      <c r="AY479" s="2">
        <v>4</v>
      </c>
      <c r="AZ479" s="4">
        <f t="shared" si="279"/>
        <v>720</v>
      </c>
      <c r="BA479" s="49">
        <v>0.8</v>
      </c>
      <c r="BB479" s="4">
        <f t="shared" si="280"/>
        <v>576</v>
      </c>
      <c r="BC479" s="150">
        <v>8.0000000000000002E-3</v>
      </c>
      <c r="BD479" s="69">
        <f>IFERROR(
  MAX(0.05, MIN(0.5, CropNorms_Wheat[[#This Row],[Leaf_Area_Per_Shoot_m2]] * CropNorms_Wheat[[#This Row],[Shoot_Bearing_m2]] )),
  0.2
)</f>
        <v>0.5</v>
      </c>
      <c r="BE479" s="4">
        <f>_xlfn.XLOOKUP(CropNorms_Wheat[[#This Row],[LAI_Start_BBCH]], CropPhenology_Wheat[Sub_Stage], CropPhenology_Wheat[Start_GDD], "Not Found")</f>
        <v>151</v>
      </c>
      <c r="BF479" s="3">
        <f t="shared" si="285"/>
        <v>4.6100000000000003</v>
      </c>
      <c r="BG47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79" s="3">
        <f>IF(CropNorms_Wheat[[#This Row],[Max_LAI]]&gt;=1.2, 0.85*CropNorms_Wheat[[#This Row],[Max_LAI]], 1)</f>
        <v>3.9185000000000003</v>
      </c>
      <c r="BI479" s="41">
        <f>_xlfn.XLOOKUP(CropNorms_Wheat[[#This Row],[LAI_End_BBCH]], CropPhenology_Wheat[Sub_Stage], CropPhenology_Wheat[End_GDD], "Not Found")</f>
        <v>1500</v>
      </c>
      <c r="BJ479" s="3" cm="1">
        <f t="array" ref="BJ47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79" s="3" cm="1">
        <f t="array" ref="BK47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79" s="3" cm="1">
        <f t="array" ref="BL47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79" s="3" cm="1">
        <f t="array" ref="BM47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79" s="42">
        <f>(0.28+0.4)/2</f>
        <v>0.34</v>
      </c>
      <c r="BO479" s="43">
        <v>0</v>
      </c>
      <c r="BP479" s="42">
        <v>2.7625000000000002</v>
      </c>
      <c r="BQ479" s="43" t="s">
        <v>1795</v>
      </c>
      <c r="BR479" s="3" t="str" cm="1">
        <f t="array" ref="BR47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79" s="3" t="str" cm="1">
        <f t="array" ref="BS47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79" s="3" t="str" cm="1">
        <f t="array" ref="BT47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79" s="3" t="str" cm="1">
        <f t="array" ref="BU47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79" s="48">
        <v>80</v>
      </c>
      <c r="BW479" s="1">
        <v>40</v>
      </c>
      <c r="BX479" s="44">
        <v>40</v>
      </c>
      <c r="BY479" s="151">
        <v>45962</v>
      </c>
      <c r="BZ479" s="151">
        <v>46022</v>
      </c>
      <c r="CA479" s="152">
        <v>0</v>
      </c>
      <c r="CB479" s="153">
        <v>0</v>
      </c>
      <c r="CC479" s="153">
        <v>1</v>
      </c>
      <c r="CD479" s="153">
        <v>1</v>
      </c>
      <c r="CE479" s="153">
        <v>1</v>
      </c>
      <c r="CF479" s="153">
        <v>0</v>
      </c>
      <c r="CG479" s="153">
        <v>0</v>
      </c>
      <c r="CH479" s="153">
        <v>0</v>
      </c>
      <c r="CI479" s="153">
        <v>0</v>
      </c>
      <c r="CJ479" s="153">
        <v>0</v>
      </c>
      <c r="CK479" s="153">
        <v>0</v>
      </c>
      <c r="CL479" s="153">
        <v>0</v>
      </c>
    </row>
    <row r="480" spans="2:90" x14ac:dyDescent="0.25">
      <c r="B480" s="27" t="s">
        <v>321</v>
      </c>
      <c r="C480" s="2" t="s">
        <v>2257</v>
      </c>
      <c r="D480" s="2" t="s">
        <v>2126</v>
      </c>
      <c r="E480" s="2" t="s">
        <v>1835</v>
      </c>
      <c r="F480" s="90">
        <v>104</v>
      </c>
      <c r="G480" s="2"/>
      <c r="H480" s="2" t="s">
        <v>2128</v>
      </c>
      <c r="I480" s="2"/>
      <c r="J480" s="2" t="s">
        <v>2170</v>
      </c>
      <c r="K480" s="2" t="s">
        <v>1748</v>
      </c>
      <c r="L480" s="2" t="s">
        <v>1750</v>
      </c>
      <c r="M480" s="2" t="s">
        <v>358</v>
      </c>
      <c r="N480" s="49"/>
      <c r="O480" s="2" t="s">
        <v>2078</v>
      </c>
      <c r="P480" s="2">
        <v>47</v>
      </c>
      <c r="Q480" s="2">
        <v>5</v>
      </c>
      <c r="R480" s="2">
        <v>6.7</v>
      </c>
      <c r="S480" s="2">
        <v>28</v>
      </c>
      <c r="T480" s="2">
        <v>35</v>
      </c>
      <c r="U480" s="251">
        <v>6</v>
      </c>
      <c r="V480" s="2">
        <v>139</v>
      </c>
      <c r="W480" s="86">
        <v>170</v>
      </c>
      <c r="X480" s="40">
        <f>_xlfn.XLOOKUP("Ripening", CropPhenology_Wheat[Main_Stage], CropPhenology_Wheat[Start_GDD], "Not Found")</f>
        <v>1501</v>
      </c>
      <c r="Y480" s="4" cm="1">
        <f t="array" ref="Y48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0" s="3">
        <f t="shared" si="283"/>
        <v>10.529813796022006</v>
      </c>
      <c r="AA480" s="41">
        <f t="shared" si="276"/>
        <v>161.4463496631092</v>
      </c>
      <c r="AB480" s="2">
        <v>6</v>
      </c>
      <c r="AC480" s="2">
        <v>5</v>
      </c>
      <c r="AD480" s="2">
        <v>2</v>
      </c>
      <c r="AE480" s="2">
        <v>80</v>
      </c>
      <c r="AF480" s="2">
        <v>0</v>
      </c>
      <c r="AG480" s="2">
        <v>5</v>
      </c>
      <c r="AH480" s="49">
        <f t="shared" si="271"/>
        <v>1.2326076149461054</v>
      </c>
      <c r="AI480" s="2">
        <v>5.5</v>
      </c>
      <c r="AJ480" s="2">
        <v>8</v>
      </c>
      <c r="AK480" s="165">
        <v>6</v>
      </c>
      <c r="AL480" s="166">
        <v>7.0999999999999994E-2</v>
      </c>
      <c r="AM480" s="2">
        <v>195</v>
      </c>
      <c r="AN480" s="2">
        <v>285</v>
      </c>
      <c r="AO480" s="85">
        <v>5</v>
      </c>
      <c r="AP480" s="86">
        <v>100</v>
      </c>
      <c r="AQ480" s="149">
        <v>0.8</v>
      </c>
      <c r="AR480" s="2">
        <v>20</v>
      </c>
      <c r="AS480" s="2">
        <v>2.5</v>
      </c>
      <c r="AT480" s="2">
        <v>1</v>
      </c>
      <c r="AU480" s="4">
        <f t="shared" si="277"/>
        <v>200</v>
      </c>
      <c r="AV480" s="3">
        <f t="shared" si="284"/>
        <v>94</v>
      </c>
      <c r="AW480" s="2">
        <v>90</v>
      </c>
      <c r="AX480" s="3">
        <f t="shared" si="278"/>
        <v>180</v>
      </c>
      <c r="AY480" s="2">
        <v>5</v>
      </c>
      <c r="AZ480" s="4">
        <f t="shared" si="279"/>
        <v>900</v>
      </c>
      <c r="BA480" s="49">
        <v>0.8</v>
      </c>
      <c r="BB480" s="4">
        <f t="shared" si="280"/>
        <v>720</v>
      </c>
      <c r="BC480" s="150">
        <v>8.0000000000000002E-3</v>
      </c>
      <c r="BD480" s="69">
        <f>IFERROR(
  MAX(0.05, MIN(0.5, CropNorms_Wheat[[#This Row],[Leaf_Area_Per_Shoot_m2]] * CropNorms_Wheat[[#This Row],[Shoot_Bearing_m2]] )),
  0.2
)</f>
        <v>0.5</v>
      </c>
      <c r="BE480" s="4">
        <f>_xlfn.XLOOKUP(CropNorms_Wheat[[#This Row],[LAI_Start_BBCH]], CropPhenology_Wheat[Sub_Stage], CropPhenology_Wheat[Start_GDD], "Not Found")</f>
        <v>151</v>
      </c>
      <c r="BF480" s="3">
        <f t="shared" si="285"/>
        <v>5.76</v>
      </c>
      <c r="BG48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0" s="3">
        <f>IF(CropNorms_Wheat[[#This Row],[Max_LAI]]&gt;=1.2, 0.85*CropNorms_Wheat[[#This Row],[Max_LAI]], 1)</f>
        <v>4.8959999999999999</v>
      </c>
      <c r="BI480" s="41">
        <f>_xlfn.XLOOKUP(CropNorms_Wheat[[#This Row],[LAI_End_BBCH]], CropPhenology_Wheat[Sub_Stage], CropPhenology_Wheat[End_GDD], "Not Found")</f>
        <v>1500</v>
      </c>
      <c r="BJ480" s="3" cm="1">
        <f t="array" ref="BJ48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0" s="3" cm="1">
        <f t="array" ref="BK48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80" s="3" cm="1">
        <f t="array" ref="BL48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80" s="3" cm="1">
        <f t="array" ref="BM48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0" s="42">
        <v>0.38719999999999999</v>
      </c>
      <c r="BO480" s="43">
        <v>0</v>
      </c>
      <c r="BP480" s="42">
        <v>3.1459999999999999</v>
      </c>
      <c r="BQ480" s="43" t="s">
        <v>1795</v>
      </c>
      <c r="BR480" s="3" t="str" cm="1">
        <f t="array" ref="BR48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0" s="3" t="str" cm="1">
        <f t="array" ref="BS48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0" s="3" t="str" cm="1">
        <f t="array" ref="BT48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0" s="3" t="str" cm="1">
        <f t="array" ref="BU48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0" s="48">
        <v>80</v>
      </c>
      <c r="BW480" s="1">
        <v>40</v>
      </c>
      <c r="BX480" s="44">
        <v>40</v>
      </c>
      <c r="BY480" s="151">
        <v>45962</v>
      </c>
      <c r="BZ480" s="151">
        <v>46022</v>
      </c>
      <c r="CA480" s="152">
        <v>0</v>
      </c>
      <c r="CB480" s="153">
        <v>0</v>
      </c>
      <c r="CC480" s="153">
        <v>1</v>
      </c>
      <c r="CD480" s="153">
        <v>1</v>
      </c>
      <c r="CE480" s="153">
        <v>1</v>
      </c>
      <c r="CF480" s="153">
        <v>0</v>
      </c>
      <c r="CG480" s="153">
        <v>0</v>
      </c>
      <c r="CH480" s="153">
        <v>0</v>
      </c>
      <c r="CI480" s="153">
        <v>0</v>
      </c>
      <c r="CJ480" s="153">
        <v>0</v>
      </c>
      <c r="CK480" s="153">
        <v>0</v>
      </c>
      <c r="CL480" s="153">
        <v>0</v>
      </c>
    </row>
    <row r="481" spans="2:90" x14ac:dyDescent="0.25">
      <c r="B481" s="27" t="s">
        <v>321</v>
      </c>
      <c r="C481" s="2" t="s">
        <v>2258</v>
      </c>
      <c r="D481" s="2" t="s">
        <v>1832</v>
      </c>
      <c r="E481" s="2" t="s">
        <v>2144</v>
      </c>
      <c r="F481" s="90">
        <v>85</v>
      </c>
      <c r="G481" s="2" t="s">
        <v>2259</v>
      </c>
      <c r="H481" s="2" t="s">
        <v>2227</v>
      </c>
      <c r="I481" s="2"/>
      <c r="J481" s="2"/>
      <c r="K481" s="2" t="s">
        <v>1748</v>
      </c>
      <c r="L481" s="2" t="s">
        <v>1750</v>
      </c>
      <c r="M481" s="2" t="s">
        <v>358</v>
      </c>
      <c r="N481" s="49"/>
      <c r="O481" s="2" t="s">
        <v>2078</v>
      </c>
      <c r="P481" s="2">
        <v>40</v>
      </c>
      <c r="Q481" s="2">
        <v>5</v>
      </c>
      <c r="R481" s="2">
        <v>6.7</v>
      </c>
      <c r="S481" s="2">
        <v>28</v>
      </c>
      <c r="T481" s="2">
        <v>35</v>
      </c>
      <c r="U481" s="251">
        <v>6</v>
      </c>
      <c r="V481" s="2">
        <v>131</v>
      </c>
      <c r="W481" s="86">
        <v>160</v>
      </c>
      <c r="X481" s="40">
        <f>_xlfn.XLOOKUP("Ripening", CropPhenology_Wheat[Main_Stage], CropPhenology_Wheat[Start_GDD], "Not Found")</f>
        <v>1501</v>
      </c>
      <c r="Y481" s="4" cm="1">
        <f t="array" ref="Y48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1" s="3">
        <f t="shared" si="283"/>
        <v>11.17917461832061</v>
      </c>
      <c r="AA481" s="41">
        <f t="shared" si="276"/>
        <v>152.06847178270323</v>
      </c>
      <c r="AB481" s="2">
        <v>6</v>
      </c>
      <c r="AC481" s="2">
        <v>5</v>
      </c>
      <c r="AD481" s="2">
        <v>2</v>
      </c>
      <c r="AE481" s="2">
        <v>80</v>
      </c>
      <c r="AF481" s="2">
        <v>0</v>
      </c>
      <c r="AG481" s="2">
        <v>5</v>
      </c>
      <c r="AH481" s="49">
        <f t="shared" si="271"/>
        <v>1.3086210288504716</v>
      </c>
      <c r="AI481" s="2">
        <v>5.5</v>
      </c>
      <c r="AJ481" s="2">
        <v>8</v>
      </c>
      <c r="AK481" s="165">
        <v>6</v>
      </c>
      <c r="AL481" s="166">
        <v>7.0999999999999994E-2</v>
      </c>
      <c r="AM481" s="2">
        <v>195</v>
      </c>
      <c r="AN481" s="2">
        <v>285</v>
      </c>
      <c r="AO481" s="85">
        <v>5</v>
      </c>
      <c r="AP481" s="86">
        <v>100</v>
      </c>
      <c r="AQ481" s="149">
        <v>0.8</v>
      </c>
      <c r="AR481" s="2">
        <v>20</v>
      </c>
      <c r="AS481" s="2">
        <v>2.5</v>
      </c>
      <c r="AT481" s="2">
        <v>1</v>
      </c>
      <c r="AU481" s="4">
        <f t="shared" si="277"/>
        <v>200</v>
      </c>
      <c r="AV481" s="3">
        <f t="shared" si="284"/>
        <v>80</v>
      </c>
      <c r="AW481" s="2">
        <v>90</v>
      </c>
      <c r="AX481" s="3">
        <f t="shared" si="278"/>
        <v>180</v>
      </c>
      <c r="AY481" s="2">
        <v>4</v>
      </c>
      <c r="AZ481" s="4">
        <f t="shared" si="279"/>
        <v>720</v>
      </c>
      <c r="BA481" s="49">
        <v>0.8</v>
      </c>
      <c r="BB481" s="4">
        <f t="shared" si="280"/>
        <v>576</v>
      </c>
      <c r="BC481" s="150">
        <v>8.0000000000000002E-3</v>
      </c>
      <c r="BD481" s="69">
        <f>IFERROR(
  MAX(0.05, MIN(0.5, CropNorms_Wheat[[#This Row],[Leaf_Area_Per_Shoot_m2]] * CropNorms_Wheat[[#This Row],[Shoot_Bearing_m2]] )),
  0.2
)</f>
        <v>0.5</v>
      </c>
      <c r="BE481" s="4">
        <f>_xlfn.XLOOKUP(CropNorms_Wheat[[#This Row],[LAI_Start_BBCH]], CropPhenology_Wheat[Sub_Stage], CropPhenology_Wheat[Start_GDD], "Not Found")</f>
        <v>151</v>
      </c>
      <c r="BF481" s="3">
        <f t="shared" si="285"/>
        <v>4.6100000000000003</v>
      </c>
      <c r="BG48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1" s="3">
        <f>IF(CropNorms_Wheat[[#This Row],[Max_LAI]]&gt;=1.2, 0.85*CropNorms_Wheat[[#This Row],[Max_LAI]], 1)</f>
        <v>3.9185000000000003</v>
      </c>
      <c r="BI481" s="41">
        <f>_xlfn.XLOOKUP(CropNorms_Wheat[[#This Row],[LAI_End_BBCH]], CropPhenology_Wheat[Sub_Stage], CropPhenology_Wheat[End_GDD], "Not Found")</f>
        <v>1500</v>
      </c>
      <c r="BJ481" s="3" cm="1">
        <f t="array" ref="BJ48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1" s="3" cm="1">
        <f t="array" ref="BK48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1" s="3" cm="1">
        <f t="array" ref="BL48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1" s="3" cm="1">
        <f t="array" ref="BM48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1" s="42">
        <v>0.42</v>
      </c>
      <c r="BO481" s="43">
        <v>0</v>
      </c>
      <c r="BP481" s="42">
        <v>3.4125000000000001</v>
      </c>
      <c r="BQ481" s="43" t="s">
        <v>1795</v>
      </c>
      <c r="BR481" s="3" t="str" cm="1">
        <f t="array" ref="BR48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1" s="3" t="str" cm="1">
        <f t="array" ref="BS48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1" s="3" t="str" cm="1">
        <f t="array" ref="BT48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1" s="3" t="str" cm="1">
        <f t="array" ref="BU48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1" s="48">
        <v>80</v>
      </c>
      <c r="BW481" s="1">
        <v>40</v>
      </c>
      <c r="BX481" s="44">
        <v>40</v>
      </c>
      <c r="BY481" s="151">
        <v>45962</v>
      </c>
      <c r="BZ481" s="151">
        <v>46022</v>
      </c>
      <c r="CA481" s="152">
        <v>0</v>
      </c>
      <c r="CB481" s="153">
        <v>0</v>
      </c>
      <c r="CC481" s="153">
        <v>1</v>
      </c>
      <c r="CD481" s="153">
        <v>1</v>
      </c>
      <c r="CE481" s="153">
        <v>1</v>
      </c>
      <c r="CF481" s="153">
        <v>0</v>
      </c>
      <c r="CG481" s="153">
        <v>0</v>
      </c>
      <c r="CH481" s="153">
        <v>0</v>
      </c>
      <c r="CI481" s="153">
        <v>0</v>
      </c>
      <c r="CJ481" s="153">
        <v>0</v>
      </c>
      <c r="CK481" s="153">
        <v>0</v>
      </c>
      <c r="CL481" s="153">
        <v>0</v>
      </c>
    </row>
    <row r="482" spans="2:90" x14ac:dyDescent="0.25">
      <c r="B482" s="27" t="s">
        <v>321</v>
      </c>
      <c r="C482" s="2" t="s">
        <v>2260</v>
      </c>
      <c r="D482" s="2" t="s">
        <v>1832</v>
      </c>
      <c r="E482" s="2" t="s">
        <v>1835</v>
      </c>
      <c r="F482" s="90">
        <v>97</v>
      </c>
      <c r="G482" s="2" t="s">
        <v>2261</v>
      </c>
      <c r="H482" s="2" t="s">
        <v>2262</v>
      </c>
      <c r="I482" s="2"/>
      <c r="J482" s="2"/>
      <c r="K482" s="2" t="s">
        <v>1748</v>
      </c>
      <c r="L482" s="2" t="s">
        <v>1750</v>
      </c>
      <c r="M482" s="2" t="s">
        <v>358</v>
      </c>
      <c r="N482" s="49"/>
      <c r="O482" s="2" t="s">
        <v>2078</v>
      </c>
      <c r="P482" s="2">
        <v>40</v>
      </c>
      <c r="Q482" s="2">
        <v>5</v>
      </c>
      <c r="R482" s="2">
        <v>6.7</v>
      </c>
      <c r="S482" s="2">
        <v>28</v>
      </c>
      <c r="T482" s="2">
        <v>35</v>
      </c>
      <c r="U482" s="251">
        <v>6</v>
      </c>
      <c r="V482" s="2">
        <v>133</v>
      </c>
      <c r="W482" s="86">
        <v>142</v>
      </c>
      <c r="X482" s="40">
        <f>_xlfn.XLOOKUP("Ripening", CropPhenology_Wheat[Main_Stage], CropPhenology_Wheat[Start_GDD], "Not Found")</f>
        <v>1501</v>
      </c>
      <c r="Y482" s="4" cm="1">
        <f t="array" ref="Y48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2" s="3">
        <f t="shared" si="283"/>
        <v>11.676188711214657</v>
      </c>
      <c r="AA482" s="41">
        <f t="shared" si="276"/>
        <v>145.59545430840777</v>
      </c>
      <c r="AB482" s="2">
        <v>6</v>
      </c>
      <c r="AC482" s="2">
        <v>5</v>
      </c>
      <c r="AD482" s="2">
        <v>2</v>
      </c>
      <c r="AE482" s="2">
        <v>80</v>
      </c>
      <c r="AF482" s="2">
        <v>0</v>
      </c>
      <c r="AG482" s="2">
        <v>5</v>
      </c>
      <c r="AH482" s="49">
        <f t="shared" si="271"/>
        <v>1.3668009138421862</v>
      </c>
      <c r="AI482" s="2">
        <v>5.5</v>
      </c>
      <c r="AJ482" s="2">
        <v>8</v>
      </c>
      <c r="AK482" s="165">
        <v>6</v>
      </c>
      <c r="AL482" s="166">
        <v>7.0999999999999994E-2</v>
      </c>
      <c r="AM482" s="2">
        <v>195</v>
      </c>
      <c r="AN482" s="2">
        <v>285</v>
      </c>
      <c r="AO482" s="85">
        <v>5</v>
      </c>
      <c r="AP482" s="86">
        <v>100</v>
      </c>
      <c r="AQ482" s="149">
        <v>0.8</v>
      </c>
      <c r="AR482" s="2">
        <v>20</v>
      </c>
      <c r="AS482" s="2">
        <v>2.5</v>
      </c>
      <c r="AT482" s="2">
        <v>1</v>
      </c>
      <c r="AU482" s="4">
        <f t="shared" si="277"/>
        <v>200</v>
      </c>
      <c r="AV482" s="3">
        <f t="shared" si="284"/>
        <v>80</v>
      </c>
      <c r="AW482" s="2">
        <v>90</v>
      </c>
      <c r="AX482" s="3">
        <f t="shared" si="278"/>
        <v>180</v>
      </c>
      <c r="AY482" s="2">
        <v>4</v>
      </c>
      <c r="AZ482" s="4">
        <f t="shared" si="279"/>
        <v>720</v>
      </c>
      <c r="BA482" s="49">
        <v>0.8</v>
      </c>
      <c r="BB482" s="4">
        <f t="shared" si="280"/>
        <v>576</v>
      </c>
      <c r="BC482" s="150">
        <v>8.0000000000000002E-3</v>
      </c>
      <c r="BD482" s="69">
        <f>IFERROR(
  MAX(0.05, MIN(0.5, CropNorms_Wheat[[#This Row],[Leaf_Area_Per_Shoot_m2]] * CropNorms_Wheat[[#This Row],[Shoot_Bearing_m2]] )),
  0.2
)</f>
        <v>0.5</v>
      </c>
      <c r="BE482" s="4">
        <f>_xlfn.XLOOKUP(CropNorms_Wheat[[#This Row],[LAI_Start_BBCH]], CropPhenology_Wheat[Sub_Stage], CropPhenology_Wheat[Start_GDD], "Not Found")</f>
        <v>151</v>
      </c>
      <c r="BF482" s="3">
        <f t="shared" si="285"/>
        <v>4.6100000000000003</v>
      </c>
      <c r="BG48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2" s="3">
        <f>IF(CropNorms_Wheat[[#This Row],[Max_LAI]]&gt;=1.2, 0.85*CropNorms_Wheat[[#This Row],[Max_LAI]], 1)</f>
        <v>3.9185000000000003</v>
      </c>
      <c r="BI482" s="41">
        <f>_xlfn.XLOOKUP(CropNorms_Wheat[[#This Row],[LAI_End_BBCH]], CropPhenology_Wheat[Sub_Stage], CropPhenology_Wheat[End_GDD], "Not Found")</f>
        <v>1500</v>
      </c>
      <c r="BJ482" s="3" cm="1">
        <f t="array" ref="BJ48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2" s="3" cm="1">
        <f t="array" ref="BK48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2" s="3" cm="1">
        <f t="array" ref="BL48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2" s="3" cm="1">
        <f t="array" ref="BM48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2" s="42">
        <v>0.42</v>
      </c>
      <c r="BO482" s="43">
        <v>0</v>
      </c>
      <c r="BP482" s="42">
        <v>3.4125000000000001</v>
      </c>
      <c r="BQ482" s="43" t="s">
        <v>1795</v>
      </c>
      <c r="BR482" s="3" t="str" cm="1">
        <f t="array" ref="BR48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2" s="3" t="str" cm="1">
        <f t="array" ref="BS48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2" s="3" t="str" cm="1">
        <f t="array" ref="BT48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2" s="3" t="str" cm="1">
        <f t="array" ref="BU48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2" s="48">
        <v>80</v>
      </c>
      <c r="BW482" s="1">
        <v>40</v>
      </c>
      <c r="BX482" s="44">
        <v>40</v>
      </c>
      <c r="BY482" s="151">
        <v>45962</v>
      </c>
      <c r="BZ482" s="151">
        <v>46022</v>
      </c>
      <c r="CA482" s="152">
        <v>0</v>
      </c>
      <c r="CB482" s="153">
        <v>0</v>
      </c>
      <c r="CC482" s="153">
        <v>1</v>
      </c>
      <c r="CD482" s="153">
        <v>1</v>
      </c>
      <c r="CE482" s="153">
        <v>1</v>
      </c>
      <c r="CF482" s="153">
        <v>0</v>
      </c>
      <c r="CG482" s="153">
        <v>0</v>
      </c>
      <c r="CH482" s="153">
        <v>0</v>
      </c>
      <c r="CI482" s="153">
        <v>0</v>
      </c>
      <c r="CJ482" s="153">
        <v>0</v>
      </c>
      <c r="CK482" s="153">
        <v>0</v>
      </c>
      <c r="CL482" s="153">
        <v>0</v>
      </c>
    </row>
    <row r="483" spans="2:90" x14ac:dyDescent="0.25">
      <c r="B483" s="27" t="s">
        <v>321</v>
      </c>
      <c r="C483" s="2" t="s">
        <v>2263</v>
      </c>
      <c r="D483" s="2" t="s">
        <v>1832</v>
      </c>
      <c r="E483" s="2" t="s">
        <v>2144</v>
      </c>
      <c r="F483" s="90">
        <v>85</v>
      </c>
      <c r="G483" s="155" t="s">
        <v>2264</v>
      </c>
      <c r="H483" s="2"/>
      <c r="I483" s="2"/>
      <c r="J483" s="2"/>
      <c r="K483" s="2" t="s">
        <v>1748</v>
      </c>
      <c r="L483" s="2" t="s">
        <v>1750</v>
      </c>
      <c r="M483" s="2" t="s">
        <v>358</v>
      </c>
      <c r="N483" s="49"/>
      <c r="O483" s="2" t="s">
        <v>2078</v>
      </c>
      <c r="P483" s="2">
        <v>43</v>
      </c>
      <c r="Q483" s="2">
        <v>5</v>
      </c>
      <c r="R483" s="2">
        <v>6.7</v>
      </c>
      <c r="S483" s="2">
        <v>28</v>
      </c>
      <c r="T483" s="2">
        <v>35</v>
      </c>
      <c r="U483" s="251">
        <v>6</v>
      </c>
      <c r="V483" s="2">
        <v>137</v>
      </c>
      <c r="W483" s="86">
        <v>159</v>
      </c>
      <c r="X483" s="40">
        <f>_xlfn.XLOOKUP("Ripening", CropPhenology_Wheat[Main_Stage], CropPhenology_Wheat[Start_GDD], "Not Found")</f>
        <v>1501</v>
      </c>
      <c r="Y483" s="4" cm="1">
        <f t="array" ref="Y48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3" s="3">
        <f t="shared" ref="Z483:Z505" si="288">MIN(Y483/V483,MAX(X483/W483,R483,(X483/W483+Y483/V483)/2))</f>
        <v>10.924505348207319</v>
      </c>
      <c r="AA483" s="41">
        <f t="shared" si="276"/>
        <v>155.61345304105373</v>
      </c>
      <c r="AB483" s="2">
        <v>6</v>
      </c>
      <c r="AC483" s="2">
        <v>5</v>
      </c>
      <c r="AD483" s="2">
        <v>2</v>
      </c>
      <c r="AE483" s="2">
        <v>80</v>
      </c>
      <c r="AF483" s="2">
        <v>0</v>
      </c>
      <c r="AG483" s="2">
        <v>5</v>
      </c>
      <c r="AH483" s="49">
        <f t="shared" si="271"/>
        <v>1.2788097437019157</v>
      </c>
      <c r="AI483" s="2">
        <v>5.5</v>
      </c>
      <c r="AJ483" s="2">
        <v>8</v>
      </c>
      <c r="AK483" s="165">
        <v>6</v>
      </c>
      <c r="AL483" s="166">
        <v>7.0999999999999994E-2</v>
      </c>
      <c r="AM483" s="2">
        <v>195</v>
      </c>
      <c r="AN483" s="2">
        <v>285</v>
      </c>
      <c r="AO483" s="85">
        <v>5</v>
      </c>
      <c r="AP483" s="86">
        <v>100</v>
      </c>
      <c r="AQ483" s="149">
        <v>0.8</v>
      </c>
      <c r="AR483" s="2">
        <v>20</v>
      </c>
      <c r="AS483" s="2">
        <v>2.5</v>
      </c>
      <c r="AT483" s="2">
        <v>1</v>
      </c>
      <c r="AU483" s="4">
        <f t="shared" si="277"/>
        <v>200</v>
      </c>
      <c r="AV483" s="3">
        <f t="shared" ref="AV483:AV505" si="289">ROUND((P483/1000000)*AU483*10000,2)</f>
        <v>86</v>
      </c>
      <c r="AW483" s="2">
        <v>90</v>
      </c>
      <c r="AX483" s="3">
        <f t="shared" si="278"/>
        <v>180</v>
      </c>
      <c r="AY483" s="2">
        <v>4</v>
      </c>
      <c r="AZ483" s="4">
        <f t="shared" si="279"/>
        <v>720</v>
      </c>
      <c r="BA483" s="49">
        <v>0.8</v>
      </c>
      <c r="BB483" s="4">
        <f t="shared" si="280"/>
        <v>576</v>
      </c>
      <c r="BC483" s="150">
        <v>8.0000000000000002E-3</v>
      </c>
      <c r="BD483" s="69">
        <f>IFERROR(
  MAX(0.05, MIN(0.5, CropNorms_Wheat[[#This Row],[Leaf_Area_Per_Shoot_m2]] * CropNorms_Wheat[[#This Row],[Shoot_Bearing_m2]] )),
  0.2
)</f>
        <v>0.5</v>
      </c>
      <c r="BE483" s="4">
        <f>_xlfn.XLOOKUP(CropNorms_Wheat[[#This Row],[LAI_Start_BBCH]], CropPhenology_Wheat[Sub_Stage], CropPhenology_Wheat[Start_GDD], "Not Found")</f>
        <v>151</v>
      </c>
      <c r="BF483" s="3">
        <f t="shared" ref="BF483:BF505" si="290">ROUND(BB483*BC483,2)</f>
        <v>4.6100000000000003</v>
      </c>
      <c r="BG48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3" s="3">
        <f>IF(CropNorms_Wheat[[#This Row],[Max_LAI]]&gt;=1.2, 0.85*CropNorms_Wheat[[#This Row],[Max_LAI]], 1)</f>
        <v>3.9185000000000003</v>
      </c>
      <c r="BI483" s="41">
        <f>_xlfn.XLOOKUP(CropNorms_Wheat[[#This Row],[LAI_End_BBCH]], CropPhenology_Wheat[Sub_Stage], CropPhenology_Wheat[End_GDD], "Not Found")</f>
        <v>1500</v>
      </c>
      <c r="BJ483" s="3" cm="1">
        <f t="array" ref="BJ48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3" s="3" cm="1">
        <f t="array" ref="BK48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3" s="3" cm="1">
        <f t="array" ref="BL48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3" s="3" cm="1">
        <f t="array" ref="BM48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3" s="42">
        <v>0.42</v>
      </c>
      <c r="BO483" s="43">
        <v>0</v>
      </c>
      <c r="BP483" s="42">
        <v>3.4125000000000001</v>
      </c>
      <c r="BQ483" s="43" t="s">
        <v>1795</v>
      </c>
      <c r="BR483" s="3" t="str" cm="1">
        <f t="array" ref="BR48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3" s="3" t="str" cm="1">
        <f t="array" ref="BS48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3" s="3" t="str" cm="1">
        <f t="array" ref="BT48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3" s="3" t="str" cm="1">
        <f t="array" ref="BU48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3" s="48">
        <v>80</v>
      </c>
      <c r="BW483" s="1">
        <v>40</v>
      </c>
      <c r="BX483" s="44">
        <v>40</v>
      </c>
      <c r="BY483" s="151">
        <v>45962</v>
      </c>
      <c r="BZ483" s="151">
        <v>46022</v>
      </c>
      <c r="CA483" s="152">
        <v>0</v>
      </c>
      <c r="CB483" s="153">
        <v>0</v>
      </c>
      <c r="CC483" s="153">
        <v>1</v>
      </c>
      <c r="CD483" s="153">
        <v>1</v>
      </c>
      <c r="CE483" s="153">
        <v>1</v>
      </c>
      <c r="CF483" s="153">
        <v>0</v>
      </c>
      <c r="CG483" s="153">
        <v>0</v>
      </c>
      <c r="CH483" s="153">
        <v>0</v>
      </c>
      <c r="CI483" s="153">
        <v>0</v>
      </c>
      <c r="CJ483" s="153">
        <v>0</v>
      </c>
      <c r="CK483" s="153">
        <v>0</v>
      </c>
      <c r="CL483" s="153">
        <v>0</v>
      </c>
    </row>
    <row r="484" spans="2:90" x14ac:dyDescent="0.25">
      <c r="B484" s="27" t="s">
        <v>321</v>
      </c>
      <c r="C484" s="2" t="s">
        <v>2265</v>
      </c>
      <c r="D484" s="2" t="s">
        <v>2126</v>
      </c>
      <c r="E484" s="2" t="s">
        <v>1835</v>
      </c>
      <c r="F484" s="90">
        <v>99.56</v>
      </c>
      <c r="G484" s="2"/>
      <c r="H484" s="2"/>
      <c r="I484" s="2"/>
      <c r="J484" s="2"/>
      <c r="K484" s="2" t="s">
        <v>1748</v>
      </c>
      <c r="L484" s="2" t="s">
        <v>1750</v>
      </c>
      <c r="M484" s="2" t="s">
        <v>358</v>
      </c>
      <c r="N484" s="49"/>
      <c r="O484" s="2" t="s">
        <v>2078</v>
      </c>
      <c r="P484" s="2">
        <v>50</v>
      </c>
      <c r="Q484" s="2">
        <v>5</v>
      </c>
      <c r="R484" s="2">
        <v>6.7</v>
      </c>
      <c r="S484" s="2">
        <v>28</v>
      </c>
      <c r="T484" s="2">
        <v>35</v>
      </c>
      <c r="U484" s="251">
        <v>6</v>
      </c>
      <c r="V484" s="2">
        <v>145</v>
      </c>
      <c r="W484" s="86">
        <v>170</v>
      </c>
      <c r="X484" s="40">
        <f>_xlfn.XLOOKUP("Ripening", CropPhenology_Wheat[Main_Stage], CropPhenology_Wheat[Start_GDD], "Not Found")</f>
        <v>1501</v>
      </c>
      <c r="Y484" s="4" cm="1">
        <f t="array" ref="Y48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4" s="3">
        <f t="shared" si="288"/>
        <v>10.276774847870183</v>
      </c>
      <c r="AA484" s="41">
        <f t="shared" si="276"/>
        <v>165.42154763197109</v>
      </c>
      <c r="AB484" s="2">
        <v>9</v>
      </c>
      <c r="AC484" s="2">
        <v>5</v>
      </c>
      <c r="AD484" s="2">
        <v>2</v>
      </c>
      <c r="AE484" s="2">
        <v>80</v>
      </c>
      <c r="AF484" s="2">
        <v>0</v>
      </c>
      <c r="AG484" s="2">
        <v>5</v>
      </c>
      <c r="AH484" s="49">
        <f t="shared" ref="AH484:AH505" si="291">IFERROR((Y484-X484)/AA484,0)</f>
        <v>1.2029871733683333</v>
      </c>
      <c r="AI484" s="2">
        <v>5.5</v>
      </c>
      <c r="AJ484" s="2">
        <v>8</v>
      </c>
      <c r="AK484" s="165">
        <v>6</v>
      </c>
      <c r="AL484" s="166">
        <v>7.0999999999999994E-2</v>
      </c>
      <c r="AM484" s="2">
        <v>195</v>
      </c>
      <c r="AN484" s="2">
        <v>285</v>
      </c>
      <c r="AO484" s="85">
        <v>5</v>
      </c>
      <c r="AP484" s="86">
        <v>100</v>
      </c>
      <c r="AQ484" s="149">
        <v>0.8</v>
      </c>
      <c r="AR484" s="2">
        <v>20</v>
      </c>
      <c r="AS484" s="2">
        <v>2.5</v>
      </c>
      <c r="AT484" s="2">
        <v>1</v>
      </c>
      <c r="AU484" s="4">
        <f t="shared" si="277"/>
        <v>200</v>
      </c>
      <c r="AV484" s="3">
        <f t="shared" si="289"/>
        <v>100</v>
      </c>
      <c r="AW484" s="2">
        <v>90</v>
      </c>
      <c r="AX484" s="3">
        <f t="shared" si="278"/>
        <v>180</v>
      </c>
      <c r="AY484" s="2">
        <v>4</v>
      </c>
      <c r="AZ484" s="4">
        <f t="shared" si="279"/>
        <v>720</v>
      </c>
      <c r="BA484" s="49">
        <v>0.8</v>
      </c>
      <c r="BB484" s="4">
        <f t="shared" si="280"/>
        <v>576</v>
      </c>
      <c r="BC484" s="150">
        <v>8.0000000000000002E-3</v>
      </c>
      <c r="BD484" s="69">
        <f>IFERROR(
  MAX(0.05, MIN(0.5, CropNorms_Wheat[[#This Row],[Leaf_Area_Per_Shoot_m2]] * CropNorms_Wheat[[#This Row],[Shoot_Bearing_m2]] )),
  0.2
)</f>
        <v>0.5</v>
      </c>
      <c r="BE484" s="4">
        <f>_xlfn.XLOOKUP(CropNorms_Wheat[[#This Row],[LAI_Start_BBCH]], CropPhenology_Wheat[Sub_Stage], CropPhenology_Wheat[Start_GDD], "Not Found")</f>
        <v>151</v>
      </c>
      <c r="BF484" s="3">
        <f t="shared" si="290"/>
        <v>4.6100000000000003</v>
      </c>
      <c r="BG48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4" s="3">
        <f>IF(CropNorms_Wheat[[#This Row],[Max_LAI]]&gt;=1.2, 0.85*CropNorms_Wheat[[#This Row],[Max_LAI]], 1)</f>
        <v>3.9185000000000003</v>
      </c>
      <c r="BI484" s="41">
        <f>_xlfn.XLOOKUP(CropNorms_Wheat[[#This Row],[LAI_End_BBCH]], CropPhenology_Wheat[Sub_Stage], CropPhenology_Wheat[End_GDD], "Not Found")</f>
        <v>1500</v>
      </c>
      <c r="BJ484" s="3" cm="1">
        <f t="array" ref="BJ48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4" s="3" cm="1">
        <f t="array" ref="BK48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4" s="3" cm="1">
        <f t="array" ref="BL48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4" s="3" cm="1">
        <f t="array" ref="BM48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4" s="42">
        <v>0.42</v>
      </c>
      <c r="BO484" s="43">
        <v>0</v>
      </c>
      <c r="BP484" s="42">
        <v>3.4125000000000001</v>
      </c>
      <c r="BQ484" s="43" t="s">
        <v>1795</v>
      </c>
      <c r="BR484" s="3" t="str" cm="1">
        <f t="array" ref="BR48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4" s="3" t="str" cm="1">
        <f t="array" ref="BS48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4" s="3" t="str" cm="1">
        <f t="array" ref="BT48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4" s="3" t="str" cm="1">
        <f t="array" ref="BU48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4" s="48">
        <v>80</v>
      </c>
      <c r="BW484" s="1">
        <v>40</v>
      </c>
      <c r="BX484" s="44">
        <v>40</v>
      </c>
      <c r="BY484" s="151">
        <v>45962</v>
      </c>
      <c r="BZ484" s="151">
        <v>46022</v>
      </c>
      <c r="CA484" s="152">
        <v>0</v>
      </c>
      <c r="CB484" s="153">
        <v>0</v>
      </c>
      <c r="CC484" s="153">
        <v>1</v>
      </c>
      <c r="CD484" s="153">
        <v>1</v>
      </c>
      <c r="CE484" s="153">
        <v>1</v>
      </c>
      <c r="CF484" s="153">
        <v>0</v>
      </c>
      <c r="CG484" s="153">
        <v>0</v>
      </c>
      <c r="CH484" s="153">
        <v>0</v>
      </c>
      <c r="CI484" s="153">
        <v>0</v>
      </c>
      <c r="CJ484" s="153">
        <v>0</v>
      </c>
      <c r="CK484" s="153">
        <v>0</v>
      </c>
      <c r="CL484" s="153">
        <v>0</v>
      </c>
    </row>
    <row r="485" spans="2:90" x14ac:dyDescent="0.25">
      <c r="B485" s="27" t="s">
        <v>321</v>
      </c>
      <c r="C485" s="2" t="s">
        <v>2266</v>
      </c>
      <c r="D485" s="2" t="s">
        <v>2126</v>
      </c>
      <c r="E485" s="2" t="s">
        <v>2127</v>
      </c>
      <c r="F485" s="90">
        <v>115</v>
      </c>
      <c r="G485" s="2"/>
      <c r="H485" s="2"/>
      <c r="I485" s="2"/>
      <c r="J485" s="2"/>
      <c r="K485" s="2" t="s">
        <v>1748</v>
      </c>
      <c r="L485" s="2" t="s">
        <v>1750</v>
      </c>
      <c r="M485" s="2" t="s">
        <v>358</v>
      </c>
      <c r="N485" s="49"/>
      <c r="O485" s="2" t="s">
        <v>2078</v>
      </c>
      <c r="P485" s="2">
        <v>43</v>
      </c>
      <c r="Q485" s="2">
        <v>5</v>
      </c>
      <c r="R485" s="2">
        <v>6.7</v>
      </c>
      <c r="S485" s="2">
        <v>28</v>
      </c>
      <c r="T485" s="2">
        <v>35</v>
      </c>
      <c r="U485" s="251">
        <v>6</v>
      </c>
      <c r="V485" s="2">
        <v>140</v>
      </c>
      <c r="W485" s="86">
        <v>162</v>
      </c>
      <c r="X485" s="40">
        <f>_xlfn.XLOOKUP("Ripening", CropPhenology_Wheat[Main_Stage], CropPhenology_Wheat[Start_GDD], "Not Found")</f>
        <v>1501</v>
      </c>
      <c r="Y485" s="4" cm="1">
        <f t="array" ref="Y48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5" s="3">
        <f t="shared" si="288"/>
        <v>10.704144620811288</v>
      </c>
      <c r="AA485" s="41">
        <f t="shared" si="276"/>
        <v>158.81698727190343</v>
      </c>
      <c r="AB485" s="2">
        <v>7</v>
      </c>
      <c r="AC485" s="2">
        <v>5</v>
      </c>
      <c r="AD485" s="2">
        <v>2</v>
      </c>
      <c r="AE485" s="2">
        <v>80</v>
      </c>
      <c r="AF485" s="2">
        <v>0</v>
      </c>
      <c r="AG485" s="2">
        <v>5</v>
      </c>
      <c r="AH485" s="49">
        <f t="shared" si="291"/>
        <v>1.2530145762008509</v>
      </c>
      <c r="AI485" s="2">
        <v>5.5</v>
      </c>
      <c r="AJ485" s="2">
        <v>8</v>
      </c>
      <c r="AK485" s="165">
        <v>6</v>
      </c>
      <c r="AL485" s="166">
        <v>7.0999999999999994E-2</v>
      </c>
      <c r="AM485" s="2">
        <v>195</v>
      </c>
      <c r="AN485" s="2">
        <v>285</v>
      </c>
      <c r="AO485" s="85">
        <v>5</v>
      </c>
      <c r="AP485" s="86">
        <v>100</v>
      </c>
      <c r="AQ485" s="149">
        <v>0.8</v>
      </c>
      <c r="AR485" s="2">
        <v>20</v>
      </c>
      <c r="AS485" s="2">
        <v>2.5</v>
      </c>
      <c r="AT485" s="2">
        <v>1</v>
      </c>
      <c r="AU485" s="4">
        <f t="shared" si="277"/>
        <v>200</v>
      </c>
      <c r="AV485" s="3">
        <f t="shared" si="289"/>
        <v>86</v>
      </c>
      <c r="AW485" s="2">
        <v>90</v>
      </c>
      <c r="AX485" s="3">
        <f t="shared" si="278"/>
        <v>180</v>
      </c>
      <c r="AY485" s="2">
        <v>5</v>
      </c>
      <c r="AZ485" s="4">
        <f t="shared" si="279"/>
        <v>900</v>
      </c>
      <c r="BA485" s="49">
        <v>0.8</v>
      </c>
      <c r="BB485" s="4">
        <f t="shared" si="280"/>
        <v>720</v>
      </c>
      <c r="BC485" s="150">
        <v>8.0000000000000002E-3</v>
      </c>
      <c r="BD485" s="69">
        <f>IFERROR(
  MAX(0.05, MIN(0.5, CropNorms_Wheat[[#This Row],[Leaf_Area_Per_Shoot_m2]] * CropNorms_Wheat[[#This Row],[Shoot_Bearing_m2]] )),
  0.2
)</f>
        <v>0.5</v>
      </c>
      <c r="BE485" s="4">
        <f>_xlfn.XLOOKUP(CropNorms_Wheat[[#This Row],[LAI_Start_BBCH]], CropPhenology_Wheat[Sub_Stage], CropPhenology_Wheat[Start_GDD], "Not Found")</f>
        <v>151</v>
      </c>
      <c r="BF485" s="3">
        <f t="shared" si="290"/>
        <v>5.76</v>
      </c>
      <c r="BG48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5" s="3">
        <f>IF(CropNorms_Wheat[[#This Row],[Max_LAI]]&gt;=1.2, 0.85*CropNorms_Wheat[[#This Row],[Max_LAI]], 1)</f>
        <v>4.8959999999999999</v>
      </c>
      <c r="BI485" s="41">
        <f>_xlfn.XLOOKUP(CropNorms_Wheat[[#This Row],[LAI_End_BBCH]], CropPhenology_Wheat[Sub_Stage], CropPhenology_Wheat[End_GDD], "Not Found")</f>
        <v>1500</v>
      </c>
      <c r="BJ485" s="3" cm="1">
        <f t="array" ref="BJ48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5" s="3" cm="1">
        <f t="array" ref="BK48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85" s="3" cm="1">
        <f t="array" ref="BL48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85" s="3" cm="1">
        <f t="array" ref="BM48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5" s="42">
        <v>0.42</v>
      </c>
      <c r="BO485" s="43">
        <v>0</v>
      </c>
      <c r="BP485" s="42">
        <v>3.4125000000000001</v>
      </c>
      <c r="BQ485" s="43" t="s">
        <v>1795</v>
      </c>
      <c r="BR485" s="3" t="str" cm="1">
        <f t="array" ref="BR48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5" s="3" t="str" cm="1">
        <f t="array" ref="BS48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5" s="3" t="str" cm="1">
        <f t="array" ref="BT48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5" s="3" t="str" cm="1">
        <f t="array" ref="BU48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5" s="48">
        <v>80</v>
      </c>
      <c r="BW485" s="1">
        <v>40</v>
      </c>
      <c r="BX485" s="44">
        <v>40</v>
      </c>
      <c r="BY485" s="151">
        <v>45962</v>
      </c>
      <c r="BZ485" s="151">
        <v>46022</v>
      </c>
      <c r="CA485" s="152">
        <v>0</v>
      </c>
      <c r="CB485" s="153">
        <v>0</v>
      </c>
      <c r="CC485" s="153">
        <v>1</v>
      </c>
      <c r="CD485" s="153">
        <v>1</v>
      </c>
      <c r="CE485" s="153">
        <v>1</v>
      </c>
      <c r="CF485" s="153">
        <v>0</v>
      </c>
      <c r="CG485" s="153">
        <v>0</v>
      </c>
      <c r="CH485" s="153">
        <v>0</v>
      </c>
      <c r="CI485" s="153">
        <v>0</v>
      </c>
      <c r="CJ485" s="153">
        <v>0</v>
      </c>
      <c r="CK485" s="153">
        <v>0</v>
      </c>
      <c r="CL485" s="153">
        <v>0</v>
      </c>
    </row>
    <row r="486" spans="2:90" x14ac:dyDescent="0.25">
      <c r="B486" s="27" t="s">
        <v>321</v>
      </c>
      <c r="C486" s="2" t="s">
        <v>323</v>
      </c>
      <c r="D486" s="2" t="s">
        <v>1832</v>
      </c>
      <c r="E486" s="2" t="s">
        <v>2167</v>
      </c>
      <c r="F486" s="90">
        <v>115</v>
      </c>
      <c r="G486" s="2" t="s">
        <v>2267</v>
      </c>
      <c r="H486" s="2" t="s">
        <v>1840</v>
      </c>
      <c r="I486" s="2" t="s">
        <v>1841</v>
      </c>
      <c r="J486" s="2" t="s">
        <v>2344</v>
      </c>
      <c r="K486" s="2" t="s">
        <v>1748</v>
      </c>
      <c r="L486" s="2" t="s">
        <v>1750</v>
      </c>
      <c r="M486" s="2" t="s">
        <v>358</v>
      </c>
      <c r="N486" s="49">
        <v>6.9487331393210683</v>
      </c>
      <c r="O486" s="2" t="s">
        <v>2078</v>
      </c>
      <c r="P486" s="2">
        <v>45</v>
      </c>
      <c r="Q486" s="2">
        <v>5</v>
      </c>
      <c r="R486" s="2">
        <v>6.7</v>
      </c>
      <c r="S486" s="2">
        <v>28</v>
      </c>
      <c r="T486" s="2">
        <v>35</v>
      </c>
      <c r="U486" s="251">
        <v>6</v>
      </c>
      <c r="V486" s="2">
        <v>134</v>
      </c>
      <c r="W486" s="86">
        <v>150</v>
      </c>
      <c r="X486" s="40">
        <f>_xlfn.XLOOKUP("Ripening", CropPhenology_Wheat[Main_Stage], CropPhenology_Wheat[Start_GDD], "Not Found")</f>
        <v>1501</v>
      </c>
      <c r="Y486" s="4" cm="1">
        <f t="array" ref="Y48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6" s="3">
        <f t="shared" si="288"/>
        <v>11.346616915422885</v>
      </c>
      <c r="AA486" s="41">
        <f t="shared" si="276"/>
        <v>149.82439370886627</v>
      </c>
      <c r="AB486" s="2">
        <v>7</v>
      </c>
      <c r="AC486" s="2">
        <v>5</v>
      </c>
      <c r="AD486" s="2">
        <v>2</v>
      </c>
      <c r="AE486" s="2">
        <v>80</v>
      </c>
      <c r="AF486" s="2">
        <v>0</v>
      </c>
      <c r="AG486" s="2">
        <v>5</v>
      </c>
      <c r="AH486" s="49">
        <f t="shared" si="291"/>
        <v>1.3282216271583258</v>
      </c>
      <c r="AI486" s="2">
        <v>5.5</v>
      </c>
      <c r="AJ486" s="2">
        <v>8</v>
      </c>
      <c r="AK486" s="165">
        <v>6</v>
      </c>
      <c r="AL486" s="166">
        <v>7.0999999999999994E-2</v>
      </c>
      <c r="AM486" s="2">
        <v>195</v>
      </c>
      <c r="AN486" s="2">
        <v>285</v>
      </c>
      <c r="AO486" s="85">
        <v>5</v>
      </c>
      <c r="AP486" s="86">
        <v>100</v>
      </c>
      <c r="AQ486" s="149">
        <v>0.8</v>
      </c>
      <c r="AR486" s="2">
        <v>20</v>
      </c>
      <c r="AS486" s="2">
        <v>2.5</v>
      </c>
      <c r="AT486" s="2">
        <v>1</v>
      </c>
      <c r="AU486" s="4">
        <f t="shared" si="277"/>
        <v>200</v>
      </c>
      <c r="AV486" s="3">
        <f t="shared" si="289"/>
        <v>90</v>
      </c>
      <c r="AW486" s="2">
        <v>90</v>
      </c>
      <c r="AX486" s="3">
        <f t="shared" si="278"/>
        <v>180</v>
      </c>
      <c r="AY486" s="2">
        <v>4</v>
      </c>
      <c r="AZ486" s="4">
        <f t="shared" si="279"/>
        <v>720</v>
      </c>
      <c r="BA486" s="49">
        <v>0.8</v>
      </c>
      <c r="BB486" s="4">
        <f t="shared" si="280"/>
        <v>576</v>
      </c>
      <c r="BC486" s="150">
        <v>8.0000000000000002E-3</v>
      </c>
      <c r="BD486" s="69">
        <f>IFERROR(
  MAX(0.05, MIN(0.5, CropNorms_Wheat[[#This Row],[Leaf_Area_Per_Shoot_m2]] * CropNorms_Wheat[[#This Row],[Shoot_Bearing_m2]] )),
  0.2
)</f>
        <v>0.5</v>
      </c>
      <c r="BE486" s="4">
        <f>_xlfn.XLOOKUP(CropNorms_Wheat[[#This Row],[LAI_Start_BBCH]], CropPhenology_Wheat[Sub_Stage], CropPhenology_Wheat[Start_GDD], "Not Found")</f>
        <v>151</v>
      </c>
      <c r="BF486" s="3">
        <f t="shared" si="290"/>
        <v>4.6100000000000003</v>
      </c>
      <c r="BG48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6" s="3">
        <f>IF(CropNorms_Wheat[[#This Row],[Max_LAI]]&gt;=1.2, 0.85*CropNorms_Wheat[[#This Row],[Max_LAI]], 1)</f>
        <v>3.9185000000000003</v>
      </c>
      <c r="BI486" s="41">
        <f>_xlfn.XLOOKUP(CropNorms_Wheat[[#This Row],[LAI_End_BBCH]], CropPhenology_Wheat[Sub_Stage], CropPhenology_Wheat[End_GDD], "Not Found")</f>
        <v>1500</v>
      </c>
      <c r="BJ486" s="3" cm="1">
        <f t="array" ref="BJ48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K486" s="3" cm="1">
        <f t="array" ref="BK48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6" s="3" cm="1">
        <f t="array" ref="BL48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6" s="3" cm="1">
        <f t="array" ref="BM48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6" s="42">
        <v>0.45</v>
      </c>
      <c r="BO486" s="43">
        <v>0</v>
      </c>
      <c r="BP486" s="42">
        <v>3.65625</v>
      </c>
      <c r="BQ486" s="43" t="s">
        <v>1795</v>
      </c>
      <c r="BR486" s="3" t="str" cm="1">
        <f t="array" ref="BR48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6" s="3" t="str" cm="1">
        <f t="array" ref="BS48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6" s="3" t="str" cm="1">
        <f t="array" ref="BT48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6" s="3" t="str" cm="1">
        <f t="array" ref="BU48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6" s="48">
        <v>80</v>
      </c>
      <c r="BW486" s="1">
        <v>40</v>
      </c>
      <c r="BX486" s="44">
        <v>40</v>
      </c>
      <c r="BY486" s="151">
        <v>45962</v>
      </c>
      <c r="BZ486" s="151">
        <v>46022</v>
      </c>
      <c r="CA486" s="152">
        <v>0</v>
      </c>
      <c r="CB486" s="153">
        <v>0</v>
      </c>
      <c r="CC486" s="153">
        <v>1</v>
      </c>
      <c r="CD486" s="153">
        <v>1</v>
      </c>
      <c r="CE486" s="153">
        <v>1</v>
      </c>
      <c r="CF486" s="153">
        <v>0</v>
      </c>
      <c r="CG486" s="153">
        <v>0</v>
      </c>
      <c r="CH486" s="153">
        <v>0</v>
      </c>
      <c r="CI486" s="153">
        <v>0</v>
      </c>
      <c r="CJ486" s="153">
        <v>0</v>
      </c>
      <c r="CK486" s="153">
        <v>0</v>
      </c>
      <c r="CL486" s="153">
        <v>0</v>
      </c>
    </row>
    <row r="487" spans="2:90" x14ac:dyDescent="0.25">
      <c r="B487" s="27" t="s">
        <v>321</v>
      </c>
      <c r="C487" s="2" t="s">
        <v>2268</v>
      </c>
      <c r="D487" s="2" t="s">
        <v>2126</v>
      </c>
      <c r="E487" s="2" t="s">
        <v>2167</v>
      </c>
      <c r="F487" s="90">
        <v>110</v>
      </c>
      <c r="G487" s="2" t="s">
        <v>2168</v>
      </c>
      <c r="H487" s="2" t="s">
        <v>1840</v>
      </c>
      <c r="I487" s="2"/>
      <c r="J487" s="2"/>
      <c r="K487" s="2" t="s">
        <v>1748</v>
      </c>
      <c r="L487" s="2" t="s">
        <v>1750</v>
      </c>
      <c r="M487" s="2" t="s">
        <v>358</v>
      </c>
      <c r="N487" s="49"/>
      <c r="O487" s="2" t="s">
        <v>2078</v>
      </c>
      <c r="P487" s="2">
        <v>35</v>
      </c>
      <c r="Q487" s="2">
        <v>5</v>
      </c>
      <c r="R487" s="2">
        <v>6.7</v>
      </c>
      <c r="S487" s="2">
        <v>28</v>
      </c>
      <c r="T487" s="2">
        <v>35</v>
      </c>
      <c r="U487" s="251">
        <v>6</v>
      </c>
      <c r="V487" s="2">
        <v>125</v>
      </c>
      <c r="W487" s="86">
        <v>145</v>
      </c>
      <c r="X487" s="40">
        <f>_xlfn.XLOOKUP("Ripening", CropPhenology_Wheat[Main_Stage], CropPhenology_Wheat[Start_GDD], "Not Found")</f>
        <v>1501</v>
      </c>
      <c r="Y487" s="4" cm="1">
        <f t="array" ref="Y48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7" s="3">
        <f t="shared" si="288"/>
        <v>11.975862068965517</v>
      </c>
      <c r="AA487" s="41">
        <f t="shared" si="276"/>
        <v>141.95220270659374</v>
      </c>
      <c r="AB487" s="2">
        <v>6</v>
      </c>
      <c r="AC487" s="2">
        <v>5</v>
      </c>
      <c r="AD487" s="2">
        <v>2</v>
      </c>
      <c r="AE487" s="2">
        <v>80</v>
      </c>
      <c r="AF487" s="2">
        <v>0</v>
      </c>
      <c r="AG487" s="2">
        <v>5</v>
      </c>
      <c r="AH487" s="49">
        <f t="shared" si="291"/>
        <v>1.4018803245436104</v>
      </c>
      <c r="AI487" s="2">
        <v>5.5</v>
      </c>
      <c r="AJ487" s="2">
        <v>8</v>
      </c>
      <c r="AK487" s="165">
        <v>6</v>
      </c>
      <c r="AL487" s="166">
        <v>7.0999999999999994E-2</v>
      </c>
      <c r="AM487" s="2">
        <v>195</v>
      </c>
      <c r="AN487" s="2">
        <v>285</v>
      </c>
      <c r="AO487" s="85">
        <v>5</v>
      </c>
      <c r="AP487" s="86">
        <v>100</v>
      </c>
      <c r="AQ487" s="149">
        <v>0.8</v>
      </c>
      <c r="AR487" s="2">
        <v>20</v>
      </c>
      <c r="AS487" s="2">
        <v>2.5</v>
      </c>
      <c r="AT487" s="2">
        <v>1</v>
      </c>
      <c r="AU487" s="4">
        <f t="shared" si="277"/>
        <v>200</v>
      </c>
      <c r="AV487" s="3">
        <f t="shared" si="289"/>
        <v>70</v>
      </c>
      <c r="AW487" s="2">
        <v>90</v>
      </c>
      <c r="AX487" s="3">
        <f t="shared" si="278"/>
        <v>180</v>
      </c>
      <c r="AY487" s="2">
        <v>4</v>
      </c>
      <c r="AZ487" s="4">
        <f t="shared" si="279"/>
        <v>720</v>
      </c>
      <c r="BA487" s="49">
        <v>0.8</v>
      </c>
      <c r="BB487" s="4">
        <f t="shared" si="280"/>
        <v>576</v>
      </c>
      <c r="BC487" s="150">
        <v>8.0000000000000002E-3</v>
      </c>
      <c r="BD487" s="69">
        <f>IFERROR(
  MAX(0.05, MIN(0.5, CropNorms_Wheat[[#This Row],[Leaf_Area_Per_Shoot_m2]] * CropNorms_Wheat[[#This Row],[Shoot_Bearing_m2]] )),
  0.2
)</f>
        <v>0.5</v>
      </c>
      <c r="BE487" s="4">
        <f>_xlfn.XLOOKUP(CropNorms_Wheat[[#This Row],[LAI_Start_BBCH]], CropPhenology_Wheat[Sub_Stage], CropPhenology_Wheat[Start_GDD], "Not Found")</f>
        <v>151</v>
      </c>
      <c r="BF487" s="3">
        <f t="shared" si="290"/>
        <v>4.6100000000000003</v>
      </c>
      <c r="BG48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7" s="3">
        <f>IF(CropNorms_Wheat[[#This Row],[Max_LAI]]&gt;=1.2, 0.85*CropNorms_Wheat[[#This Row],[Max_LAI]], 1)</f>
        <v>3.9185000000000003</v>
      </c>
      <c r="BI487" s="41">
        <f>_xlfn.XLOOKUP(CropNorms_Wheat[[#This Row],[LAI_End_BBCH]], CropPhenology_Wheat[Sub_Stage], CropPhenology_Wheat[End_GDD], "Not Found")</f>
        <v>1500</v>
      </c>
      <c r="BJ487" s="3" cm="1">
        <f t="array" ref="BJ48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7" s="3" cm="1">
        <f t="array" ref="BK48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7" s="3" cm="1">
        <f t="array" ref="BL48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7" s="3" cm="1">
        <f t="array" ref="BM48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7" s="42">
        <f t="shared" ref="BN487:BN490" si="292">(0.28+0.4)/2</f>
        <v>0.34</v>
      </c>
      <c r="BO487" s="43">
        <v>0</v>
      </c>
      <c r="BP487" s="42">
        <v>2.7625000000000002</v>
      </c>
      <c r="BQ487" s="43" t="s">
        <v>1795</v>
      </c>
      <c r="BR487" s="3" t="str" cm="1">
        <f t="array" ref="BR48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7" s="3" t="str" cm="1">
        <f t="array" ref="BS48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7" s="3" t="str" cm="1">
        <f t="array" ref="BT48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7" s="3" t="str" cm="1">
        <f t="array" ref="BU48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7" s="48">
        <v>80</v>
      </c>
      <c r="BW487" s="1">
        <v>40</v>
      </c>
      <c r="BX487" s="44">
        <v>40</v>
      </c>
      <c r="BY487" s="151">
        <v>45962</v>
      </c>
      <c r="BZ487" s="151">
        <v>46022</v>
      </c>
      <c r="CA487" s="152">
        <v>0</v>
      </c>
      <c r="CB487" s="153">
        <v>0</v>
      </c>
      <c r="CC487" s="153">
        <v>1</v>
      </c>
      <c r="CD487" s="153">
        <v>1</v>
      </c>
      <c r="CE487" s="153">
        <v>1</v>
      </c>
      <c r="CF487" s="153">
        <v>0</v>
      </c>
      <c r="CG487" s="153">
        <v>0</v>
      </c>
      <c r="CH487" s="153">
        <v>0</v>
      </c>
      <c r="CI487" s="153">
        <v>0</v>
      </c>
      <c r="CJ487" s="153">
        <v>0</v>
      </c>
      <c r="CK487" s="153">
        <v>0</v>
      </c>
      <c r="CL487" s="153">
        <v>0</v>
      </c>
    </row>
    <row r="488" spans="2:90" x14ac:dyDescent="0.25">
      <c r="B488" s="27" t="s">
        <v>321</v>
      </c>
      <c r="C488" s="2" t="s">
        <v>1157</v>
      </c>
      <c r="D488" s="2" t="s">
        <v>1832</v>
      </c>
      <c r="E488" s="2" t="s">
        <v>2127</v>
      </c>
      <c r="F488" s="90">
        <v>115</v>
      </c>
      <c r="G488" s="2" t="s">
        <v>2269</v>
      </c>
      <c r="H488" s="2" t="s">
        <v>2232</v>
      </c>
      <c r="I488" s="2" t="s">
        <v>1837</v>
      </c>
      <c r="J488" s="2" t="s">
        <v>1156</v>
      </c>
      <c r="K488" s="2" t="s">
        <v>1748</v>
      </c>
      <c r="L488" s="2" t="s">
        <v>1750</v>
      </c>
      <c r="M488" s="2" t="s">
        <v>358</v>
      </c>
      <c r="N488" s="49"/>
      <c r="O488" s="2" t="s">
        <v>1156</v>
      </c>
      <c r="P488" s="2">
        <v>39</v>
      </c>
      <c r="Q488" s="2">
        <v>5</v>
      </c>
      <c r="R488" s="2">
        <v>6.7</v>
      </c>
      <c r="S488" s="2">
        <v>28</v>
      </c>
      <c r="T488" s="2">
        <v>35</v>
      </c>
      <c r="U488" s="251">
        <v>6</v>
      </c>
      <c r="V488" s="2">
        <v>124</v>
      </c>
      <c r="W488" s="86">
        <v>140</v>
      </c>
      <c r="X488" s="40">
        <f>_xlfn.XLOOKUP("Ripening", CropPhenology_Wheat[Main_Stage], CropPhenology_Wheat[Start_GDD], "Not Found")</f>
        <v>1501</v>
      </c>
      <c r="Y488" s="4" cm="1">
        <f t="array" ref="Y48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8" s="3">
        <f t="shared" si="288"/>
        <v>12.215552995391704</v>
      </c>
      <c r="AA488" s="41">
        <f t="shared" si="276"/>
        <v>139.16684743141158</v>
      </c>
      <c r="AB488" s="2">
        <v>7</v>
      </c>
      <c r="AC488" s="2">
        <v>5</v>
      </c>
      <c r="AD488" s="2">
        <v>2</v>
      </c>
      <c r="AE488" s="2">
        <v>80</v>
      </c>
      <c r="AF488" s="2">
        <v>0</v>
      </c>
      <c r="AG488" s="2">
        <v>5</v>
      </c>
      <c r="AH488" s="49">
        <f t="shared" si="291"/>
        <v>1.4299382624017347</v>
      </c>
      <c r="AI488" s="2">
        <v>5.5</v>
      </c>
      <c r="AJ488" s="2">
        <v>8</v>
      </c>
      <c r="AK488" s="165">
        <v>6</v>
      </c>
      <c r="AL488" s="166">
        <v>7.0999999999999994E-2</v>
      </c>
      <c r="AM488" s="2">
        <v>195</v>
      </c>
      <c r="AN488" s="2">
        <v>285</v>
      </c>
      <c r="AO488" s="85">
        <v>5</v>
      </c>
      <c r="AP488" s="86">
        <v>100</v>
      </c>
      <c r="AQ488" s="149">
        <v>0.6</v>
      </c>
      <c r="AR488" s="2">
        <v>20</v>
      </c>
      <c r="AS488" s="2">
        <v>2.5</v>
      </c>
      <c r="AT488" s="2">
        <v>1</v>
      </c>
      <c r="AU488" s="4">
        <f t="shared" si="277"/>
        <v>200</v>
      </c>
      <c r="AV488" s="3">
        <f t="shared" si="289"/>
        <v>78</v>
      </c>
      <c r="AW488" s="2">
        <v>90</v>
      </c>
      <c r="AX488" s="3">
        <f t="shared" si="278"/>
        <v>180</v>
      </c>
      <c r="AY488" s="2">
        <v>4</v>
      </c>
      <c r="AZ488" s="4">
        <f t="shared" si="279"/>
        <v>720</v>
      </c>
      <c r="BA488" s="49">
        <v>0.47</v>
      </c>
      <c r="BB488" s="4">
        <f t="shared" si="280"/>
        <v>338.4</v>
      </c>
      <c r="BC488" s="150">
        <v>4.0000000000000001E-3</v>
      </c>
      <c r="BD488" s="69">
        <f>IFERROR(
  MAX(0.05, MIN(0.5, CropNorms_Wheat[[#This Row],[Leaf_Area_Per_Shoot_m2]] * CropNorms_Wheat[[#This Row],[Shoot_Bearing_m2]] )),
  0.2
)</f>
        <v>0.5</v>
      </c>
      <c r="BE488" s="4">
        <f>_xlfn.XLOOKUP(CropNorms_Wheat[[#This Row],[LAI_Start_BBCH]], CropPhenology_Wheat[Sub_Stage], CropPhenology_Wheat[Start_GDD], "Not Found")</f>
        <v>151</v>
      </c>
      <c r="BF488" s="3">
        <f t="shared" si="290"/>
        <v>1.35</v>
      </c>
      <c r="BG48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8" s="3">
        <f>IF(CropNorms_Wheat[[#This Row],[Max_LAI]]&gt;=1.2, 0.85*CropNorms_Wheat[[#This Row],[Max_LAI]], 1)</f>
        <v>1.1475</v>
      </c>
      <c r="BI488" s="41">
        <f>_xlfn.XLOOKUP(CropNorms_Wheat[[#This Row],[LAI_End_BBCH]], CropPhenology_Wheat[Sub_Stage], CropPhenology_Wheat[End_GDD], "Not Found")</f>
        <v>1500</v>
      </c>
      <c r="BJ488" s="3" cm="1">
        <f t="array" ref="BJ48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8" s="3" cm="1">
        <f t="array" ref="BK48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0.93881839281570445</v>
      </c>
      <c r="BL488" s="3" cm="1">
        <f t="array" ref="BL48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M488" s="3" cm="1">
        <f t="array" ref="BM48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8" s="42">
        <f t="shared" si="292"/>
        <v>0.34</v>
      </c>
      <c r="BO488" s="43">
        <v>0</v>
      </c>
      <c r="BP488" s="42">
        <v>2.7625000000000002</v>
      </c>
      <c r="BQ488" s="43" t="s">
        <v>1795</v>
      </c>
      <c r="BR488" s="3" t="str" cm="1">
        <f t="array" ref="BR48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8" s="3" t="str" cm="1">
        <f t="array" ref="BS48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8" s="3" t="str" cm="1">
        <f t="array" ref="BT48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8" s="3" t="str" cm="1">
        <f t="array" ref="BU48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8" s="48">
        <v>80</v>
      </c>
      <c r="BW488" s="1">
        <v>40</v>
      </c>
      <c r="BX488" s="44">
        <v>40</v>
      </c>
      <c r="BY488" s="151">
        <v>45962</v>
      </c>
      <c r="BZ488" s="151">
        <v>46022</v>
      </c>
      <c r="CA488" s="152">
        <v>0</v>
      </c>
      <c r="CB488" s="153">
        <v>0</v>
      </c>
      <c r="CC488" s="153">
        <v>1</v>
      </c>
      <c r="CD488" s="153">
        <v>1</v>
      </c>
      <c r="CE488" s="153">
        <v>1</v>
      </c>
      <c r="CF488" s="153">
        <v>0</v>
      </c>
      <c r="CG488" s="153">
        <v>0</v>
      </c>
      <c r="CH488" s="153">
        <v>0</v>
      </c>
      <c r="CI488" s="153">
        <v>0</v>
      </c>
      <c r="CJ488" s="153">
        <v>0</v>
      </c>
      <c r="CK488" s="153">
        <v>0</v>
      </c>
      <c r="CL488" s="153">
        <v>0</v>
      </c>
    </row>
    <row r="489" spans="2:90" x14ac:dyDescent="0.25">
      <c r="B489" s="27" t="s">
        <v>321</v>
      </c>
      <c r="C489" s="2" t="s">
        <v>2270</v>
      </c>
      <c r="D489" s="2" t="s">
        <v>1832</v>
      </c>
      <c r="E489" s="2" t="s">
        <v>1835</v>
      </c>
      <c r="F489" s="90">
        <v>96</v>
      </c>
      <c r="G489" s="2" t="s">
        <v>2271</v>
      </c>
      <c r="H489" s="2"/>
      <c r="I489" s="2"/>
      <c r="J489" s="2"/>
      <c r="K489" s="2" t="s">
        <v>1748</v>
      </c>
      <c r="L489" s="2" t="s">
        <v>1750</v>
      </c>
      <c r="M489" s="2" t="s">
        <v>358</v>
      </c>
      <c r="N489" s="49"/>
      <c r="O489" s="2" t="s">
        <v>2078</v>
      </c>
      <c r="P489" s="2">
        <v>38</v>
      </c>
      <c r="Q489" s="2">
        <v>5</v>
      </c>
      <c r="R489" s="2">
        <v>6.7</v>
      </c>
      <c r="S489" s="2">
        <v>28</v>
      </c>
      <c r="T489" s="2">
        <v>35</v>
      </c>
      <c r="U489" s="251">
        <v>6</v>
      </c>
      <c r="V489" s="2">
        <v>132</v>
      </c>
      <c r="W489" s="86">
        <v>158</v>
      </c>
      <c r="X489" s="40">
        <f>_xlfn.XLOOKUP("Ripening", CropPhenology_Wheat[Main_Stage], CropPhenology_Wheat[Start_GDD], "Not Found")</f>
        <v>1501</v>
      </c>
      <c r="Y489" s="4" cm="1">
        <f t="array" ref="Y48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89" s="3">
        <f t="shared" si="288"/>
        <v>11.189393939393939</v>
      </c>
      <c r="AA489" s="41">
        <f t="shared" si="276"/>
        <v>151.92958700067706</v>
      </c>
      <c r="AB489" s="2">
        <v>6</v>
      </c>
      <c r="AC489" s="2">
        <v>5</v>
      </c>
      <c r="AD489" s="2">
        <v>2</v>
      </c>
      <c r="AE489" s="2">
        <v>80</v>
      </c>
      <c r="AF489" s="2">
        <v>0</v>
      </c>
      <c r="AG489" s="2">
        <v>5</v>
      </c>
      <c r="AH489" s="49">
        <f t="shared" si="291"/>
        <v>1.3098172905525847</v>
      </c>
      <c r="AI489" s="2">
        <v>5.5</v>
      </c>
      <c r="AJ489" s="2">
        <v>8</v>
      </c>
      <c r="AK489" s="165">
        <v>6</v>
      </c>
      <c r="AL489" s="166">
        <v>7.0999999999999994E-2</v>
      </c>
      <c r="AM489" s="2">
        <v>195</v>
      </c>
      <c r="AN489" s="2">
        <v>285</v>
      </c>
      <c r="AO489" s="85">
        <v>5</v>
      </c>
      <c r="AP489" s="86">
        <v>100</v>
      </c>
      <c r="AQ489" s="149">
        <v>0.8</v>
      </c>
      <c r="AR489" s="2">
        <v>20</v>
      </c>
      <c r="AS489" s="2">
        <v>2.5</v>
      </c>
      <c r="AT489" s="2">
        <v>1</v>
      </c>
      <c r="AU489" s="4">
        <f t="shared" si="277"/>
        <v>200</v>
      </c>
      <c r="AV489" s="3">
        <f t="shared" si="289"/>
        <v>76</v>
      </c>
      <c r="AW489" s="2">
        <v>90</v>
      </c>
      <c r="AX489" s="3">
        <f t="shared" si="278"/>
        <v>180</v>
      </c>
      <c r="AY489" s="2">
        <v>4</v>
      </c>
      <c r="AZ489" s="4">
        <f t="shared" si="279"/>
        <v>720</v>
      </c>
      <c r="BA489" s="49">
        <v>0.8</v>
      </c>
      <c r="BB489" s="4">
        <f t="shared" si="280"/>
        <v>576</v>
      </c>
      <c r="BC489" s="150">
        <v>8.0000000000000002E-3</v>
      </c>
      <c r="BD489" s="69">
        <f>IFERROR(
  MAX(0.05, MIN(0.5, CropNorms_Wheat[[#This Row],[Leaf_Area_Per_Shoot_m2]] * CropNorms_Wheat[[#This Row],[Shoot_Bearing_m2]] )),
  0.2
)</f>
        <v>0.5</v>
      </c>
      <c r="BE489" s="4">
        <f>_xlfn.XLOOKUP(CropNorms_Wheat[[#This Row],[LAI_Start_BBCH]], CropPhenology_Wheat[Sub_Stage], CropPhenology_Wheat[Start_GDD], "Not Found")</f>
        <v>151</v>
      </c>
      <c r="BF489" s="3">
        <f t="shared" si="290"/>
        <v>4.6100000000000003</v>
      </c>
      <c r="BG48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89" s="3">
        <f>IF(CropNorms_Wheat[[#This Row],[Max_LAI]]&gt;=1.2, 0.85*CropNorms_Wheat[[#This Row],[Max_LAI]], 1)</f>
        <v>3.9185000000000003</v>
      </c>
      <c r="BI489" s="41">
        <f>_xlfn.XLOOKUP(CropNorms_Wheat[[#This Row],[LAI_End_BBCH]], CropPhenology_Wheat[Sub_Stage], CropPhenology_Wheat[End_GDD], "Not Found")</f>
        <v>1500</v>
      </c>
      <c r="BJ489" s="3" cm="1">
        <f t="array" ref="BJ48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89" s="3" cm="1">
        <f t="array" ref="BK4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89" s="3" cm="1">
        <f t="array" ref="BL48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89" s="3" cm="1">
        <f t="array" ref="BM4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89" s="42">
        <f t="shared" si="292"/>
        <v>0.34</v>
      </c>
      <c r="BO489" s="43">
        <v>0</v>
      </c>
      <c r="BP489" s="42">
        <v>2.7625000000000002</v>
      </c>
      <c r="BQ489" s="43" t="s">
        <v>1795</v>
      </c>
      <c r="BR489" s="3" t="str" cm="1">
        <f t="array" ref="BR48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89" s="3" t="str" cm="1">
        <f t="array" ref="BS48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89" s="3" t="str" cm="1">
        <f t="array" ref="BT48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89" s="3" t="str" cm="1">
        <f t="array" ref="BU48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89" s="48">
        <v>80</v>
      </c>
      <c r="BW489" s="1">
        <v>40</v>
      </c>
      <c r="BX489" s="44">
        <v>40</v>
      </c>
      <c r="BY489" s="151">
        <v>45962</v>
      </c>
      <c r="BZ489" s="151">
        <v>46022</v>
      </c>
      <c r="CA489" s="152">
        <v>0</v>
      </c>
      <c r="CB489" s="153">
        <v>0</v>
      </c>
      <c r="CC489" s="153">
        <v>1</v>
      </c>
      <c r="CD489" s="153">
        <v>1</v>
      </c>
      <c r="CE489" s="153">
        <v>1</v>
      </c>
      <c r="CF489" s="153">
        <v>0</v>
      </c>
      <c r="CG489" s="153">
        <v>0</v>
      </c>
      <c r="CH489" s="153">
        <v>0</v>
      </c>
      <c r="CI489" s="153">
        <v>0</v>
      </c>
      <c r="CJ489" s="153">
        <v>0</v>
      </c>
      <c r="CK489" s="153">
        <v>0</v>
      </c>
      <c r="CL489" s="153">
        <v>0</v>
      </c>
    </row>
    <row r="490" spans="2:90" x14ac:dyDescent="0.25">
      <c r="B490" s="27" t="s">
        <v>321</v>
      </c>
      <c r="C490" s="2" t="s">
        <v>2272</v>
      </c>
      <c r="D490" s="2" t="s">
        <v>1832</v>
      </c>
      <c r="E490" s="2" t="s">
        <v>1835</v>
      </c>
      <c r="F490" s="90">
        <v>91</v>
      </c>
      <c r="G490" s="2" t="s">
        <v>2273</v>
      </c>
      <c r="H490" s="2"/>
      <c r="I490" s="2"/>
      <c r="J490" s="2"/>
      <c r="K490" s="2" t="s">
        <v>1748</v>
      </c>
      <c r="L490" s="2" t="s">
        <v>1750</v>
      </c>
      <c r="M490" s="2" t="s">
        <v>358</v>
      </c>
      <c r="N490" s="49"/>
      <c r="O490" s="2" t="s">
        <v>2141</v>
      </c>
      <c r="P490" s="2">
        <v>39</v>
      </c>
      <c r="Q490" s="2">
        <v>5</v>
      </c>
      <c r="R490" s="2">
        <v>6.7</v>
      </c>
      <c r="S490" s="2">
        <v>28</v>
      </c>
      <c r="T490" s="2">
        <v>35</v>
      </c>
      <c r="U490" s="251">
        <v>6</v>
      </c>
      <c r="V490" s="2">
        <v>132</v>
      </c>
      <c r="W490" s="86">
        <v>157</v>
      </c>
      <c r="X490" s="40">
        <f>_xlfn.XLOOKUP("Ripening", CropPhenology_Wheat[Main_Stage], CropPhenology_Wheat[Start_GDD], "Not Found")</f>
        <v>1501</v>
      </c>
      <c r="Y490" s="4" cm="1">
        <f t="array" ref="Y49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0" s="3">
        <f t="shared" si="288"/>
        <v>11.219648716464004</v>
      </c>
      <c r="AA490" s="41">
        <f t="shared" si="276"/>
        <v>151.51989540504738</v>
      </c>
      <c r="AB490" s="2">
        <v>6</v>
      </c>
      <c r="AC490" s="2">
        <v>5</v>
      </c>
      <c r="AD490" s="2">
        <v>2</v>
      </c>
      <c r="AE490" s="2">
        <v>80</v>
      </c>
      <c r="AF490" s="2">
        <v>0</v>
      </c>
      <c r="AG490" s="2">
        <v>5</v>
      </c>
      <c r="AH490" s="49">
        <f t="shared" si="291"/>
        <v>1.313358879162551</v>
      </c>
      <c r="AI490" s="2">
        <v>5.5</v>
      </c>
      <c r="AJ490" s="2">
        <v>8</v>
      </c>
      <c r="AK490" s="165">
        <v>6</v>
      </c>
      <c r="AL490" s="166">
        <v>7.0999999999999994E-2</v>
      </c>
      <c r="AM490" s="2">
        <v>195</v>
      </c>
      <c r="AN490" s="2">
        <v>285</v>
      </c>
      <c r="AO490" s="85">
        <v>5</v>
      </c>
      <c r="AP490" s="86">
        <v>100</v>
      </c>
      <c r="AQ490" s="149">
        <v>0.6</v>
      </c>
      <c r="AR490" s="2">
        <v>20</v>
      </c>
      <c r="AS490" s="2">
        <v>2.5</v>
      </c>
      <c r="AT490" s="2">
        <v>1</v>
      </c>
      <c r="AU490" s="4">
        <f t="shared" si="277"/>
        <v>200</v>
      </c>
      <c r="AV490" s="3">
        <f t="shared" si="289"/>
        <v>78</v>
      </c>
      <c r="AW490" s="2">
        <v>90</v>
      </c>
      <c r="AX490" s="3">
        <f t="shared" si="278"/>
        <v>180</v>
      </c>
      <c r="AY490" s="2">
        <v>4</v>
      </c>
      <c r="AZ490" s="4">
        <f t="shared" si="279"/>
        <v>720</v>
      </c>
      <c r="BA490" s="49">
        <v>0.6</v>
      </c>
      <c r="BB490" s="4">
        <f t="shared" si="280"/>
        <v>432</v>
      </c>
      <c r="BC490" s="150">
        <v>6.0000000000000001E-3</v>
      </c>
      <c r="BD490" s="69">
        <f>IFERROR(
  MAX(0.05, MIN(0.5, CropNorms_Wheat[[#This Row],[Leaf_Area_Per_Shoot_m2]] * CropNorms_Wheat[[#This Row],[Shoot_Bearing_m2]] )),
  0.2
)</f>
        <v>0.5</v>
      </c>
      <c r="BE490" s="4">
        <f>_xlfn.XLOOKUP(CropNorms_Wheat[[#This Row],[LAI_Start_BBCH]], CropPhenology_Wheat[Sub_Stage], CropPhenology_Wheat[Start_GDD], "Not Found")</f>
        <v>151</v>
      </c>
      <c r="BF490" s="3">
        <f t="shared" si="290"/>
        <v>2.59</v>
      </c>
      <c r="BG49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0" s="3">
        <f>IF(CropNorms_Wheat[[#This Row],[Max_LAI]]&gt;=1.2, 0.85*CropNorms_Wheat[[#This Row],[Max_LAI]], 1)</f>
        <v>2.2014999999999998</v>
      </c>
      <c r="BI490" s="41">
        <f>_xlfn.XLOOKUP(CropNorms_Wheat[[#This Row],[LAI_End_BBCH]], CropPhenology_Wheat[Sub_Stage], CropPhenology_Wheat[End_GDD], "Not Found")</f>
        <v>1500</v>
      </c>
      <c r="BJ490" s="3" cm="1">
        <f t="array" ref="BJ49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0" s="3" cm="1">
        <f t="array" ref="BK4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L490" s="3" cm="1">
        <f t="array" ref="BL49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M490" s="3" cm="1">
        <f t="array" ref="BM4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0" s="42">
        <f t="shared" si="292"/>
        <v>0.34</v>
      </c>
      <c r="BO490" s="43">
        <v>0</v>
      </c>
      <c r="BP490" s="42">
        <v>2.7625000000000002</v>
      </c>
      <c r="BQ490" s="43" t="s">
        <v>1795</v>
      </c>
      <c r="BR490" s="3" t="str" cm="1">
        <f t="array" ref="BR49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0" s="3" t="str" cm="1">
        <f t="array" ref="BS49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0" s="3" t="str" cm="1">
        <f t="array" ref="BT49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0" s="3" t="str" cm="1">
        <f t="array" ref="BU49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0" s="48">
        <v>80</v>
      </c>
      <c r="BW490" s="1">
        <v>40</v>
      </c>
      <c r="BX490" s="44">
        <v>40</v>
      </c>
      <c r="BY490" s="151">
        <v>45962</v>
      </c>
      <c r="BZ490" s="151">
        <v>46022</v>
      </c>
      <c r="CA490" s="152">
        <v>0</v>
      </c>
      <c r="CB490" s="153">
        <v>0</v>
      </c>
      <c r="CC490" s="153">
        <v>1</v>
      </c>
      <c r="CD490" s="153">
        <v>1</v>
      </c>
      <c r="CE490" s="153">
        <v>1</v>
      </c>
      <c r="CF490" s="153">
        <v>0</v>
      </c>
      <c r="CG490" s="153">
        <v>0</v>
      </c>
      <c r="CH490" s="153">
        <v>0</v>
      </c>
      <c r="CI490" s="153">
        <v>0</v>
      </c>
      <c r="CJ490" s="153">
        <v>0</v>
      </c>
      <c r="CK490" s="153">
        <v>0</v>
      </c>
      <c r="CL490" s="153">
        <v>0</v>
      </c>
    </row>
    <row r="491" spans="2:90" x14ac:dyDescent="0.25">
      <c r="B491" s="27" t="s">
        <v>321</v>
      </c>
      <c r="C491" s="2" t="s">
        <v>2274</v>
      </c>
      <c r="D491" s="2" t="s">
        <v>1832</v>
      </c>
      <c r="E491" s="2" t="s">
        <v>1835</v>
      </c>
      <c r="F491" s="90">
        <v>105</v>
      </c>
      <c r="G491" s="2"/>
      <c r="H491" s="2"/>
      <c r="I491" s="2"/>
      <c r="J491" s="2" t="s">
        <v>2111</v>
      </c>
      <c r="K491" s="2" t="s">
        <v>1748</v>
      </c>
      <c r="L491" s="2" t="s">
        <v>1750</v>
      </c>
      <c r="M491" s="2" t="s">
        <v>358</v>
      </c>
      <c r="N491" s="49"/>
      <c r="O491" s="2" t="s">
        <v>2141</v>
      </c>
      <c r="P491" s="2">
        <v>41</v>
      </c>
      <c r="Q491" s="2">
        <v>5</v>
      </c>
      <c r="R491" s="2">
        <v>6.7</v>
      </c>
      <c r="S491" s="2">
        <v>28</v>
      </c>
      <c r="T491" s="2">
        <v>35</v>
      </c>
      <c r="U491" s="251">
        <v>6</v>
      </c>
      <c r="V491" s="2">
        <v>125</v>
      </c>
      <c r="W491" s="86">
        <v>140</v>
      </c>
      <c r="X491" s="40">
        <f>_xlfn.XLOOKUP("Ripening", CropPhenology_Wheat[Main_Stage], CropPhenology_Wheat[Start_GDD], "Not Found")</f>
        <v>1501</v>
      </c>
      <c r="Y491" s="4" cm="1">
        <f t="array" ref="Y49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1" s="3">
        <f t="shared" si="288"/>
        <v>12.160714285714285</v>
      </c>
      <c r="AA491" s="41">
        <f>Y491/Z491</f>
        <v>139.79441997063142</v>
      </c>
      <c r="AB491" s="2">
        <v>7</v>
      </c>
      <c r="AC491" s="2">
        <v>5</v>
      </c>
      <c r="AD491" s="2">
        <v>2</v>
      </c>
      <c r="AE491" s="2">
        <v>80</v>
      </c>
      <c r="AF491" s="2">
        <v>0</v>
      </c>
      <c r="AG491" s="2">
        <v>5</v>
      </c>
      <c r="AH491" s="49">
        <f t="shared" si="291"/>
        <v>1.4235189075630252</v>
      </c>
      <c r="AI491" s="2">
        <v>5.5</v>
      </c>
      <c r="AJ491" s="2">
        <v>8</v>
      </c>
      <c r="AK491" s="165">
        <v>6</v>
      </c>
      <c r="AL491" s="166">
        <v>7.0999999999999994E-2</v>
      </c>
      <c r="AM491" s="2">
        <v>195</v>
      </c>
      <c r="AN491" s="2">
        <v>285</v>
      </c>
      <c r="AO491" s="85">
        <v>5</v>
      </c>
      <c r="AP491" s="86">
        <v>100</v>
      </c>
      <c r="AQ491" s="149">
        <v>0.6</v>
      </c>
      <c r="AR491" s="2">
        <v>20</v>
      </c>
      <c r="AS491" s="2">
        <v>2.5</v>
      </c>
      <c r="AT491" s="2">
        <v>1</v>
      </c>
      <c r="AU491" s="4">
        <f>IFERROR(10000/(AS491*AR491),0)*AT491</f>
        <v>200</v>
      </c>
      <c r="AV491" s="3">
        <f t="shared" si="289"/>
        <v>82</v>
      </c>
      <c r="AW491" s="2">
        <v>90</v>
      </c>
      <c r="AX491" s="3">
        <f>IFERROR((AU491*AW491/100),0)</f>
        <v>180</v>
      </c>
      <c r="AY491" s="2">
        <v>5</v>
      </c>
      <c r="AZ491" s="4">
        <f>IFERROR(AX491*AY491,0)</f>
        <v>900</v>
      </c>
      <c r="BA491" s="49">
        <v>0.6</v>
      </c>
      <c r="BB491" s="4">
        <f>IFERROR(AZ491*BA491,0)</f>
        <v>540</v>
      </c>
      <c r="BC491" s="150">
        <v>6.0000000000000001E-3</v>
      </c>
      <c r="BD491" s="69">
        <f>IFERROR(
  MAX(0.05, MIN(0.5, CropNorms_Wheat[[#This Row],[Leaf_Area_Per_Shoot_m2]] * CropNorms_Wheat[[#This Row],[Shoot_Bearing_m2]] )),
  0.2
)</f>
        <v>0.5</v>
      </c>
      <c r="BE491" s="4">
        <f>_xlfn.XLOOKUP(CropNorms_Wheat[[#This Row],[LAI_Start_BBCH]], CropPhenology_Wheat[Sub_Stage], CropPhenology_Wheat[Start_GDD], "Not Found")</f>
        <v>151</v>
      </c>
      <c r="BF491" s="3">
        <f t="shared" si="290"/>
        <v>3.24</v>
      </c>
      <c r="BG49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1" s="3">
        <f>IF(CropNorms_Wheat[[#This Row],[Max_LAI]]&gt;=1.2, 0.85*CropNorms_Wheat[[#This Row],[Max_LAI]], 1)</f>
        <v>2.754</v>
      </c>
      <c r="BI491" s="41">
        <f>_xlfn.XLOOKUP(CropNorms_Wheat[[#This Row],[LAI_End_BBCH]], CropPhenology_Wheat[Sub_Stage], CropPhenology_Wheat[End_GDD], "Not Found")</f>
        <v>1500</v>
      </c>
      <c r="BJ491" s="3" cm="1">
        <f t="array" ref="BJ49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1" s="3" cm="1">
        <f t="array" ref="BK4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0.93777306814087813</v>
      </c>
      <c r="BL491" s="3" cm="1">
        <f t="array" ref="BL49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1.5423394808528104</v>
      </c>
      <c r="BM491" s="3" cm="1">
        <f t="array" ref="BM4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1" s="42">
        <f>(0.28+0.4)/2</f>
        <v>0.34</v>
      </c>
      <c r="BO491" s="43">
        <v>0</v>
      </c>
      <c r="BP491" s="42">
        <v>2.7625000000000002</v>
      </c>
      <c r="BQ491" s="43" t="s">
        <v>1795</v>
      </c>
      <c r="BR491" s="3" t="str" cm="1">
        <f t="array" ref="BR49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1" s="3" t="str" cm="1">
        <f t="array" ref="BS49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1" s="3" t="str" cm="1">
        <f t="array" ref="BT49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1" s="3" t="str" cm="1">
        <f t="array" ref="BU49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1" s="48">
        <v>80</v>
      </c>
      <c r="BW491" s="1">
        <v>40</v>
      </c>
      <c r="BX491" s="44">
        <v>40</v>
      </c>
      <c r="BY491" s="151">
        <v>45962</v>
      </c>
      <c r="BZ491" s="151">
        <v>46022</v>
      </c>
      <c r="CA491" s="152">
        <v>0</v>
      </c>
      <c r="CB491" s="153">
        <v>0</v>
      </c>
      <c r="CC491" s="153">
        <v>1</v>
      </c>
      <c r="CD491" s="153">
        <v>1</v>
      </c>
      <c r="CE491" s="153">
        <v>1</v>
      </c>
      <c r="CF491" s="153">
        <v>0</v>
      </c>
      <c r="CG491" s="153">
        <v>0</v>
      </c>
      <c r="CH491" s="153">
        <v>0</v>
      </c>
      <c r="CI491" s="153">
        <v>0</v>
      </c>
      <c r="CJ491" s="153">
        <v>0</v>
      </c>
      <c r="CK491" s="153">
        <v>0</v>
      </c>
      <c r="CL491" s="153">
        <v>0</v>
      </c>
    </row>
    <row r="492" spans="2:90" x14ac:dyDescent="0.25">
      <c r="B492" s="27" t="s">
        <v>321</v>
      </c>
      <c r="C492" s="2" t="s">
        <v>2275</v>
      </c>
      <c r="D492" s="2" t="s">
        <v>1832</v>
      </c>
      <c r="E492" s="2" t="s">
        <v>2127</v>
      </c>
      <c r="F492" s="90">
        <v>115</v>
      </c>
      <c r="G492" s="2" t="s">
        <v>2276</v>
      </c>
      <c r="H492" s="2" t="s">
        <v>2128</v>
      </c>
      <c r="I492" s="2"/>
      <c r="J492" s="2" t="s">
        <v>2345</v>
      </c>
      <c r="K492" s="2" t="s">
        <v>1748</v>
      </c>
      <c r="L492" s="2" t="s">
        <v>1750</v>
      </c>
      <c r="M492" s="2" t="s">
        <v>358</v>
      </c>
      <c r="N492" s="49"/>
      <c r="O492" s="2" t="s">
        <v>2078</v>
      </c>
      <c r="P492" s="2">
        <v>45</v>
      </c>
      <c r="Q492" s="2">
        <v>5</v>
      </c>
      <c r="R492" s="2">
        <v>6.7</v>
      </c>
      <c r="S492" s="2">
        <v>28</v>
      </c>
      <c r="T492" s="2">
        <v>35</v>
      </c>
      <c r="U492" s="251">
        <v>6</v>
      </c>
      <c r="V492" s="2">
        <v>130</v>
      </c>
      <c r="W492" s="86">
        <v>155</v>
      </c>
      <c r="X492" s="40">
        <f>_xlfn.XLOOKUP("Ripening", CropPhenology_Wheat[Main_Stage], CropPhenology_Wheat[Start_GDD], "Not Found")</f>
        <v>1501</v>
      </c>
      <c r="Y492" s="4" cm="1">
        <f t="array" ref="Y49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2" s="3">
        <f t="shared" si="288"/>
        <v>11.380397022332506</v>
      </c>
      <c r="AA492" s="41">
        <f t="shared" ref="AA492" si="293">Y492/Z492</f>
        <v>149.37967424721452</v>
      </c>
      <c r="AB492" s="2">
        <v>7</v>
      </c>
      <c r="AC492" s="2">
        <v>5</v>
      </c>
      <c r="AD492" s="2">
        <v>2</v>
      </c>
      <c r="AE492" s="2">
        <v>80</v>
      </c>
      <c r="AF492" s="2">
        <v>0</v>
      </c>
      <c r="AG492" s="2">
        <v>5</v>
      </c>
      <c r="AH492" s="49">
        <f t="shared" si="291"/>
        <v>1.332175886731864</v>
      </c>
      <c r="AI492" s="2">
        <v>5.5</v>
      </c>
      <c r="AJ492" s="2">
        <v>8</v>
      </c>
      <c r="AK492" s="165">
        <v>6</v>
      </c>
      <c r="AL492" s="166">
        <v>7.0999999999999994E-2</v>
      </c>
      <c r="AM492" s="2">
        <v>195</v>
      </c>
      <c r="AN492" s="2">
        <v>285</v>
      </c>
      <c r="AO492" s="85">
        <v>5</v>
      </c>
      <c r="AP492" s="86">
        <v>100</v>
      </c>
      <c r="AQ492" s="149">
        <v>0.8</v>
      </c>
      <c r="AR492" s="2">
        <v>20</v>
      </c>
      <c r="AS492" s="2">
        <v>2.5</v>
      </c>
      <c r="AT492" s="2">
        <v>1</v>
      </c>
      <c r="AU492" s="4">
        <f t="shared" ref="AU492" si="294">IFERROR(10000/(AS492*AR492),0)*AT492</f>
        <v>200</v>
      </c>
      <c r="AV492" s="3">
        <f t="shared" si="289"/>
        <v>90</v>
      </c>
      <c r="AW492" s="2">
        <v>90</v>
      </c>
      <c r="AX492" s="3">
        <f t="shared" ref="AX492" si="295">IFERROR((AU492*AW492/100),0)</f>
        <v>180</v>
      </c>
      <c r="AY492" s="2">
        <v>4</v>
      </c>
      <c r="AZ492" s="4">
        <f t="shared" ref="AZ492" si="296">IFERROR(AX492*AY492,0)</f>
        <v>720</v>
      </c>
      <c r="BA492" s="49">
        <v>0.8</v>
      </c>
      <c r="BB492" s="4">
        <f t="shared" ref="BB492" si="297">IFERROR(AZ492*BA492,0)</f>
        <v>576</v>
      </c>
      <c r="BC492" s="150">
        <v>8.0000000000000002E-3</v>
      </c>
      <c r="BD492" s="69">
        <f>IFERROR(
  MAX(0.05, MIN(0.5, CropNorms_Wheat[[#This Row],[Leaf_Area_Per_Shoot_m2]] * CropNorms_Wheat[[#This Row],[Shoot_Bearing_m2]] )),
  0.2
)</f>
        <v>0.5</v>
      </c>
      <c r="BE492" s="4">
        <f>_xlfn.XLOOKUP(CropNorms_Wheat[[#This Row],[LAI_Start_BBCH]], CropPhenology_Wheat[Sub_Stage], CropPhenology_Wheat[Start_GDD], "Not Found")</f>
        <v>151</v>
      </c>
      <c r="BF492" s="3">
        <f t="shared" si="290"/>
        <v>4.6100000000000003</v>
      </c>
      <c r="BG49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2" s="3">
        <f>IF(CropNorms_Wheat[[#This Row],[Max_LAI]]&gt;=1.2, 0.85*CropNorms_Wheat[[#This Row],[Max_LAI]], 1)</f>
        <v>3.9185000000000003</v>
      </c>
      <c r="BI492" s="41">
        <f>_xlfn.XLOOKUP(CropNorms_Wheat[[#This Row],[LAI_End_BBCH]], CropPhenology_Wheat[Sub_Stage], CropPhenology_Wheat[End_GDD], "Not Found")</f>
        <v>1500</v>
      </c>
      <c r="BJ492" s="3" cm="1">
        <f t="array" ref="BJ49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2" s="3" cm="1">
        <f t="array" ref="BK4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92" s="3" cm="1">
        <f t="array" ref="BL49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92" s="3" cm="1">
        <f t="array" ref="BM4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2" s="42">
        <f t="shared" ref="BN492" si="298">(0.28+0.4)/2</f>
        <v>0.34</v>
      </c>
      <c r="BO492" s="43">
        <v>0</v>
      </c>
      <c r="BP492" s="42">
        <v>2.7625000000000002</v>
      </c>
      <c r="BQ492" s="43" t="s">
        <v>1795</v>
      </c>
      <c r="BR492" s="3" t="str" cm="1">
        <f t="array" ref="BR49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2" s="3" t="str" cm="1">
        <f t="array" ref="BS49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2" s="3" t="str" cm="1">
        <f t="array" ref="BT49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2" s="3" t="str" cm="1">
        <f t="array" ref="BU49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2" s="48">
        <v>80</v>
      </c>
      <c r="BW492" s="1">
        <v>40</v>
      </c>
      <c r="BX492" s="44">
        <v>40</v>
      </c>
      <c r="BY492" s="151">
        <v>45962</v>
      </c>
      <c r="BZ492" s="151">
        <v>46022</v>
      </c>
      <c r="CA492" s="152">
        <v>0</v>
      </c>
      <c r="CB492" s="153">
        <v>0</v>
      </c>
      <c r="CC492" s="153">
        <v>1</v>
      </c>
      <c r="CD492" s="153">
        <v>1</v>
      </c>
      <c r="CE492" s="153">
        <v>1</v>
      </c>
      <c r="CF492" s="153">
        <v>0</v>
      </c>
      <c r="CG492" s="153">
        <v>0</v>
      </c>
      <c r="CH492" s="153">
        <v>0</v>
      </c>
      <c r="CI492" s="153">
        <v>0</v>
      </c>
      <c r="CJ492" s="153">
        <v>0</v>
      </c>
      <c r="CK492" s="153">
        <v>0</v>
      </c>
      <c r="CL492" s="153">
        <v>0</v>
      </c>
    </row>
    <row r="493" spans="2:90" x14ac:dyDescent="0.25">
      <c r="B493" s="27" t="s">
        <v>321</v>
      </c>
      <c r="C493" s="2" t="s">
        <v>2277</v>
      </c>
      <c r="D493" s="2" t="s">
        <v>1832</v>
      </c>
      <c r="E493" s="2" t="s">
        <v>1835</v>
      </c>
      <c r="F493" s="90">
        <v>100</v>
      </c>
      <c r="G493" s="2"/>
      <c r="H493" s="2" t="s">
        <v>2278</v>
      </c>
      <c r="I493" s="2"/>
      <c r="J493" s="2" t="s">
        <v>2338</v>
      </c>
      <c r="K493" s="2" t="s">
        <v>1748</v>
      </c>
      <c r="L493" s="2" t="s">
        <v>1750</v>
      </c>
      <c r="M493" s="2" t="s">
        <v>358</v>
      </c>
      <c r="N493" s="49"/>
      <c r="O493" s="2" t="s">
        <v>2078</v>
      </c>
      <c r="P493" s="2">
        <v>42</v>
      </c>
      <c r="Q493" s="2">
        <v>5</v>
      </c>
      <c r="R493" s="2">
        <v>6.7</v>
      </c>
      <c r="S493" s="2">
        <v>28</v>
      </c>
      <c r="T493" s="2">
        <v>35</v>
      </c>
      <c r="U493" s="251">
        <v>6</v>
      </c>
      <c r="V493" s="2">
        <v>120</v>
      </c>
      <c r="W493" s="86">
        <v>145</v>
      </c>
      <c r="X493" s="40">
        <f>_xlfn.XLOOKUP("Ripening", CropPhenology_Wheat[Main_Stage], CropPhenology_Wheat[Start_GDD], "Not Found")</f>
        <v>1501</v>
      </c>
      <c r="Y493" s="4" cm="1">
        <f t="array" ref="Y49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3" s="3">
        <f t="shared" si="288"/>
        <v>12.25919540229885</v>
      </c>
      <c r="AA493" s="41">
        <f>Y493/Z493</f>
        <v>138.67141718625476</v>
      </c>
      <c r="AB493" s="2">
        <v>7</v>
      </c>
      <c r="AC493" s="2">
        <v>5</v>
      </c>
      <c r="AD493" s="2">
        <v>2</v>
      </c>
      <c r="AE493" s="2">
        <v>80</v>
      </c>
      <c r="AF493" s="2">
        <v>0</v>
      </c>
      <c r="AG493" s="2">
        <v>5</v>
      </c>
      <c r="AH493" s="49">
        <f t="shared" si="291"/>
        <v>1.435046991210277</v>
      </c>
      <c r="AI493" s="2">
        <v>5.5</v>
      </c>
      <c r="AJ493" s="2">
        <v>8</v>
      </c>
      <c r="AK493" s="165">
        <v>6</v>
      </c>
      <c r="AL493" s="166">
        <v>7.0999999999999994E-2</v>
      </c>
      <c r="AM493" s="2">
        <v>195</v>
      </c>
      <c r="AN493" s="2">
        <v>285</v>
      </c>
      <c r="AO493" s="85">
        <v>5</v>
      </c>
      <c r="AP493" s="86">
        <v>100</v>
      </c>
      <c r="AQ493" s="149">
        <v>0.8</v>
      </c>
      <c r="AR493" s="2">
        <v>20</v>
      </c>
      <c r="AS493" s="2">
        <v>2.5</v>
      </c>
      <c r="AT493" s="2">
        <v>1</v>
      </c>
      <c r="AU493" s="4">
        <f>IFERROR(10000/(AS493*AR493),0)*AT493</f>
        <v>200</v>
      </c>
      <c r="AV493" s="3">
        <f t="shared" si="289"/>
        <v>84</v>
      </c>
      <c r="AW493" s="2">
        <v>90</v>
      </c>
      <c r="AX493" s="3">
        <f>IFERROR((AU493*AW493/100),0)</f>
        <v>180</v>
      </c>
      <c r="AY493" s="2">
        <v>5</v>
      </c>
      <c r="AZ493" s="4">
        <f>IFERROR(AX493*AY493,0)</f>
        <v>900</v>
      </c>
      <c r="BA493" s="49">
        <v>0.8</v>
      </c>
      <c r="BB493" s="4">
        <f>IFERROR(AZ493*BA493,0)</f>
        <v>720</v>
      </c>
      <c r="BC493" s="150">
        <v>8.0000000000000002E-3</v>
      </c>
      <c r="BD493" s="69">
        <f>IFERROR(
  MAX(0.05, MIN(0.5, CropNorms_Wheat[[#This Row],[Leaf_Area_Per_Shoot_m2]] * CropNorms_Wheat[[#This Row],[Shoot_Bearing_m2]] )),
  0.2
)</f>
        <v>0.5</v>
      </c>
      <c r="BE493" s="4">
        <f>_xlfn.XLOOKUP(CropNorms_Wheat[[#This Row],[LAI_Start_BBCH]], CropPhenology_Wheat[Sub_Stage], CropPhenology_Wheat[Start_GDD], "Not Found")</f>
        <v>151</v>
      </c>
      <c r="BF493" s="3">
        <f t="shared" si="290"/>
        <v>5.76</v>
      </c>
      <c r="BG49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3" s="3">
        <f>IF(CropNorms_Wheat[[#This Row],[Max_LAI]]&gt;=1.2, 0.85*CropNorms_Wheat[[#This Row],[Max_LAI]], 1)</f>
        <v>4.8959999999999999</v>
      </c>
      <c r="BI493" s="41">
        <f>_xlfn.XLOOKUP(CropNorms_Wheat[[#This Row],[LAI_End_BBCH]], CropPhenology_Wheat[Sub_Stage], CropPhenology_Wheat[End_GDD], "Not Found")</f>
        <v>1500</v>
      </c>
      <c r="BJ493" s="3" cm="1">
        <f t="array" ref="BJ49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3" s="3" cm="1">
        <f t="array" ref="BK4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93" s="3" cm="1">
        <f t="array" ref="BL49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93" s="3" cm="1">
        <f t="array" ref="BM4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3" s="42">
        <f>(0.28+0.4)/2</f>
        <v>0.34</v>
      </c>
      <c r="BO493" s="43">
        <v>0</v>
      </c>
      <c r="BP493" s="42">
        <v>2.7625000000000002</v>
      </c>
      <c r="BQ493" s="43" t="s">
        <v>1795</v>
      </c>
      <c r="BR493" s="3" t="str" cm="1">
        <f t="array" ref="BR49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3" s="3" t="str" cm="1">
        <f t="array" ref="BS49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3" s="3" t="str" cm="1">
        <f t="array" ref="BT49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3" s="3" t="str" cm="1">
        <f t="array" ref="BU49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3" s="48">
        <v>80</v>
      </c>
      <c r="BW493" s="1">
        <v>40</v>
      </c>
      <c r="BX493" s="44">
        <v>40</v>
      </c>
      <c r="BY493" s="151">
        <v>45962</v>
      </c>
      <c r="BZ493" s="151">
        <v>46022</v>
      </c>
      <c r="CA493" s="152">
        <v>0</v>
      </c>
      <c r="CB493" s="153">
        <v>0</v>
      </c>
      <c r="CC493" s="153">
        <v>1</v>
      </c>
      <c r="CD493" s="153">
        <v>1</v>
      </c>
      <c r="CE493" s="153">
        <v>1</v>
      </c>
      <c r="CF493" s="153">
        <v>0</v>
      </c>
      <c r="CG493" s="153">
        <v>0</v>
      </c>
      <c r="CH493" s="153">
        <v>0</v>
      </c>
      <c r="CI493" s="153">
        <v>0</v>
      </c>
      <c r="CJ493" s="153">
        <v>0</v>
      </c>
      <c r="CK493" s="153">
        <v>0</v>
      </c>
      <c r="CL493" s="153">
        <v>0</v>
      </c>
    </row>
    <row r="494" spans="2:90" x14ac:dyDescent="0.15">
      <c r="B494" s="27" t="s">
        <v>321</v>
      </c>
      <c r="C494" s="2" t="s">
        <v>2279</v>
      </c>
      <c r="D494" s="2" t="s">
        <v>2126</v>
      </c>
      <c r="E494" s="2" t="s">
        <v>1835</v>
      </c>
      <c r="F494" s="12">
        <v>94</v>
      </c>
      <c r="G494" s="2" t="s">
        <v>2280</v>
      </c>
      <c r="H494" s="2" t="s">
        <v>2281</v>
      </c>
      <c r="I494" s="2"/>
      <c r="J494" s="2"/>
      <c r="K494" s="2" t="s">
        <v>1748</v>
      </c>
      <c r="L494" s="2" t="s">
        <v>1750</v>
      </c>
      <c r="M494" s="2" t="s">
        <v>358</v>
      </c>
      <c r="N494" s="49"/>
      <c r="O494" s="2" t="s">
        <v>2078</v>
      </c>
      <c r="P494" s="2">
        <v>42</v>
      </c>
      <c r="Q494" s="2">
        <v>5</v>
      </c>
      <c r="R494" s="2">
        <v>6.7</v>
      </c>
      <c r="S494" s="2">
        <v>28</v>
      </c>
      <c r="T494" s="2">
        <v>35</v>
      </c>
      <c r="U494" s="251">
        <v>6</v>
      </c>
      <c r="V494" s="2">
        <v>119</v>
      </c>
      <c r="W494" s="86">
        <v>141</v>
      </c>
      <c r="X494" s="40">
        <f>_xlfn.XLOOKUP("Ripening", CropPhenology_Wheat[Main_Stage], CropPhenology_Wheat[Start_GDD], "Not Found")</f>
        <v>1501</v>
      </c>
      <c r="Y494" s="4" cm="1">
        <f t="array" ref="Y49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4" s="3">
        <f t="shared" si="288"/>
        <v>12.465552178318136</v>
      </c>
      <c r="AA494" s="41">
        <f t="shared" ref="AA494:AA505" si="299">Y494/Z494</f>
        <v>136.3758280164181</v>
      </c>
      <c r="AB494" s="2">
        <v>6</v>
      </c>
      <c r="AC494" s="2">
        <v>5</v>
      </c>
      <c r="AD494" s="2">
        <v>2</v>
      </c>
      <c r="AE494" s="2">
        <v>80</v>
      </c>
      <c r="AF494" s="2">
        <v>0</v>
      </c>
      <c r="AG494" s="2">
        <v>5</v>
      </c>
      <c r="AH494" s="49">
        <f t="shared" si="291"/>
        <v>1.459202872638417</v>
      </c>
      <c r="AI494" s="2">
        <v>5.5</v>
      </c>
      <c r="AJ494" s="2">
        <v>8</v>
      </c>
      <c r="AK494" s="165">
        <v>6</v>
      </c>
      <c r="AL494" s="166">
        <v>7.0999999999999994E-2</v>
      </c>
      <c r="AM494" s="2">
        <v>195</v>
      </c>
      <c r="AN494" s="2">
        <v>285</v>
      </c>
      <c r="AO494" s="85">
        <v>5</v>
      </c>
      <c r="AP494" s="86">
        <v>100</v>
      </c>
      <c r="AQ494" s="149">
        <v>0.8</v>
      </c>
      <c r="AR494" s="2">
        <v>20</v>
      </c>
      <c r="AS494" s="2">
        <v>2.5</v>
      </c>
      <c r="AT494" s="2">
        <v>1</v>
      </c>
      <c r="AU494" s="4">
        <f t="shared" ref="AU494:AU505" si="300">IFERROR(10000/(AS494*AR494),0)*AT494</f>
        <v>200</v>
      </c>
      <c r="AV494" s="3">
        <f t="shared" si="289"/>
        <v>84</v>
      </c>
      <c r="AW494" s="2">
        <v>90</v>
      </c>
      <c r="AX494" s="3">
        <f t="shared" ref="AX494:AX505" si="301">IFERROR((AU494*AW494/100),0)</f>
        <v>180</v>
      </c>
      <c r="AY494" s="2">
        <v>4</v>
      </c>
      <c r="AZ494" s="4">
        <f t="shared" ref="AZ494:AZ505" si="302">IFERROR(AX494*AY494,0)</f>
        <v>720</v>
      </c>
      <c r="BA494" s="49">
        <v>0.8</v>
      </c>
      <c r="BB494" s="4">
        <f t="shared" ref="BB494:BB505" si="303">IFERROR(AZ494*BA494,0)</f>
        <v>576</v>
      </c>
      <c r="BC494" s="150">
        <v>8.0000000000000002E-3</v>
      </c>
      <c r="BD494" s="69">
        <f>IFERROR(
  MAX(0.05, MIN(0.5, CropNorms_Wheat[[#This Row],[Leaf_Area_Per_Shoot_m2]] * CropNorms_Wheat[[#This Row],[Shoot_Bearing_m2]] )),
  0.2
)</f>
        <v>0.5</v>
      </c>
      <c r="BE494" s="4">
        <f>_xlfn.XLOOKUP(CropNorms_Wheat[[#This Row],[LAI_Start_BBCH]], CropPhenology_Wheat[Sub_Stage], CropPhenology_Wheat[Start_GDD], "Not Found")</f>
        <v>151</v>
      </c>
      <c r="BF494" s="3">
        <f t="shared" si="290"/>
        <v>4.6100000000000003</v>
      </c>
      <c r="BG49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4" s="3">
        <f>IF(CropNorms_Wheat[[#This Row],[Max_LAI]]&gt;=1.2, 0.85*CropNorms_Wheat[[#This Row],[Max_LAI]], 1)</f>
        <v>3.9185000000000003</v>
      </c>
      <c r="BI494" s="41">
        <f>_xlfn.XLOOKUP(CropNorms_Wheat[[#This Row],[LAI_End_BBCH]], CropPhenology_Wheat[Sub_Stage], CropPhenology_Wheat[End_GDD], "Not Found")</f>
        <v>1500</v>
      </c>
      <c r="BJ494" s="3" cm="1">
        <f t="array" ref="BJ49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4" s="3" cm="1">
        <f t="array" ref="BK49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94" s="3" cm="1">
        <f t="array" ref="BL49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94" s="3" cm="1">
        <f t="array" ref="BM49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4" s="42">
        <f t="shared" ref="BN494" si="304">(0.28+0.4)/2</f>
        <v>0.34</v>
      </c>
      <c r="BO494" s="43">
        <v>0</v>
      </c>
      <c r="BP494" s="42">
        <v>2.7625000000000002</v>
      </c>
      <c r="BQ494" s="43" t="s">
        <v>1795</v>
      </c>
      <c r="BR494" s="3" t="str" cm="1">
        <f t="array" ref="BR49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4" s="3" t="str" cm="1">
        <f t="array" ref="BS49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4" s="3" t="str" cm="1">
        <f t="array" ref="BT49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4" s="3" t="str" cm="1">
        <f t="array" ref="BU49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4" s="48">
        <v>80</v>
      </c>
      <c r="BW494" s="1">
        <v>40</v>
      </c>
      <c r="BX494" s="44">
        <v>40</v>
      </c>
      <c r="BY494" s="151">
        <v>45962</v>
      </c>
      <c r="BZ494" s="151">
        <v>46022</v>
      </c>
      <c r="CA494" s="152">
        <v>0</v>
      </c>
      <c r="CB494" s="153">
        <v>0</v>
      </c>
      <c r="CC494" s="153">
        <v>1</v>
      </c>
      <c r="CD494" s="153">
        <v>1</v>
      </c>
      <c r="CE494" s="153">
        <v>1</v>
      </c>
      <c r="CF494" s="153">
        <v>0</v>
      </c>
      <c r="CG494" s="153">
        <v>0</v>
      </c>
      <c r="CH494" s="153">
        <v>0</v>
      </c>
      <c r="CI494" s="153">
        <v>0</v>
      </c>
      <c r="CJ494" s="153">
        <v>0</v>
      </c>
      <c r="CK494" s="153">
        <v>0</v>
      </c>
      <c r="CL494" s="153">
        <v>0</v>
      </c>
    </row>
    <row r="495" spans="2:90" x14ac:dyDescent="0.25">
      <c r="B495" s="27" t="s">
        <v>321</v>
      </c>
      <c r="C495" s="2" t="s">
        <v>2282</v>
      </c>
      <c r="D495" s="2" t="s">
        <v>2126</v>
      </c>
      <c r="E495" s="2" t="s">
        <v>2127</v>
      </c>
      <c r="F495" s="90">
        <v>114</v>
      </c>
      <c r="G495" s="2" t="s">
        <v>2186</v>
      </c>
      <c r="H495" s="2" t="s">
        <v>2283</v>
      </c>
      <c r="I495" s="2"/>
      <c r="J495" s="2"/>
      <c r="K495" s="2" t="s">
        <v>1748</v>
      </c>
      <c r="L495" s="2" t="s">
        <v>1750</v>
      </c>
      <c r="M495" s="2" t="s">
        <v>358</v>
      </c>
      <c r="N495" s="49"/>
      <c r="O495" s="2" t="s">
        <v>2078</v>
      </c>
      <c r="P495" s="2">
        <v>49</v>
      </c>
      <c r="Q495" s="2">
        <v>5</v>
      </c>
      <c r="R495" s="2">
        <v>6.7</v>
      </c>
      <c r="S495" s="2">
        <v>28</v>
      </c>
      <c r="T495" s="2">
        <v>35</v>
      </c>
      <c r="U495" s="251">
        <v>6</v>
      </c>
      <c r="V495" s="2">
        <v>122</v>
      </c>
      <c r="W495" s="86">
        <v>155</v>
      </c>
      <c r="X495" s="40">
        <f>_xlfn.XLOOKUP("Ripening", CropPhenology_Wheat[Main_Stage], CropPhenology_Wheat[Start_GDD], "Not Found")</f>
        <v>1501</v>
      </c>
      <c r="Y495" s="4" cm="1">
        <f t="array" ref="Y49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5" s="3">
        <f t="shared" si="288"/>
        <v>11.809148598625066</v>
      </c>
      <c r="AA495" s="41">
        <f t="shared" si="299"/>
        <v>143.95618666344245</v>
      </c>
      <c r="AB495" s="2">
        <v>6</v>
      </c>
      <c r="AC495" s="2">
        <v>5</v>
      </c>
      <c r="AD495" s="2">
        <v>2</v>
      </c>
      <c r="AE495" s="2">
        <v>80</v>
      </c>
      <c r="AF495" s="2">
        <v>0</v>
      </c>
      <c r="AG495" s="2">
        <v>5</v>
      </c>
      <c r="AH495" s="49">
        <f t="shared" si="291"/>
        <v>1.3823650418390521</v>
      </c>
      <c r="AI495" s="2">
        <v>5.5</v>
      </c>
      <c r="AJ495" s="2">
        <v>8</v>
      </c>
      <c r="AK495" s="165">
        <v>6</v>
      </c>
      <c r="AL495" s="166">
        <v>7.0999999999999994E-2</v>
      </c>
      <c r="AM495" s="2">
        <v>195</v>
      </c>
      <c r="AN495" s="2">
        <v>285</v>
      </c>
      <c r="AO495" s="85">
        <v>5</v>
      </c>
      <c r="AP495" s="86">
        <v>100</v>
      </c>
      <c r="AQ495" s="149">
        <v>0.8</v>
      </c>
      <c r="AR495" s="2">
        <v>20</v>
      </c>
      <c r="AS495" s="2">
        <v>2.5</v>
      </c>
      <c r="AT495" s="2">
        <v>1</v>
      </c>
      <c r="AU495" s="4">
        <f t="shared" si="300"/>
        <v>200</v>
      </c>
      <c r="AV495" s="3">
        <f t="shared" si="289"/>
        <v>98</v>
      </c>
      <c r="AW495" s="2">
        <v>90</v>
      </c>
      <c r="AX495" s="3">
        <f t="shared" si="301"/>
        <v>180</v>
      </c>
      <c r="AY495" s="2">
        <v>5</v>
      </c>
      <c r="AZ495" s="4">
        <f t="shared" si="302"/>
        <v>900</v>
      </c>
      <c r="BA495" s="49">
        <v>0.8</v>
      </c>
      <c r="BB495" s="4">
        <f t="shared" si="303"/>
        <v>720</v>
      </c>
      <c r="BC495" s="150">
        <v>8.0000000000000002E-3</v>
      </c>
      <c r="BD495" s="69">
        <f>IFERROR(
  MAX(0.05, MIN(0.5, CropNorms_Wheat[[#This Row],[Leaf_Area_Per_Shoot_m2]] * CropNorms_Wheat[[#This Row],[Shoot_Bearing_m2]] )),
  0.2
)</f>
        <v>0.5</v>
      </c>
      <c r="BE495" s="4">
        <f>_xlfn.XLOOKUP(CropNorms_Wheat[[#This Row],[LAI_Start_BBCH]], CropPhenology_Wheat[Sub_Stage], CropPhenology_Wheat[Start_GDD], "Not Found")</f>
        <v>151</v>
      </c>
      <c r="BF495" s="3">
        <f t="shared" si="290"/>
        <v>5.76</v>
      </c>
      <c r="BG49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5" s="3">
        <f>IF(CropNorms_Wheat[[#This Row],[Max_LAI]]&gt;=1.2, 0.85*CropNorms_Wheat[[#This Row],[Max_LAI]], 1)</f>
        <v>4.8959999999999999</v>
      </c>
      <c r="BI495" s="41">
        <f>_xlfn.XLOOKUP(CropNorms_Wheat[[#This Row],[LAI_End_BBCH]], CropPhenology_Wheat[Sub_Stage], CropPhenology_Wheat[End_GDD], "Not Found")</f>
        <v>1500</v>
      </c>
      <c r="BJ495" s="3" cm="1">
        <f t="array" ref="BJ49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5" s="3" cm="1">
        <f t="array" ref="BK49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495" s="3" cm="1">
        <f t="array" ref="BL49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495" s="3" cm="1">
        <f t="array" ref="BM49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5" s="42">
        <v>0.41</v>
      </c>
      <c r="BO495" s="43">
        <v>0</v>
      </c>
      <c r="BP495" s="42">
        <v>3.3312499999999998</v>
      </c>
      <c r="BQ495" s="43" t="s">
        <v>1795</v>
      </c>
      <c r="BR495" s="3" t="str" cm="1">
        <f t="array" ref="BR49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5" s="3" t="str" cm="1">
        <f t="array" ref="BS49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5" s="3" t="str" cm="1">
        <f t="array" ref="BT49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5" s="3" t="str" cm="1">
        <f t="array" ref="BU49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5" s="48">
        <v>80</v>
      </c>
      <c r="BW495" s="1">
        <v>40</v>
      </c>
      <c r="BX495" s="44">
        <v>40</v>
      </c>
      <c r="BY495" s="151">
        <v>45962</v>
      </c>
      <c r="BZ495" s="151">
        <v>46022</v>
      </c>
      <c r="CA495" s="152">
        <v>0</v>
      </c>
      <c r="CB495" s="153">
        <v>0</v>
      </c>
      <c r="CC495" s="153">
        <v>1</v>
      </c>
      <c r="CD495" s="153">
        <v>1</v>
      </c>
      <c r="CE495" s="153">
        <v>1</v>
      </c>
      <c r="CF495" s="153">
        <v>0</v>
      </c>
      <c r="CG495" s="153">
        <v>0</v>
      </c>
      <c r="CH495" s="153">
        <v>0</v>
      </c>
      <c r="CI495" s="153">
        <v>0</v>
      </c>
      <c r="CJ495" s="153">
        <v>0</v>
      </c>
      <c r="CK495" s="153">
        <v>0</v>
      </c>
      <c r="CL495" s="153">
        <v>0</v>
      </c>
    </row>
    <row r="496" spans="2:90" x14ac:dyDescent="0.25">
      <c r="B496" s="27" t="s">
        <v>321</v>
      </c>
      <c r="C496" s="2" t="s">
        <v>2284</v>
      </c>
      <c r="D496" s="2" t="s">
        <v>2126</v>
      </c>
      <c r="E496" s="2" t="s">
        <v>1835</v>
      </c>
      <c r="F496" s="90">
        <v>93</v>
      </c>
      <c r="G496" s="2"/>
      <c r="H496" s="2"/>
      <c r="I496" s="2"/>
      <c r="J496" s="2"/>
      <c r="K496" s="2" t="s">
        <v>1748</v>
      </c>
      <c r="L496" s="2" t="s">
        <v>1750</v>
      </c>
      <c r="M496" s="2" t="s">
        <v>358</v>
      </c>
      <c r="N496" s="49"/>
      <c r="O496" s="2" t="s">
        <v>2078</v>
      </c>
      <c r="P496" s="2">
        <v>40</v>
      </c>
      <c r="Q496" s="2">
        <v>5</v>
      </c>
      <c r="R496" s="2">
        <v>6.7</v>
      </c>
      <c r="S496" s="2">
        <v>28</v>
      </c>
      <c r="T496" s="2">
        <v>35</v>
      </c>
      <c r="U496" s="251">
        <v>6</v>
      </c>
      <c r="V496" s="2">
        <v>117</v>
      </c>
      <c r="W496" s="86">
        <v>155</v>
      </c>
      <c r="X496" s="40">
        <f>_xlfn.XLOOKUP("Ripening", CropPhenology_Wheat[Main_Stage], CropPhenology_Wheat[Start_GDD], "Not Found")</f>
        <v>1501</v>
      </c>
      <c r="Y496" s="4" cm="1">
        <f t="array" ref="Y49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6" s="3">
        <f t="shared" si="288"/>
        <v>12.106892748828233</v>
      </c>
      <c r="AA496" s="41">
        <f t="shared" si="299"/>
        <v>140.41588005019162</v>
      </c>
      <c r="AB496" s="2">
        <v>6</v>
      </c>
      <c r="AC496" s="2">
        <v>5</v>
      </c>
      <c r="AD496" s="2">
        <v>2</v>
      </c>
      <c r="AE496" s="2">
        <v>80</v>
      </c>
      <c r="AF496" s="2">
        <v>0</v>
      </c>
      <c r="AG496" s="2">
        <v>5</v>
      </c>
      <c r="AH496" s="49">
        <f t="shared" si="291"/>
        <v>1.4172186217745992</v>
      </c>
      <c r="AI496" s="2">
        <v>5.5</v>
      </c>
      <c r="AJ496" s="2">
        <v>8</v>
      </c>
      <c r="AK496" s="165">
        <v>6</v>
      </c>
      <c r="AL496" s="166">
        <v>7.0999999999999994E-2</v>
      </c>
      <c r="AM496" s="2">
        <v>195</v>
      </c>
      <c r="AN496" s="2">
        <v>285</v>
      </c>
      <c r="AO496" s="85">
        <v>5</v>
      </c>
      <c r="AP496" s="86">
        <v>100</v>
      </c>
      <c r="AQ496" s="149">
        <v>0.8</v>
      </c>
      <c r="AR496" s="2">
        <v>20</v>
      </c>
      <c r="AS496" s="2">
        <v>2.5</v>
      </c>
      <c r="AT496" s="2">
        <v>1</v>
      </c>
      <c r="AU496" s="4">
        <f t="shared" si="300"/>
        <v>200</v>
      </c>
      <c r="AV496" s="3">
        <f t="shared" si="289"/>
        <v>80</v>
      </c>
      <c r="AW496" s="2">
        <v>90</v>
      </c>
      <c r="AX496" s="3">
        <f t="shared" si="301"/>
        <v>180</v>
      </c>
      <c r="AY496" s="2">
        <v>4</v>
      </c>
      <c r="AZ496" s="4">
        <f t="shared" si="302"/>
        <v>720</v>
      </c>
      <c r="BA496" s="49">
        <v>0.8</v>
      </c>
      <c r="BB496" s="4">
        <f t="shared" si="303"/>
        <v>576</v>
      </c>
      <c r="BC496" s="150">
        <v>8.0000000000000002E-3</v>
      </c>
      <c r="BD496" s="69">
        <f>IFERROR(
  MAX(0.05, MIN(0.5, CropNorms_Wheat[[#This Row],[Leaf_Area_Per_Shoot_m2]] * CropNorms_Wheat[[#This Row],[Shoot_Bearing_m2]] )),
  0.2
)</f>
        <v>0.5</v>
      </c>
      <c r="BE496" s="4">
        <f>_xlfn.XLOOKUP(CropNorms_Wheat[[#This Row],[LAI_Start_BBCH]], CropPhenology_Wheat[Sub_Stage], CropPhenology_Wheat[Start_GDD], "Not Found")</f>
        <v>151</v>
      </c>
      <c r="BF496" s="3">
        <f t="shared" si="290"/>
        <v>4.6100000000000003</v>
      </c>
      <c r="BG49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6" s="3">
        <f>IF(CropNorms_Wheat[[#This Row],[Max_LAI]]&gt;=1.2, 0.85*CropNorms_Wheat[[#This Row],[Max_LAI]], 1)</f>
        <v>3.9185000000000003</v>
      </c>
      <c r="BI496" s="41">
        <f>_xlfn.XLOOKUP(CropNorms_Wheat[[#This Row],[LAI_End_BBCH]], CropPhenology_Wheat[Sub_Stage], CropPhenology_Wheat[End_GDD], "Not Found")</f>
        <v>1500</v>
      </c>
      <c r="BJ496" s="3" cm="1">
        <f t="array" ref="BJ49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6" s="3" cm="1">
        <f t="array" ref="BK49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96" s="3" cm="1">
        <f t="array" ref="BL49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96" s="3" cm="1">
        <f t="array" ref="BM49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6" s="42">
        <f t="shared" ref="BN496:BN499" si="305">(0.28+0.4)/2</f>
        <v>0.34</v>
      </c>
      <c r="BO496" s="43">
        <v>0</v>
      </c>
      <c r="BP496" s="42">
        <v>2.7625000000000002</v>
      </c>
      <c r="BQ496" s="43" t="s">
        <v>1795</v>
      </c>
      <c r="BR496" s="3" t="str" cm="1">
        <f t="array" ref="BR49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6" s="3" t="str" cm="1">
        <f t="array" ref="BS49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6" s="3" t="str" cm="1">
        <f t="array" ref="BT49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6" s="3" t="str" cm="1">
        <f t="array" ref="BU49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6" s="48">
        <v>80</v>
      </c>
      <c r="BW496" s="1">
        <v>40</v>
      </c>
      <c r="BX496" s="44">
        <v>40</v>
      </c>
      <c r="BY496" s="151">
        <v>45962</v>
      </c>
      <c r="BZ496" s="151">
        <v>46022</v>
      </c>
      <c r="CA496" s="152">
        <v>0</v>
      </c>
      <c r="CB496" s="153">
        <v>0</v>
      </c>
      <c r="CC496" s="153">
        <v>1</v>
      </c>
      <c r="CD496" s="153">
        <v>1</v>
      </c>
      <c r="CE496" s="153">
        <v>1</v>
      </c>
      <c r="CF496" s="153">
        <v>0</v>
      </c>
      <c r="CG496" s="153">
        <v>0</v>
      </c>
      <c r="CH496" s="153">
        <v>0</v>
      </c>
      <c r="CI496" s="153">
        <v>0</v>
      </c>
      <c r="CJ496" s="153">
        <v>0</v>
      </c>
      <c r="CK496" s="153">
        <v>0</v>
      </c>
      <c r="CL496" s="153">
        <v>0</v>
      </c>
    </row>
    <row r="497" spans="2:90" x14ac:dyDescent="0.25">
      <c r="B497" s="27" t="s">
        <v>321</v>
      </c>
      <c r="C497" s="2" t="s">
        <v>2285</v>
      </c>
      <c r="D497" s="2" t="s">
        <v>2126</v>
      </c>
      <c r="E497" s="2" t="s">
        <v>2286</v>
      </c>
      <c r="F497" s="90">
        <v>84</v>
      </c>
      <c r="G497" s="2" t="s">
        <v>2287</v>
      </c>
      <c r="H497" s="2" t="s">
        <v>2131</v>
      </c>
      <c r="I497" s="2"/>
      <c r="J497" s="2"/>
      <c r="K497" s="2" t="s">
        <v>1748</v>
      </c>
      <c r="L497" s="2" t="s">
        <v>1750</v>
      </c>
      <c r="M497" s="2" t="s">
        <v>358</v>
      </c>
      <c r="N497" s="49"/>
      <c r="O497" s="2" t="s">
        <v>2078</v>
      </c>
      <c r="P497" s="2">
        <v>43</v>
      </c>
      <c r="Q497" s="2">
        <v>5</v>
      </c>
      <c r="R497" s="2">
        <v>6.7</v>
      </c>
      <c r="S497" s="2">
        <v>28</v>
      </c>
      <c r="T497" s="2">
        <v>35</v>
      </c>
      <c r="U497" s="251">
        <v>6</v>
      </c>
      <c r="V497" s="2">
        <v>124</v>
      </c>
      <c r="W497" s="86">
        <v>142</v>
      </c>
      <c r="X497" s="40">
        <f>_xlfn.XLOOKUP("Ripening", CropPhenology_Wheat[Main_Stage], CropPhenology_Wheat[Start_GDD], "Not Found")</f>
        <v>1501</v>
      </c>
      <c r="Y497" s="4" cm="1">
        <f t="array" ref="Y49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7" s="3">
        <f t="shared" si="288"/>
        <v>12.140049977283052</v>
      </c>
      <c r="AA497" s="41">
        <f t="shared" si="299"/>
        <v>140.03237245160506</v>
      </c>
      <c r="AB497" s="2">
        <v>6</v>
      </c>
      <c r="AC497" s="2">
        <v>5</v>
      </c>
      <c r="AD497" s="2">
        <v>2</v>
      </c>
      <c r="AE497" s="2">
        <v>80</v>
      </c>
      <c r="AF497" s="2">
        <v>0</v>
      </c>
      <c r="AG497" s="2">
        <v>5</v>
      </c>
      <c r="AH497" s="49">
        <f t="shared" si="291"/>
        <v>1.4210999679290162</v>
      </c>
      <c r="AI497" s="2">
        <v>5.5</v>
      </c>
      <c r="AJ497" s="2">
        <v>8</v>
      </c>
      <c r="AK497" s="165">
        <v>6</v>
      </c>
      <c r="AL497" s="166">
        <v>7.0999999999999994E-2</v>
      </c>
      <c r="AM497" s="2">
        <v>195</v>
      </c>
      <c r="AN497" s="2">
        <v>285</v>
      </c>
      <c r="AO497" s="85">
        <v>5</v>
      </c>
      <c r="AP497" s="86">
        <v>100</v>
      </c>
      <c r="AQ497" s="149">
        <v>0.8</v>
      </c>
      <c r="AR497" s="2">
        <v>20</v>
      </c>
      <c r="AS497" s="2">
        <v>2.5</v>
      </c>
      <c r="AT497" s="2">
        <v>1</v>
      </c>
      <c r="AU497" s="4">
        <f t="shared" si="300"/>
        <v>200</v>
      </c>
      <c r="AV497" s="3">
        <f t="shared" si="289"/>
        <v>86</v>
      </c>
      <c r="AW497" s="2">
        <v>90</v>
      </c>
      <c r="AX497" s="3">
        <f t="shared" si="301"/>
        <v>180</v>
      </c>
      <c r="AY497" s="2">
        <v>4</v>
      </c>
      <c r="AZ497" s="4">
        <f t="shared" si="302"/>
        <v>720</v>
      </c>
      <c r="BA497" s="49">
        <v>0.8</v>
      </c>
      <c r="BB497" s="4">
        <f t="shared" si="303"/>
        <v>576</v>
      </c>
      <c r="BC497" s="150">
        <v>8.0000000000000002E-3</v>
      </c>
      <c r="BD497" s="69">
        <f>IFERROR(
  MAX(0.05, MIN(0.5, CropNorms_Wheat[[#This Row],[Leaf_Area_Per_Shoot_m2]] * CropNorms_Wheat[[#This Row],[Shoot_Bearing_m2]] )),
  0.2
)</f>
        <v>0.5</v>
      </c>
      <c r="BE497" s="4">
        <f>_xlfn.XLOOKUP(CropNorms_Wheat[[#This Row],[LAI_Start_BBCH]], CropPhenology_Wheat[Sub_Stage], CropPhenology_Wheat[Start_GDD], "Not Found")</f>
        <v>151</v>
      </c>
      <c r="BF497" s="3">
        <f t="shared" si="290"/>
        <v>4.6100000000000003</v>
      </c>
      <c r="BG49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7" s="3">
        <f>IF(CropNorms_Wheat[[#This Row],[Max_LAI]]&gt;=1.2, 0.85*CropNorms_Wheat[[#This Row],[Max_LAI]], 1)</f>
        <v>3.9185000000000003</v>
      </c>
      <c r="BI497" s="41">
        <f>_xlfn.XLOOKUP(CropNorms_Wheat[[#This Row],[LAI_End_BBCH]], CropPhenology_Wheat[Sub_Stage], CropPhenology_Wheat[End_GDD], "Not Found")</f>
        <v>1500</v>
      </c>
      <c r="BJ497" s="3" cm="1">
        <f t="array" ref="BJ49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7" s="3" cm="1">
        <f t="array" ref="BK49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97" s="3" cm="1">
        <f t="array" ref="BL49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97" s="3" cm="1">
        <f t="array" ref="BM49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7" s="42">
        <f t="shared" si="305"/>
        <v>0.34</v>
      </c>
      <c r="BO497" s="43">
        <v>0</v>
      </c>
      <c r="BP497" s="42">
        <v>2.7625000000000002</v>
      </c>
      <c r="BQ497" s="43" t="s">
        <v>1795</v>
      </c>
      <c r="BR497" s="3" t="str" cm="1">
        <f t="array" ref="BR49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7" s="3" t="str" cm="1">
        <f t="array" ref="BS49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7" s="3" t="str" cm="1">
        <f t="array" ref="BT49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7" s="3" t="str" cm="1">
        <f t="array" ref="BU49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7" s="48">
        <v>80</v>
      </c>
      <c r="BW497" s="1">
        <v>40</v>
      </c>
      <c r="BX497" s="44">
        <v>40</v>
      </c>
      <c r="BY497" s="151">
        <v>45962</v>
      </c>
      <c r="BZ497" s="151">
        <v>46022</v>
      </c>
      <c r="CA497" s="152">
        <v>0</v>
      </c>
      <c r="CB497" s="153">
        <v>0</v>
      </c>
      <c r="CC497" s="153">
        <v>1</v>
      </c>
      <c r="CD497" s="153">
        <v>1</v>
      </c>
      <c r="CE497" s="153">
        <v>1</v>
      </c>
      <c r="CF497" s="153">
        <v>0</v>
      </c>
      <c r="CG497" s="153">
        <v>0</v>
      </c>
      <c r="CH497" s="153">
        <v>0</v>
      </c>
      <c r="CI497" s="153">
        <v>0</v>
      </c>
      <c r="CJ497" s="153">
        <v>0</v>
      </c>
      <c r="CK497" s="153">
        <v>0</v>
      </c>
      <c r="CL497" s="153">
        <v>0</v>
      </c>
    </row>
    <row r="498" spans="2:90" x14ac:dyDescent="0.25">
      <c r="B498" s="27" t="s">
        <v>321</v>
      </c>
      <c r="C498" s="2" t="s">
        <v>2288</v>
      </c>
      <c r="D498" s="2" t="s">
        <v>2126</v>
      </c>
      <c r="E498" s="2" t="s">
        <v>2230</v>
      </c>
      <c r="F498" s="90">
        <v>112</v>
      </c>
      <c r="G498" s="2"/>
      <c r="H498" s="2"/>
      <c r="I498" s="2"/>
      <c r="J498" s="2"/>
      <c r="K498" s="2" t="s">
        <v>1748</v>
      </c>
      <c r="L498" s="2" t="s">
        <v>1750</v>
      </c>
      <c r="M498" s="2" t="s">
        <v>358</v>
      </c>
      <c r="N498" s="49"/>
      <c r="O498" s="2" t="s">
        <v>2078</v>
      </c>
      <c r="P498" s="2">
        <v>43</v>
      </c>
      <c r="Q498" s="2">
        <v>5</v>
      </c>
      <c r="R498" s="2">
        <v>6.7</v>
      </c>
      <c r="S498" s="2">
        <v>28</v>
      </c>
      <c r="T498" s="2">
        <v>35</v>
      </c>
      <c r="U498" s="251">
        <v>6</v>
      </c>
      <c r="V498" s="2">
        <v>140</v>
      </c>
      <c r="W498" s="86">
        <v>162</v>
      </c>
      <c r="X498" s="40">
        <f>_xlfn.XLOOKUP("Ripening", CropPhenology_Wheat[Main_Stage], CropPhenology_Wheat[Start_GDD], "Not Found")</f>
        <v>1501</v>
      </c>
      <c r="Y498" s="4" cm="1">
        <f t="array" ref="Y49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8" s="3">
        <f t="shared" si="288"/>
        <v>10.704144620811288</v>
      </c>
      <c r="AA498" s="41">
        <f t="shared" si="299"/>
        <v>158.81698727190343</v>
      </c>
      <c r="AB498" s="2">
        <v>6</v>
      </c>
      <c r="AC498" s="2">
        <v>5</v>
      </c>
      <c r="AD498" s="2">
        <v>2</v>
      </c>
      <c r="AE498" s="2">
        <v>80</v>
      </c>
      <c r="AF498" s="2">
        <v>0</v>
      </c>
      <c r="AG498" s="2">
        <v>5</v>
      </c>
      <c r="AH498" s="49">
        <f t="shared" si="291"/>
        <v>1.2530145762008509</v>
      </c>
      <c r="AI498" s="2">
        <v>5.5</v>
      </c>
      <c r="AJ498" s="2">
        <v>8</v>
      </c>
      <c r="AK498" s="165">
        <v>6</v>
      </c>
      <c r="AL498" s="166">
        <v>7.0999999999999994E-2</v>
      </c>
      <c r="AM498" s="2">
        <v>195</v>
      </c>
      <c r="AN498" s="2">
        <v>285</v>
      </c>
      <c r="AO498" s="85">
        <v>5</v>
      </c>
      <c r="AP498" s="86">
        <v>100</v>
      </c>
      <c r="AQ498" s="149">
        <v>0.8</v>
      </c>
      <c r="AR498" s="2">
        <v>20</v>
      </c>
      <c r="AS498" s="2">
        <v>2.5</v>
      </c>
      <c r="AT498" s="2">
        <v>1</v>
      </c>
      <c r="AU498" s="4">
        <f t="shared" si="300"/>
        <v>200</v>
      </c>
      <c r="AV498" s="3">
        <f t="shared" si="289"/>
        <v>86</v>
      </c>
      <c r="AW498" s="2">
        <v>90</v>
      </c>
      <c r="AX498" s="3">
        <f t="shared" si="301"/>
        <v>180</v>
      </c>
      <c r="AY498" s="2">
        <v>4</v>
      </c>
      <c r="AZ498" s="4">
        <f t="shared" si="302"/>
        <v>720</v>
      </c>
      <c r="BA498" s="49">
        <v>0.8</v>
      </c>
      <c r="BB498" s="4">
        <f t="shared" si="303"/>
        <v>576</v>
      </c>
      <c r="BC498" s="150">
        <v>8.0000000000000002E-3</v>
      </c>
      <c r="BD498" s="69">
        <f>IFERROR(
  MAX(0.05, MIN(0.5, CropNorms_Wheat[[#This Row],[Leaf_Area_Per_Shoot_m2]] * CropNorms_Wheat[[#This Row],[Shoot_Bearing_m2]] )),
  0.2
)</f>
        <v>0.5</v>
      </c>
      <c r="BE498" s="4">
        <f>_xlfn.XLOOKUP(CropNorms_Wheat[[#This Row],[LAI_Start_BBCH]], CropPhenology_Wheat[Sub_Stage], CropPhenology_Wheat[Start_GDD], "Not Found")</f>
        <v>151</v>
      </c>
      <c r="BF498" s="3">
        <f t="shared" si="290"/>
        <v>4.6100000000000003</v>
      </c>
      <c r="BG49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8" s="3">
        <f>IF(CropNorms_Wheat[[#This Row],[Max_LAI]]&gt;=1.2, 0.85*CropNorms_Wheat[[#This Row],[Max_LAI]], 1)</f>
        <v>3.9185000000000003</v>
      </c>
      <c r="BI498" s="41">
        <f>_xlfn.XLOOKUP(CropNorms_Wheat[[#This Row],[LAI_End_BBCH]], CropPhenology_Wheat[Sub_Stage], CropPhenology_Wheat[End_GDD], "Not Found")</f>
        <v>1500</v>
      </c>
      <c r="BJ498" s="3" cm="1">
        <f t="array" ref="BJ49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8" s="3" cm="1">
        <f t="array" ref="BK49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98" s="3" cm="1">
        <f t="array" ref="BL49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98" s="3" cm="1">
        <f t="array" ref="BM49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8" s="42">
        <f t="shared" si="305"/>
        <v>0.34</v>
      </c>
      <c r="BO498" s="43">
        <v>0</v>
      </c>
      <c r="BP498" s="42">
        <v>2.7625000000000002</v>
      </c>
      <c r="BQ498" s="43" t="s">
        <v>1795</v>
      </c>
      <c r="BR498" s="3" t="str" cm="1">
        <f t="array" ref="BR49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8" s="3" t="str" cm="1">
        <f t="array" ref="BS49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8" s="3" t="str" cm="1">
        <f t="array" ref="BT49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8" s="3" t="str" cm="1">
        <f t="array" ref="BU49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8" s="48">
        <v>80</v>
      </c>
      <c r="BW498" s="1">
        <v>40</v>
      </c>
      <c r="BX498" s="44">
        <v>40</v>
      </c>
      <c r="BY498" s="151">
        <v>45962</v>
      </c>
      <c r="BZ498" s="151">
        <v>46022</v>
      </c>
      <c r="CA498" s="152">
        <v>0</v>
      </c>
      <c r="CB498" s="153">
        <v>0</v>
      </c>
      <c r="CC498" s="153">
        <v>1</v>
      </c>
      <c r="CD498" s="153">
        <v>1</v>
      </c>
      <c r="CE498" s="153">
        <v>1</v>
      </c>
      <c r="CF498" s="153">
        <v>0</v>
      </c>
      <c r="CG498" s="153">
        <v>0</v>
      </c>
      <c r="CH498" s="153">
        <v>0</v>
      </c>
      <c r="CI498" s="153">
        <v>0</v>
      </c>
      <c r="CJ498" s="153">
        <v>0</v>
      </c>
      <c r="CK498" s="153">
        <v>0</v>
      </c>
      <c r="CL498" s="153">
        <v>0</v>
      </c>
    </row>
    <row r="499" spans="2:90" x14ac:dyDescent="0.25">
      <c r="B499" s="27" t="s">
        <v>321</v>
      </c>
      <c r="C499" s="2" t="s">
        <v>2289</v>
      </c>
      <c r="D499" s="2" t="s">
        <v>2126</v>
      </c>
      <c r="E499" s="2" t="s">
        <v>1835</v>
      </c>
      <c r="F499" s="90">
        <v>91</v>
      </c>
      <c r="G499" s="2"/>
      <c r="H499" s="2"/>
      <c r="I499" s="2"/>
      <c r="J499" s="2"/>
      <c r="K499" s="2" t="s">
        <v>1748</v>
      </c>
      <c r="L499" s="2" t="s">
        <v>1750</v>
      </c>
      <c r="M499" s="2" t="s">
        <v>358</v>
      </c>
      <c r="N499" s="49"/>
      <c r="O499" s="2" t="s">
        <v>2078</v>
      </c>
      <c r="P499" s="2">
        <v>40</v>
      </c>
      <c r="Q499" s="2">
        <v>5</v>
      </c>
      <c r="R499" s="2">
        <v>6.7</v>
      </c>
      <c r="S499" s="2">
        <v>28</v>
      </c>
      <c r="T499" s="2">
        <v>35</v>
      </c>
      <c r="U499" s="251">
        <v>6</v>
      </c>
      <c r="V499" s="2">
        <v>114</v>
      </c>
      <c r="W499" s="86">
        <v>140</v>
      </c>
      <c r="X499" s="40">
        <f>_xlfn.XLOOKUP("Ripening", CropPhenology_Wheat[Main_Stage], CropPhenology_Wheat[Start_GDD], "Not Found")</f>
        <v>1501</v>
      </c>
      <c r="Y499" s="4" cm="1">
        <f t="array" ref="Y49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499" s="3">
        <f t="shared" si="288"/>
        <v>12.816854636591479</v>
      </c>
      <c r="AA499" s="41">
        <f t="shared" si="299"/>
        <v>132.63784666376608</v>
      </c>
      <c r="AB499" s="2">
        <v>6</v>
      </c>
      <c r="AC499" s="2">
        <v>5</v>
      </c>
      <c r="AD499" s="2">
        <v>2</v>
      </c>
      <c r="AE499" s="2">
        <v>80</v>
      </c>
      <c r="AF499" s="2">
        <v>0</v>
      </c>
      <c r="AG499" s="2">
        <v>5</v>
      </c>
      <c r="AH499" s="49">
        <f t="shared" si="291"/>
        <v>1.500325925106885</v>
      </c>
      <c r="AI499" s="2">
        <v>5.5</v>
      </c>
      <c r="AJ499" s="2">
        <v>8</v>
      </c>
      <c r="AK499" s="165">
        <v>6</v>
      </c>
      <c r="AL499" s="166">
        <v>7.0999999999999994E-2</v>
      </c>
      <c r="AM499" s="2">
        <v>195</v>
      </c>
      <c r="AN499" s="2">
        <v>285</v>
      </c>
      <c r="AO499" s="85">
        <v>5</v>
      </c>
      <c r="AP499" s="86">
        <v>100</v>
      </c>
      <c r="AQ499" s="149">
        <v>0.8</v>
      </c>
      <c r="AR499" s="2">
        <v>20</v>
      </c>
      <c r="AS499" s="2">
        <v>2.5</v>
      </c>
      <c r="AT499" s="2">
        <v>1</v>
      </c>
      <c r="AU499" s="4">
        <f t="shared" si="300"/>
        <v>200</v>
      </c>
      <c r="AV499" s="3">
        <f t="shared" si="289"/>
        <v>80</v>
      </c>
      <c r="AW499" s="2">
        <v>90</v>
      </c>
      <c r="AX499" s="3">
        <f t="shared" si="301"/>
        <v>180</v>
      </c>
      <c r="AY499" s="2">
        <v>4</v>
      </c>
      <c r="AZ499" s="4">
        <f t="shared" si="302"/>
        <v>720</v>
      </c>
      <c r="BA499" s="49">
        <v>0.8</v>
      </c>
      <c r="BB499" s="4">
        <f t="shared" si="303"/>
        <v>576</v>
      </c>
      <c r="BC499" s="150">
        <v>8.0000000000000002E-3</v>
      </c>
      <c r="BD499" s="69">
        <f>IFERROR(
  MAX(0.05, MIN(0.5, CropNorms_Wheat[[#This Row],[Leaf_Area_Per_Shoot_m2]] * CropNorms_Wheat[[#This Row],[Shoot_Bearing_m2]] )),
  0.2
)</f>
        <v>0.5</v>
      </c>
      <c r="BE499" s="4">
        <f>_xlfn.XLOOKUP(CropNorms_Wheat[[#This Row],[LAI_Start_BBCH]], CropPhenology_Wheat[Sub_Stage], CropPhenology_Wheat[Start_GDD], "Not Found")</f>
        <v>151</v>
      </c>
      <c r="BF499" s="3">
        <f t="shared" si="290"/>
        <v>4.6100000000000003</v>
      </c>
      <c r="BG49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499" s="3">
        <f>IF(CropNorms_Wheat[[#This Row],[Max_LAI]]&gt;=1.2, 0.85*CropNorms_Wheat[[#This Row],[Max_LAI]], 1)</f>
        <v>3.9185000000000003</v>
      </c>
      <c r="BI499" s="41">
        <f>_xlfn.XLOOKUP(CropNorms_Wheat[[#This Row],[LAI_End_BBCH]], CropPhenology_Wheat[Sub_Stage], CropPhenology_Wheat[End_GDD], "Not Found")</f>
        <v>1500</v>
      </c>
      <c r="BJ499" s="3" cm="1">
        <f t="array" ref="BJ49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499" s="3" cm="1">
        <f t="array" ref="BK49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499" s="3" cm="1">
        <f t="array" ref="BL49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499" s="3" cm="1">
        <f t="array" ref="BM49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499" s="42">
        <f t="shared" si="305"/>
        <v>0.34</v>
      </c>
      <c r="BO499" s="43">
        <v>0</v>
      </c>
      <c r="BP499" s="42">
        <v>2.7625000000000002</v>
      </c>
      <c r="BQ499" s="43" t="s">
        <v>1795</v>
      </c>
      <c r="BR499" s="3" t="str" cm="1">
        <f t="array" ref="BR49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499" s="3" t="str" cm="1">
        <f t="array" ref="BS49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499" s="3" t="str" cm="1">
        <f t="array" ref="BT49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499" s="3" t="str" cm="1">
        <f t="array" ref="BU49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499" s="48">
        <v>80</v>
      </c>
      <c r="BW499" s="1">
        <v>40</v>
      </c>
      <c r="BX499" s="44">
        <v>40</v>
      </c>
      <c r="BY499" s="151">
        <v>45962</v>
      </c>
      <c r="BZ499" s="151">
        <v>46022</v>
      </c>
      <c r="CA499" s="152">
        <v>0</v>
      </c>
      <c r="CB499" s="153">
        <v>0</v>
      </c>
      <c r="CC499" s="153">
        <v>1</v>
      </c>
      <c r="CD499" s="153">
        <v>1</v>
      </c>
      <c r="CE499" s="153">
        <v>1</v>
      </c>
      <c r="CF499" s="153">
        <v>0</v>
      </c>
      <c r="CG499" s="153">
        <v>0</v>
      </c>
      <c r="CH499" s="153">
        <v>0</v>
      </c>
      <c r="CI499" s="153">
        <v>0</v>
      </c>
      <c r="CJ499" s="153">
        <v>0</v>
      </c>
      <c r="CK499" s="153">
        <v>0</v>
      </c>
      <c r="CL499" s="153">
        <v>0</v>
      </c>
    </row>
    <row r="500" spans="2:90" x14ac:dyDescent="0.25">
      <c r="B500" s="27" t="s">
        <v>321</v>
      </c>
      <c r="C500" s="2" t="s">
        <v>2290</v>
      </c>
      <c r="D500" s="2" t="s">
        <v>2126</v>
      </c>
      <c r="E500" s="2" t="s">
        <v>1835</v>
      </c>
      <c r="F500" s="90">
        <v>105</v>
      </c>
      <c r="G500" s="2" t="s">
        <v>2291</v>
      </c>
      <c r="H500" s="2"/>
      <c r="I500" s="2"/>
      <c r="J500" s="2"/>
      <c r="K500" s="2" t="s">
        <v>1748</v>
      </c>
      <c r="L500" s="2" t="s">
        <v>1750</v>
      </c>
      <c r="M500" s="2" t="s">
        <v>358</v>
      </c>
      <c r="N500" s="49"/>
      <c r="O500" s="2" t="s">
        <v>2078</v>
      </c>
      <c r="P500" s="2">
        <v>53</v>
      </c>
      <c r="Q500" s="2">
        <v>5</v>
      </c>
      <c r="R500" s="2">
        <v>6.7</v>
      </c>
      <c r="S500" s="2">
        <v>28</v>
      </c>
      <c r="T500" s="2">
        <v>35</v>
      </c>
      <c r="U500" s="251">
        <v>6</v>
      </c>
      <c r="V500" s="2">
        <v>145</v>
      </c>
      <c r="W500" s="86">
        <v>155</v>
      </c>
      <c r="X500" s="40">
        <f>_xlfn.XLOOKUP("Ripening", CropPhenology_Wheat[Main_Stage], CropPhenology_Wheat[Start_GDD], "Not Found")</f>
        <v>1501</v>
      </c>
      <c r="Y500" s="4" cm="1">
        <f t="array" ref="Y50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500" s="3">
        <f t="shared" si="288"/>
        <v>10.704004449388208</v>
      </c>
      <c r="AA500" s="41">
        <f t="shared" si="299"/>
        <v>158.81906701721937</v>
      </c>
      <c r="AB500" s="2">
        <v>9</v>
      </c>
      <c r="AC500" s="2">
        <v>5</v>
      </c>
      <c r="AD500" s="2">
        <v>2</v>
      </c>
      <c r="AE500" s="2">
        <v>80</v>
      </c>
      <c r="AF500" s="2">
        <v>0</v>
      </c>
      <c r="AG500" s="2">
        <v>5</v>
      </c>
      <c r="AH500" s="49">
        <f t="shared" si="291"/>
        <v>1.2529981678989726</v>
      </c>
      <c r="AI500" s="2">
        <v>5.5</v>
      </c>
      <c r="AJ500" s="2">
        <v>8</v>
      </c>
      <c r="AK500" s="165">
        <v>6</v>
      </c>
      <c r="AL500" s="166">
        <v>7.0999999999999994E-2</v>
      </c>
      <c r="AM500" s="2">
        <v>195</v>
      </c>
      <c r="AN500" s="2">
        <v>285</v>
      </c>
      <c r="AO500" s="85">
        <v>5</v>
      </c>
      <c r="AP500" s="86">
        <v>100</v>
      </c>
      <c r="AQ500" s="149">
        <v>0.8</v>
      </c>
      <c r="AR500" s="2">
        <v>20</v>
      </c>
      <c r="AS500" s="2">
        <v>2.5</v>
      </c>
      <c r="AT500" s="2">
        <v>1</v>
      </c>
      <c r="AU500" s="4">
        <f t="shared" si="300"/>
        <v>200</v>
      </c>
      <c r="AV500" s="3">
        <f t="shared" si="289"/>
        <v>106</v>
      </c>
      <c r="AW500" s="2">
        <v>90</v>
      </c>
      <c r="AX500" s="3">
        <f t="shared" si="301"/>
        <v>180</v>
      </c>
      <c r="AY500" s="2">
        <v>4</v>
      </c>
      <c r="AZ500" s="4">
        <f t="shared" si="302"/>
        <v>720</v>
      </c>
      <c r="BA500" s="49">
        <v>0.8</v>
      </c>
      <c r="BB500" s="4">
        <f t="shared" si="303"/>
        <v>576</v>
      </c>
      <c r="BC500" s="150">
        <v>8.0000000000000002E-3</v>
      </c>
      <c r="BD500" s="69">
        <f>IFERROR(
  MAX(0.05, MIN(0.5, CropNorms_Wheat[[#This Row],[Leaf_Area_Per_Shoot_m2]] * CropNorms_Wheat[[#This Row],[Shoot_Bearing_m2]] )),
  0.2
)</f>
        <v>0.5</v>
      </c>
      <c r="BE500" s="4">
        <f>_xlfn.XLOOKUP(CropNorms_Wheat[[#This Row],[LAI_Start_BBCH]], CropPhenology_Wheat[Sub_Stage], CropPhenology_Wheat[Start_GDD], "Not Found")</f>
        <v>151</v>
      </c>
      <c r="BF500" s="3">
        <f t="shared" si="290"/>
        <v>4.6100000000000003</v>
      </c>
      <c r="BG50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500" s="3">
        <f>IF(CropNorms_Wheat[[#This Row],[Max_LAI]]&gt;=1.2, 0.85*CropNorms_Wheat[[#This Row],[Max_LAI]], 1)</f>
        <v>3.9185000000000003</v>
      </c>
      <c r="BI500" s="41">
        <f>_xlfn.XLOOKUP(CropNorms_Wheat[[#This Row],[LAI_End_BBCH]], CropPhenology_Wheat[Sub_Stage], CropPhenology_Wheat[End_GDD], "Not Found")</f>
        <v>1500</v>
      </c>
      <c r="BJ500" s="3" cm="1">
        <f t="array" ref="BJ50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500" s="3" cm="1">
        <f t="array" ref="BK50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500" s="3" cm="1">
        <f t="array" ref="BL50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500" s="3" cm="1">
        <f t="array" ref="BM50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00" s="42">
        <v>0.40629999999999999</v>
      </c>
      <c r="BO500" s="43">
        <v>0</v>
      </c>
      <c r="BP500" s="42">
        <v>3.3011875000000002</v>
      </c>
      <c r="BQ500" s="43" t="s">
        <v>1795</v>
      </c>
      <c r="BR500" s="3" t="str" cm="1">
        <f t="array" ref="BR50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00" s="3" t="str" cm="1">
        <f t="array" ref="BS50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500" s="3" t="str" cm="1">
        <f t="array" ref="BT50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500" s="3" t="str" cm="1">
        <f t="array" ref="BU50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500" s="48">
        <v>80</v>
      </c>
      <c r="BW500" s="1">
        <v>40</v>
      </c>
      <c r="BX500" s="44">
        <v>40</v>
      </c>
      <c r="BY500" s="151">
        <v>45962</v>
      </c>
      <c r="BZ500" s="151">
        <v>46022</v>
      </c>
      <c r="CA500" s="152">
        <v>0</v>
      </c>
      <c r="CB500" s="153">
        <v>0</v>
      </c>
      <c r="CC500" s="153">
        <v>1</v>
      </c>
      <c r="CD500" s="153">
        <v>1</v>
      </c>
      <c r="CE500" s="153">
        <v>1</v>
      </c>
      <c r="CF500" s="153">
        <v>0</v>
      </c>
      <c r="CG500" s="153">
        <v>0</v>
      </c>
      <c r="CH500" s="153">
        <v>0</v>
      </c>
      <c r="CI500" s="153">
        <v>0</v>
      </c>
      <c r="CJ500" s="153">
        <v>0</v>
      </c>
      <c r="CK500" s="153">
        <v>0</v>
      </c>
      <c r="CL500" s="153">
        <v>0</v>
      </c>
    </row>
    <row r="501" spans="2:90" x14ac:dyDescent="0.25">
      <c r="B501" s="27" t="s">
        <v>321</v>
      </c>
      <c r="C501" s="2" t="s">
        <v>2292</v>
      </c>
      <c r="D501" s="2" t="s">
        <v>2126</v>
      </c>
      <c r="E501" s="2" t="s">
        <v>2144</v>
      </c>
      <c r="F501" s="90">
        <v>82</v>
      </c>
      <c r="G501" s="2" t="s">
        <v>2293</v>
      </c>
      <c r="H501" s="2"/>
      <c r="I501" s="2"/>
      <c r="J501" s="2"/>
      <c r="K501" s="2" t="s">
        <v>1748</v>
      </c>
      <c r="L501" s="2" t="s">
        <v>1750</v>
      </c>
      <c r="M501" s="2" t="s">
        <v>358</v>
      </c>
      <c r="N501" s="49"/>
      <c r="O501" s="2" t="s">
        <v>2078</v>
      </c>
      <c r="P501" s="2">
        <v>42</v>
      </c>
      <c r="Q501" s="2">
        <v>5</v>
      </c>
      <c r="R501" s="2">
        <v>6.7</v>
      </c>
      <c r="S501" s="2">
        <v>28</v>
      </c>
      <c r="T501" s="2">
        <v>35</v>
      </c>
      <c r="U501" s="251">
        <v>6</v>
      </c>
      <c r="V501" s="2">
        <v>110</v>
      </c>
      <c r="W501" s="86">
        <v>130</v>
      </c>
      <c r="X501" s="40">
        <f>_xlfn.XLOOKUP("Ripening", CropPhenology_Wheat[Main_Stage], CropPhenology_Wheat[Start_GDD], "Not Found")</f>
        <v>1501</v>
      </c>
      <c r="Y501" s="4" cm="1">
        <f t="array" ref="Y50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501" s="3">
        <f t="shared" si="288"/>
        <v>13.500349650349651</v>
      </c>
      <c r="AA501" s="41">
        <f t="shared" si="299"/>
        <v>125.9226645256533</v>
      </c>
      <c r="AB501" s="2">
        <v>9</v>
      </c>
      <c r="AC501" s="2">
        <v>5</v>
      </c>
      <c r="AD501" s="2">
        <v>2</v>
      </c>
      <c r="AE501" s="2">
        <v>80</v>
      </c>
      <c r="AF501" s="2">
        <v>0</v>
      </c>
      <c r="AG501" s="2">
        <v>5</v>
      </c>
      <c r="AH501" s="49">
        <f t="shared" si="291"/>
        <v>1.5803350473056357</v>
      </c>
      <c r="AI501" s="2">
        <v>5.5</v>
      </c>
      <c r="AJ501" s="2">
        <v>8</v>
      </c>
      <c r="AK501" s="165">
        <v>6</v>
      </c>
      <c r="AL501" s="166">
        <v>7.0999999999999994E-2</v>
      </c>
      <c r="AM501" s="2">
        <v>195</v>
      </c>
      <c r="AN501" s="2">
        <v>285</v>
      </c>
      <c r="AO501" s="85">
        <v>5</v>
      </c>
      <c r="AP501" s="86">
        <v>100</v>
      </c>
      <c r="AQ501" s="149">
        <v>0.8</v>
      </c>
      <c r="AR501" s="2">
        <v>20</v>
      </c>
      <c r="AS501" s="2">
        <v>2.5</v>
      </c>
      <c r="AT501" s="2">
        <v>1</v>
      </c>
      <c r="AU501" s="4">
        <f t="shared" si="300"/>
        <v>200</v>
      </c>
      <c r="AV501" s="3">
        <f t="shared" si="289"/>
        <v>84</v>
      </c>
      <c r="AW501" s="2">
        <v>90</v>
      </c>
      <c r="AX501" s="3">
        <f t="shared" si="301"/>
        <v>180</v>
      </c>
      <c r="AY501" s="2">
        <v>4</v>
      </c>
      <c r="AZ501" s="4">
        <f t="shared" si="302"/>
        <v>720</v>
      </c>
      <c r="BA501" s="49">
        <v>0.8</v>
      </c>
      <c r="BB501" s="4">
        <f t="shared" si="303"/>
        <v>576</v>
      </c>
      <c r="BC501" s="150">
        <v>8.0000000000000002E-3</v>
      </c>
      <c r="BD501" s="69">
        <f>IFERROR(
  MAX(0.05, MIN(0.5, CropNorms_Wheat[[#This Row],[Leaf_Area_Per_Shoot_m2]] * CropNorms_Wheat[[#This Row],[Shoot_Bearing_m2]] )),
  0.2
)</f>
        <v>0.5</v>
      </c>
      <c r="BE501" s="4">
        <f>_xlfn.XLOOKUP(CropNorms_Wheat[[#This Row],[LAI_Start_BBCH]], CropPhenology_Wheat[Sub_Stage], CropPhenology_Wheat[Start_GDD], "Not Found")</f>
        <v>151</v>
      </c>
      <c r="BF501" s="3">
        <f t="shared" si="290"/>
        <v>4.6100000000000003</v>
      </c>
      <c r="BG50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501" s="3">
        <f>IF(CropNorms_Wheat[[#This Row],[Max_LAI]]&gt;=1.2, 0.85*CropNorms_Wheat[[#This Row],[Max_LAI]], 1)</f>
        <v>3.9185000000000003</v>
      </c>
      <c r="BI501" s="41">
        <f>_xlfn.XLOOKUP(CropNorms_Wheat[[#This Row],[LAI_End_BBCH]], CropPhenology_Wheat[Sub_Stage], CropPhenology_Wheat[End_GDD], "Not Found")</f>
        <v>1500</v>
      </c>
      <c r="BJ501" s="3" cm="1">
        <f t="array" ref="BJ50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501" s="3" cm="1">
        <f t="array" ref="BK50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501" s="3" cm="1">
        <f t="array" ref="BL50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501" s="3" cm="1">
        <f t="array" ref="BM50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01" s="42">
        <v>0.37830000000000003</v>
      </c>
      <c r="BO501" s="43">
        <v>0</v>
      </c>
      <c r="BP501" s="42">
        <v>3.0736875000000001</v>
      </c>
      <c r="BQ501" s="43" t="s">
        <v>1795</v>
      </c>
      <c r="BR501" s="3" t="str" cm="1">
        <f t="array" ref="BR50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01" s="3" t="str" cm="1">
        <f t="array" ref="BS50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501" s="3" t="str" cm="1">
        <f t="array" ref="BT50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501" s="3" t="str" cm="1">
        <f t="array" ref="BU50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501" s="48">
        <v>80</v>
      </c>
      <c r="BW501" s="1">
        <v>40</v>
      </c>
      <c r="BX501" s="44">
        <v>40</v>
      </c>
      <c r="BY501" s="151">
        <v>45962</v>
      </c>
      <c r="BZ501" s="151">
        <v>46022</v>
      </c>
      <c r="CA501" s="152">
        <v>0</v>
      </c>
      <c r="CB501" s="153">
        <v>0</v>
      </c>
      <c r="CC501" s="153">
        <v>1</v>
      </c>
      <c r="CD501" s="153">
        <v>1</v>
      </c>
      <c r="CE501" s="153">
        <v>1</v>
      </c>
      <c r="CF501" s="153">
        <v>0</v>
      </c>
      <c r="CG501" s="153">
        <v>0</v>
      </c>
      <c r="CH501" s="153">
        <v>0</v>
      </c>
      <c r="CI501" s="153">
        <v>0</v>
      </c>
      <c r="CJ501" s="153">
        <v>0</v>
      </c>
      <c r="CK501" s="153">
        <v>0</v>
      </c>
      <c r="CL501" s="153">
        <v>0</v>
      </c>
    </row>
    <row r="502" spans="2:90" x14ac:dyDescent="0.25">
      <c r="B502" s="27" t="s">
        <v>321</v>
      </c>
      <c r="C502" s="2" t="s">
        <v>2294</v>
      </c>
      <c r="D502" s="2" t="s">
        <v>2126</v>
      </c>
      <c r="E502" s="2" t="s">
        <v>1835</v>
      </c>
      <c r="F502" s="90">
        <v>105</v>
      </c>
      <c r="G502" s="2" t="s">
        <v>2295</v>
      </c>
      <c r="H502" s="2" t="s">
        <v>1840</v>
      </c>
      <c r="I502" s="2" t="s">
        <v>1841</v>
      </c>
      <c r="J502" s="2"/>
      <c r="K502" s="2" t="s">
        <v>1748</v>
      </c>
      <c r="L502" s="2" t="s">
        <v>1750</v>
      </c>
      <c r="M502" s="2" t="s">
        <v>358</v>
      </c>
      <c r="N502" s="49"/>
      <c r="O502" s="2" t="s">
        <v>2078</v>
      </c>
      <c r="P502" s="2">
        <v>33</v>
      </c>
      <c r="Q502" s="2">
        <v>5</v>
      </c>
      <c r="R502" s="2">
        <v>6.7</v>
      </c>
      <c r="S502" s="2">
        <v>28</v>
      </c>
      <c r="T502" s="2">
        <v>35</v>
      </c>
      <c r="U502" s="251">
        <v>6</v>
      </c>
      <c r="V502" s="2">
        <v>135</v>
      </c>
      <c r="W502" s="86">
        <v>161</v>
      </c>
      <c r="X502" s="40">
        <f>_xlfn.XLOOKUP("Ripening", CropPhenology_Wheat[Main_Stage], CropPhenology_Wheat[Start_GDD], "Not Found")</f>
        <v>1501</v>
      </c>
      <c r="Y502" s="4" cm="1">
        <f t="array" ref="Y50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502" s="3">
        <f t="shared" si="288"/>
        <v>10.95778697952611</v>
      </c>
      <c r="AA502" s="41">
        <f t="shared" si="299"/>
        <v>155.14081476271951</v>
      </c>
      <c r="AB502" s="2">
        <v>7</v>
      </c>
      <c r="AC502" s="2">
        <v>5</v>
      </c>
      <c r="AD502" s="2">
        <v>2</v>
      </c>
      <c r="AE502" s="2">
        <v>80</v>
      </c>
      <c r="AF502" s="2">
        <v>0</v>
      </c>
      <c r="AG502" s="2">
        <v>5</v>
      </c>
      <c r="AH502" s="49">
        <f t="shared" si="291"/>
        <v>1.2827056523092328</v>
      </c>
      <c r="AI502" s="2">
        <v>5.5</v>
      </c>
      <c r="AJ502" s="2">
        <v>8</v>
      </c>
      <c r="AK502" s="165">
        <v>6</v>
      </c>
      <c r="AL502" s="166">
        <v>7.0999999999999994E-2</v>
      </c>
      <c r="AM502" s="2">
        <v>195</v>
      </c>
      <c r="AN502" s="2">
        <v>285</v>
      </c>
      <c r="AO502" s="85">
        <v>5</v>
      </c>
      <c r="AP502" s="86">
        <v>100</v>
      </c>
      <c r="AQ502" s="149">
        <v>0.8</v>
      </c>
      <c r="AR502" s="2">
        <v>20</v>
      </c>
      <c r="AS502" s="2">
        <v>2.5</v>
      </c>
      <c r="AT502" s="2">
        <v>1</v>
      </c>
      <c r="AU502" s="4">
        <f t="shared" si="300"/>
        <v>200</v>
      </c>
      <c r="AV502" s="3">
        <f t="shared" si="289"/>
        <v>66</v>
      </c>
      <c r="AW502" s="2">
        <v>90</v>
      </c>
      <c r="AX502" s="3">
        <f t="shared" si="301"/>
        <v>180</v>
      </c>
      <c r="AY502" s="2">
        <v>4</v>
      </c>
      <c r="AZ502" s="4">
        <f t="shared" si="302"/>
        <v>720</v>
      </c>
      <c r="BA502" s="49">
        <v>0.8</v>
      </c>
      <c r="BB502" s="4">
        <f t="shared" si="303"/>
        <v>576</v>
      </c>
      <c r="BC502" s="150">
        <v>8.0000000000000002E-3</v>
      </c>
      <c r="BD502" s="69">
        <f>IFERROR(
  MAX(0.05, MIN(0.5, CropNorms_Wheat[[#This Row],[Leaf_Area_Per_Shoot_m2]] * CropNorms_Wheat[[#This Row],[Shoot_Bearing_m2]] )),
  0.2
)</f>
        <v>0.5</v>
      </c>
      <c r="BE502" s="4">
        <f>_xlfn.XLOOKUP(CropNorms_Wheat[[#This Row],[LAI_Start_BBCH]], CropPhenology_Wheat[Sub_Stage], CropPhenology_Wheat[Start_GDD], "Not Found")</f>
        <v>151</v>
      </c>
      <c r="BF502" s="3">
        <f t="shared" si="290"/>
        <v>4.6100000000000003</v>
      </c>
      <c r="BG50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502" s="3">
        <f>IF(CropNorms_Wheat[[#This Row],[Max_LAI]]&gt;=1.2, 0.85*CropNorms_Wheat[[#This Row],[Max_LAI]], 1)</f>
        <v>3.9185000000000003</v>
      </c>
      <c r="BI502" s="41">
        <f>_xlfn.XLOOKUP(CropNorms_Wheat[[#This Row],[LAI_End_BBCH]], CropPhenology_Wheat[Sub_Stage], CropPhenology_Wheat[End_GDD], "Not Found")</f>
        <v>1500</v>
      </c>
      <c r="BJ502" s="3" cm="1">
        <f t="array" ref="BJ50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502" s="3" cm="1">
        <f t="array" ref="BK50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502" s="3" cm="1">
        <f t="array" ref="BL50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502" s="3" cm="1">
        <f t="array" ref="BM50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02" s="42">
        <v>0.45</v>
      </c>
      <c r="BO502" s="43">
        <v>0</v>
      </c>
      <c r="BP502" s="42">
        <v>3.65625</v>
      </c>
      <c r="BQ502" s="43" t="s">
        <v>1795</v>
      </c>
      <c r="BR502" s="3" t="str" cm="1">
        <f t="array" ref="BR50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02" s="3" t="str" cm="1">
        <f t="array" ref="BS50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502" s="3" t="str" cm="1">
        <f t="array" ref="BT50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502" s="3" t="str" cm="1">
        <f t="array" ref="BU50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502" s="48">
        <v>80</v>
      </c>
      <c r="BW502" s="1">
        <v>40</v>
      </c>
      <c r="BX502" s="44">
        <v>40</v>
      </c>
      <c r="BY502" s="151">
        <v>45962</v>
      </c>
      <c r="BZ502" s="151">
        <v>46022</v>
      </c>
      <c r="CA502" s="152">
        <v>0</v>
      </c>
      <c r="CB502" s="153">
        <v>0</v>
      </c>
      <c r="CC502" s="153">
        <v>1</v>
      </c>
      <c r="CD502" s="153">
        <v>1</v>
      </c>
      <c r="CE502" s="153">
        <v>1</v>
      </c>
      <c r="CF502" s="153">
        <v>0</v>
      </c>
      <c r="CG502" s="153">
        <v>0</v>
      </c>
      <c r="CH502" s="153">
        <v>0</v>
      </c>
      <c r="CI502" s="153">
        <v>0</v>
      </c>
      <c r="CJ502" s="153">
        <v>0</v>
      </c>
      <c r="CK502" s="153">
        <v>0</v>
      </c>
      <c r="CL502" s="153">
        <v>0</v>
      </c>
    </row>
    <row r="503" spans="2:90" x14ac:dyDescent="0.25">
      <c r="B503" s="27" t="s">
        <v>321</v>
      </c>
      <c r="C503" s="2" t="s">
        <v>2296</v>
      </c>
      <c r="D503" s="2" t="s">
        <v>2126</v>
      </c>
      <c r="E503" s="2" t="s">
        <v>2230</v>
      </c>
      <c r="F503" s="90">
        <v>115</v>
      </c>
      <c r="G503" s="2"/>
      <c r="H503" s="2" t="s">
        <v>1840</v>
      </c>
      <c r="I503" s="2"/>
      <c r="J503" s="2" t="s">
        <v>2297</v>
      </c>
      <c r="K503" s="2" t="s">
        <v>1748</v>
      </c>
      <c r="L503" s="2" t="s">
        <v>1750</v>
      </c>
      <c r="M503" s="2" t="s">
        <v>358</v>
      </c>
      <c r="N503" s="49"/>
      <c r="O503" s="2" t="s">
        <v>2078</v>
      </c>
      <c r="P503" s="2">
        <v>29</v>
      </c>
      <c r="Q503" s="2">
        <v>5</v>
      </c>
      <c r="R503" s="2">
        <v>6.7</v>
      </c>
      <c r="S503" s="2">
        <v>28</v>
      </c>
      <c r="T503" s="2">
        <v>35</v>
      </c>
      <c r="U503" s="251">
        <v>6</v>
      </c>
      <c r="V503" s="2">
        <v>138</v>
      </c>
      <c r="W503" s="86">
        <v>160</v>
      </c>
      <c r="X503" s="40">
        <f>_xlfn.XLOOKUP("Ripening", CropPhenology_Wheat[Main_Stage], CropPhenology_Wheat[Start_GDD], "Not Found")</f>
        <v>1501</v>
      </c>
      <c r="Y503" s="4" cm="1">
        <f t="array" ref="Y50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503" s="3">
        <f t="shared" si="288"/>
        <v>10.850045289855071</v>
      </c>
      <c r="AA503" s="41">
        <f t="shared" si="299"/>
        <v>156.68137363348347</v>
      </c>
      <c r="AB503" s="2">
        <v>6</v>
      </c>
      <c r="AC503" s="2">
        <v>5</v>
      </c>
      <c r="AD503" s="2">
        <v>2</v>
      </c>
      <c r="AE503" s="2">
        <v>80</v>
      </c>
      <c r="AF503" s="2">
        <v>0</v>
      </c>
      <c r="AG503" s="2">
        <v>5</v>
      </c>
      <c r="AH503" s="49">
        <f t="shared" si="291"/>
        <v>1.2700935368712702</v>
      </c>
      <c r="AI503" s="2">
        <v>5.5</v>
      </c>
      <c r="AJ503" s="2">
        <v>8</v>
      </c>
      <c r="AK503" s="165">
        <v>6</v>
      </c>
      <c r="AL503" s="166">
        <v>7.0999999999999994E-2</v>
      </c>
      <c r="AM503" s="2">
        <v>195</v>
      </c>
      <c r="AN503" s="2">
        <v>285</v>
      </c>
      <c r="AO503" s="85">
        <v>5</v>
      </c>
      <c r="AP503" s="86">
        <v>100</v>
      </c>
      <c r="AQ503" s="149">
        <v>0.8</v>
      </c>
      <c r="AR503" s="2">
        <v>20</v>
      </c>
      <c r="AS503" s="2">
        <v>2.5</v>
      </c>
      <c r="AT503" s="2">
        <v>1</v>
      </c>
      <c r="AU503" s="4">
        <f t="shared" si="300"/>
        <v>200</v>
      </c>
      <c r="AV503" s="3">
        <f t="shared" si="289"/>
        <v>58</v>
      </c>
      <c r="AW503" s="2">
        <v>90</v>
      </c>
      <c r="AX503" s="3">
        <f t="shared" si="301"/>
        <v>180</v>
      </c>
      <c r="AY503" s="2">
        <v>4</v>
      </c>
      <c r="AZ503" s="4">
        <f t="shared" si="302"/>
        <v>720</v>
      </c>
      <c r="BA503" s="49">
        <v>0.8</v>
      </c>
      <c r="BB503" s="4">
        <f t="shared" si="303"/>
        <v>576</v>
      </c>
      <c r="BC503" s="150">
        <v>8.0000000000000002E-3</v>
      </c>
      <c r="BD503" s="69">
        <f>IFERROR(
  MAX(0.05, MIN(0.5, CropNorms_Wheat[[#This Row],[Leaf_Area_Per_Shoot_m2]] * CropNorms_Wheat[[#This Row],[Shoot_Bearing_m2]] )),
  0.2
)</f>
        <v>0.5</v>
      </c>
      <c r="BE503" s="4">
        <f>_xlfn.XLOOKUP(CropNorms_Wheat[[#This Row],[LAI_Start_BBCH]], CropPhenology_Wheat[Sub_Stage], CropPhenology_Wheat[Start_GDD], "Not Found")</f>
        <v>151</v>
      </c>
      <c r="BF503" s="3">
        <f t="shared" si="290"/>
        <v>4.6100000000000003</v>
      </c>
      <c r="BG50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503" s="3">
        <f>IF(CropNorms_Wheat[[#This Row],[Max_LAI]]&gt;=1.2, 0.85*CropNorms_Wheat[[#This Row],[Max_LAI]], 1)</f>
        <v>3.9185000000000003</v>
      </c>
      <c r="BI503" s="41">
        <f>_xlfn.XLOOKUP(CropNorms_Wheat[[#This Row],[LAI_End_BBCH]], CropPhenology_Wheat[Sub_Stage], CropPhenology_Wheat[End_GDD], "Not Found")</f>
        <v>1500</v>
      </c>
      <c r="BJ503" s="3" cm="1">
        <f t="array" ref="BJ50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503" s="3" cm="1">
        <f t="array" ref="BK50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503" s="3" cm="1">
        <f t="array" ref="BL50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503" s="3" cm="1">
        <f t="array" ref="BM50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03" s="42">
        <f>(0.28+0.4)/2</f>
        <v>0.34</v>
      </c>
      <c r="BO503" s="43">
        <v>0</v>
      </c>
      <c r="BP503" s="42">
        <v>2.7625000000000002</v>
      </c>
      <c r="BQ503" s="43" t="s">
        <v>1795</v>
      </c>
      <c r="BR503" s="3" t="str" cm="1">
        <f t="array" ref="BR50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03" s="3" t="str" cm="1">
        <f t="array" ref="BS50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503" s="3" t="str" cm="1">
        <f t="array" ref="BT50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503" s="3" t="str" cm="1">
        <f t="array" ref="BU50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503" s="48">
        <v>80</v>
      </c>
      <c r="BW503" s="1">
        <v>40</v>
      </c>
      <c r="BX503" s="44">
        <v>40</v>
      </c>
      <c r="BY503" s="151">
        <v>45962</v>
      </c>
      <c r="BZ503" s="151">
        <v>46022</v>
      </c>
      <c r="CA503" s="152">
        <v>0</v>
      </c>
      <c r="CB503" s="153">
        <v>0</v>
      </c>
      <c r="CC503" s="153">
        <v>1</v>
      </c>
      <c r="CD503" s="153">
        <v>1</v>
      </c>
      <c r="CE503" s="153">
        <v>1</v>
      </c>
      <c r="CF503" s="153">
        <v>0</v>
      </c>
      <c r="CG503" s="153">
        <v>0</v>
      </c>
      <c r="CH503" s="153">
        <v>0</v>
      </c>
      <c r="CI503" s="153">
        <v>0</v>
      </c>
      <c r="CJ503" s="153">
        <v>0</v>
      </c>
      <c r="CK503" s="153">
        <v>0</v>
      </c>
      <c r="CL503" s="153">
        <v>0</v>
      </c>
    </row>
    <row r="504" spans="2:90" x14ac:dyDescent="0.25">
      <c r="B504" s="27" t="s">
        <v>321</v>
      </c>
      <c r="C504" s="2" t="s">
        <v>2298</v>
      </c>
      <c r="D504" s="2" t="s">
        <v>1832</v>
      </c>
      <c r="E504" s="2" t="s">
        <v>2144</v>
      </c>
      <c r="F504" s="90">
        <v>84</v>
      </c>
      <c r="G504" s="2" t="s">
        <v>2299</v>
      </c>
      <c r="H504" s="2" t="s">
        <v>2227</v>
      </c>
      <c r="I504" s="2"/>
      <c r="J504" s="2" t="s">
        <v>2170</v>
      </c>
      <c r="K504" s="2" t="s">
        <v>1748</v>
      </c>
      <c r="L504" s="2" t="s">
        <v>1750</v>
      </c>
      <c r="M504" s="2" t="s">
        <v>358</v>
      </c>
      <c r="N504" s="49"/>
      <c r="O504" s="2" t="s">
        <v>2078</v>
      </c>
      <c r="P504" s="2">
        <v>45</v>
      </c>
      <c r="Q504" s="2">
        <v>5</v>
      </c>
      <c r="R504" s="2">
        <v>6.7</v>
      </c>
      <c r="S504" s="2">
        <v>28</v>
      </c>
      <c r="T504" s="2">
        <v>35</v>
      </c>
      <c r="U504" s="251">
        <v>6</v>
      </c>
      <c r="V504" s="2">
        <v>150</v>
      </c>
      <c r="W504" s="86">
        <v>160</v>
      </c>
      <c r="X504" s="40">
        <f>_xlfn.XLOOKUP("Ripening", CropPhenology_Wheat[Main_Stage], CropPhenology_Wheat[Start_GDD], "Not Found")</f>
        <v>1501</v>
      </c>
      <c r="Y504" s="4" cm="1">
        <f t="array" ref="Y50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504" s="3">
        <f t="shared" si="288"/>
        <v>10.357291666666667</v>
      </c>
      <c r="AA504" s="41">
        <f t="shared" si="299"/>
        <v>164.13557276475913</v>
      </c>
      <c r="AB504" s="2">
        <v>7</v>
      </c>
      <c r="AC504" s="2">
        <v>5</v>
      </c>
      <c r="AD504" s="2">
        <v>2</v>
      </c>
      <c r="AE504" s="2">
        <v>80</v>
      </c>
      <c r="AF504" s="2">
        <v>0</v>
      </c>
      <c r="AG504" s="2">
        <v>5</v>
      </c>
      <c r="AH504" s="49">
        <f t="shared" si="291"/>
        <v>1.2124123774509803</v>
      </c>
      <c r="AI504" s="2">
        <v>5.5</v>
      </c>
      <c r="AJ504" s="2">
        <v>8</v>
      </c>
      <c r="AK504" s="165">
        <v>6</v>
      </c>
      <c r="AL504" s="166">
        <v>7.0999999999999994E-2</v>
      </c>
      <c r="AM504" s="2">
        <v>195</v>
      </c>
      <c r="AN504" s="2">
        <v>285</v>
      </c>
      <c r="AO504" s="85">
        <v>5</v>
      </c>
      <c r="AP504" s="86">
        <v>100</v>
      </c>
      <c r="AQ504" s="149">
        <v>0.8</v>
      </c>
      <c r="AR504" s="2">
        <v>20</v>
      </c>
      <c r="AS504" s="2">
        <v>2.5</v>
      </c>
      <c r="AT504" s="2">
        <v>1</v>
      </c>
      <c r="AU504" s="4">
        <f t="shared" si="300"/>
        <v>200</v>
      </c>
      <c r="AV504" s="3">
        <f t="shared" si="289"/>
        <v>90</v>
      </c>
      <c r="AW504" s="2">
        <v>90</v>
      </c>
      <c r="AX504" s="3">
        <f t="shared" si="301"/>
        <v>180</v>
      </c>
      <c r="AY504" s="2">
        <v>5</v>
      </c>
      <c r="AZ504" s="4">
        <f t="shared" si="302"/>
        <v>900</v>
      </c>
      <c r="BA504" s="49">
        <v>0.8</v>
      </c>
      <c r="BB504" s="4">
        <f t="shared" si="303"/>
        <v>720</v>
      </c>
      <c r="BC504" s="150">
        <v>8.0000000000000002E-3</v>
      </c>
      <c r="BD504" s="69">
        <f>IFERROR(
  MAX(0.05, MIN(0.5, CropNorms_Wheat[[#This Row],[Leaf_Area_Per_Shoot_m2]] * CropNorms_Wheat[[#This Row],[Shoot_Bearing_m2]] )),
  0.2
)</f>
        <v>0.5</v>
      </c>
      <c r="BE504" s="4">
        <f>_xlfn.XLOOKUP(CropNorms_Wheat[[#This Row],[LAI_Start_BBCH]], CropPhenology_Wheat[Sub_Stage], CropPhenology_Wheat[Start_GDD], "Not Found")</f>
        <v>151</v>
      </c>
      <c r="BF504" s="3">
        <f t="shared" si="290"/>
        <v>5.76</v>
      </c>
      <c r="BG50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504" s="3">
        <f>IF(CropNorms_Wheat[[#This Row],[Max_LAI]]&gt;=1.2, 0.85*CropNorms_Wheat[[#This Row],[Max_LAI]], 1)</f>
        <v>4.8959999999999999</v>
      </c>
      <c r="BI504" s="41">
        <f>_xlfn.XLOOKUP(CropNorms_Wheat[[#This Row],[LAI_End_BBCH]], CropPhenology_Wheat[Sub_Stage], CropPhenology_Wheat[End_GDD], "Not Found")</f>
        <v>1500</v>
      </c>
      <c r="BJ504" s="3" cm="1">
        <f t="array" ref="BJ50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504" s="3" cm="1">
        <f t="array" ref="BK50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L504" s="3" cm="1">
        <f t="array" ref="BL50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M504" s="3" cm="1">
        <f t="array" ref="BM50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04" s="42">
        <f>(0.28+0.4)/2</f>
        <v>0.34</v>
      </c>
      <c r="BO504" s="43">
        <v>0</v>
      </c>
      <c r="BP504" s="42">
        <v>2.7625000000000002</v>
      </c>
      <c r="BQ504" s="43" t="s">
        <v>1795</v>
      </c>
      <c r="BR504" s="3" t="str" cm="1">
        <f t="array" ref="BR50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04" s="3" t="str" cm="1">
        <f t="array" ref="BS50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504" s="3" t="str" cm="1">
        <f t="array" ref="BT50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504" s="3" t="str" cm="1">
        <f t="array" ref="BU50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504" s="48">
        <v>80</v>
      </c>
      <c r="BW504" s="1">
        <v>40</v>
      </c>
      <c r="BX504" s="44">
        <v>40</v>
      </c>
      <c r="BY504" s="151">
        <v>45962</v>
      </c>
      <c r="BZ504" s="151">
        <v>46022</v>
      </c>
      <c r="CA504" s="152">
        <v>0</v>
      </c>
      <c r="CB504" s="153">
        <v>0</v>
      </c>
      <c r="CC504" s="153">
        <v>1</v>
      </c>
      <c r="CD504" s="153">
        <v>1</v>
      </c>
      <c r="CE504" s="153">
        <v>1</v>
      </c>
      <c r="CF504" s="153">
        <v>0</v>
      </c>
      <c r="CG504" s="153">
        <v>0</v>
      </c>
      <c r="CH504" s="153">
        <v>0</v>
      </c>
      <c r="CI504" s="153">
        <v>0</v>
      </c>
      <c r="CJ504" s="153">
        <v>0</v>
      </c>
      <c r="CK504" s="153">
        <v>0</v>
      </c>
      <c r="CL504" s="153">
        <v>0</v>
      </c>
    </row>
    <row r="505" spans="2:90" ht="11.25" thickBot="1" x14ac:dyDescent="0.3">
      <c r="B505" s="27" t="s">
        <v>321</v>
      </c>
      <c r="C505" s="2" t="s">
        <v>2300</v>
      </c>
      <c r="D505" s="2" t="s">
        <v>1833</v>
      </c>
      <c r="E505" s="2" t="s">
        <v>1835</v>
      </c>
      <c r="F505" s="90">
        <v>105</v>
      </c>
      <c r="G505" s="2" t="s">
        <v>2301</v>
      </c>
      <c r="H505" s="2" t="s">
        <v>2128</v>
      </c>
      <c r="I505" s="2" t="s">
        <v>1841</v>
      </c>
      <c r="J505" s="2" t="s">
        <v>2170</v>
      </c>
      <c r="K505" s="2" t="s">
        <v>1748</v>
      </c>
      <c r="L505" s="2" t="s">
        <v>1750</v>
      </c>
      <c r="M505" s="2" t="s">
        <v>358</v>
      </c>
      <c r="N505" s="49"/>
      <c r="O505" s="2" t="s">
        <v>2078</v>
      </c>
      <c r="P505" s="2">
        <v>41</v>
      </c>
      <c r="Q505" s="2">
        <v>5</v>
      </c>
      <c r="R505" s="2">
        <v>6.7</v>
      </c>
      <c r="S505" s="2">
        <v>28</v>
      </c>
      <c r="T505" s="2">
        <v>35</v>
      </c>
      <c r="U505" s="252">
        <v>6</v>
      </c>
      <c r="V505" s="2">
        <v>134</v>
      </c>
      <c r="W505" s="86">
        <v>160</v>
      </c>
      <c r="X505" s="40">
        <f>_xlfn.XLOOKUP("Ripening", CropPhenology_Wheat[Main_Stage], CropPhenology_Wheat[Start_GDD], "Not Found")</f>
        <v>1501</v>
      </c>
      <c r="Y505" s="4" cm="1">
        <f t="array" ref="Y50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Z505" s="3">
        <f t="shared" si="288"/>
        <v>11.033908582089552</v>
      </c>
      <c r="AA505" s="41">
        <f t="shared" si="299"/>
        <v>154.0705170205481</v>
      </c>
      <c r="AB505" s="2">
        <v>7</v>
      </c>
      <c r="AC505" s="2">
        <v>5</v>
      </c>
      <c r="AD505" s="2">
        <v>2</v>
      </c>
      <c r="AE505" s="2">
        <v>80</v>
      </c>
      <c r="AF505" s="2">
        <v>0</v>
      </c>
      <c r="AG505" s="2">
        <v>5</v>
      </c>
      <c r="AH505" s="49">
        <f t="shared" si="291"/>
        <v>1.2916163575504829</v>
      </c>
      <c r="AI505" s="2">
        <v>5.5</v>
      </c>
      <c r="AJ505" s="2">
        <v>8</v>
      </c>
      <c r="AK505" s="167">
        <v>6</v>
      </c>
      <c r="AL505" s="168">
        <v>7.0999999999999994E-2</v>
      </c>
      <c r="AM505" s="2">
        <v>195</v>
      </c>
      <c r="AN505" s="2">
        <v>285</v>
      </c>
      <c r="AO505" s="85">
        <v>5</v>
      </c>
      <c r="AP505" s="86">
        <v>100</v>
      </c>
      <c r="AQ505" s="149">
        <v>0.8</v>
      </c>
      <c r="AR505" s="2">
        <v>20</v>
      </c>
      <c r="AS505" s="2">
        <v>2.5</v>
      </c>
      <c r="AT505" s="2">
        <v>1</v>
      </c>
      <c r="AU505" s="4">
        <f t="shared" si="300"/>
        <v>200</v>
      </c>
      <c r="AV505" s="3">
        <f t="shared" si="289"/>
        <v>82</v>
      </c>
      <c r="AW505" s="2">
        <v>90</v>
      </c>
      <c r="AX505" s="3">
        <f t="shared" si="301"/>
        <v>180</v>
      </c>
      <c r="AY505" s="2">
        <v>4</v>
      </c>
      <c r="AZ505" s="4">
        <f t="shared" si="302"/>
        <v>720</v>
      </c>
      <c r="BA505" s="49">
        <v>0.8</v>
      </c>
      <c r="BB505" s="4">
        <f t="shared" si="303"/>
        <v>576</v>
      </c>
      <c r="BC505" s="150">
        <v>8.0000000000000002E-3</v>
      </c>
      <c r="BD505" s="69">
        <f>IFERROR(
  MAX(0.05, MIN(0.5, CropNorms_Wheat[[#This Row],[Leaf_Area_Per_Shoot_m2]] * CropNorms_Wheat[[#This Row],[Shoot_Bearing_m2]] )),
  0.2
)</f>
        <v>0.5</v>
      </c>
      <c r="BE505" s="4">
        <f>_xlfn.XLOOKUP(CropNorms_Wheat[[#This Row],[LAI_Start_BBCH]], CropPhenology_Wheat[Sub_Stage], CropPhenology_Wheat[Start_GDD], "Not Found")</f>
        <v>151</v>
      </c>
      <c r="BF505" s="3">
        <f t="shared" si="290"/>
        <v>4.6100000000000003</v>
      </c>
      <c r="BG50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H505" s="3">
        <f>IF(CropNorms_Wheat[[#This Row],[Max_LAI]]&gt;=1.2, 0.85*CropNorms_Wheat[[#This Row],[Max_LAI]], 1)</f>
        <v>3.9185000000000003</v>
      </c>
      <c r="BI505" s="41">
        <f>_xlfn.XLOOKUP(CropNorms_Wheat[[#This Row],[LAI_End_BBCH]], CropPhenology_Wheat[Sub_Stage], CropPhenology_Wheat[End_GDD], "Not Found")</f>
        <v>1500</v>
      </c>
      <c r="BJ505" s="3" cm="1">
        <f t="array" ref="BJ50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K505" s="3" cm="1">
        <f t="array" ref="BK50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L505" s="3" cm="1">
        <f t="array" ref="BL50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M505" s="3" cm="1">
        <f t="array" ref="BM50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IFERROR(N($AA$8),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N505" s="42">
        <v>0.41</v>
      </c>
      <c r="BO505" s="43">
        <v>0</v>
      </c>
      <c r="BP505" s="42">
        <v>3.3312499999999998</v>
      </c>
      <c r="BQ505" s="43" t="s">
        <v>1795</v>
      </c>
      <c r="BR505" s="3" t="str" cm="1">
        <f t="array" ref="BR50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S505" s="3" t="str" cm="1">
        <f t="array" ref="BS50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T505" s="3" t="str" cm="1">
        <f t="array" ref="BT50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U505" s="3" t="str" cm="1">
        <f t="array" ref="BU50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V505" s="48">
        <v>80</v>
      </c>
      <c r="BW505" s="1">
        <v>40</v>
      </c>
      <c r="BX505" s="44">
        <v>40</v>
      </c>
      <c r="BY505" s="151">
        <v>45962</v>
      </c>
      <c r="BZ505" s="151">
        <v>46022</v>
      </c>
      <c r="CA505" s="152">
        <v>0</v>
      </c>
      <c r="CB505" s="153">
        <v>0</v>
      </c>
      <c r="CC505" s="153">
        <v>1</v>
      </c>
      <c r="CD505" s="153">
        <v>1</v>
      </c>
      <c r="CE505" s="153">
        <v>1</v>
      </c>
      <c r="CF505" s="153">
        <v>0</v>
      </c>
      <c r="CG505" s="153">
        <v>0</v>
      </c>
      <c r="CH505" s="153">
        <v>0</v>
      </c>
      <c r="CI505" s="153">
        <v>0</v>
      </c>
      <c r="CJ505" s="153">
        <v>0</v>
      </c>
      <c r="CK505" s="153">
        <v>0</v>
      </c>
      <c r="CL505" s="153">
        <v>0</v>
      </c>
    </row>
  </sheetData>
  <pageMargins left="0.7" right="0.7" top="0.75" bottom="0.75" header="0.3" footer="0.3"/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B83E-2219-48A9-99DA-13B1B2FEB740}">
  <dimension ref="B1:I336"/>
  <sheetViews>
    <sheetView workbookViewId="0">
      <selection activeCell="I24" sqref="I24"/>
    </sheetView>
  </sheetViews>
  <sheetFormatPr defaultRowHeight="10.5" x14ac:dyDescent="0.15"/>
  <cols>
    <col min="1" max="1" width="9.140625" style="9"/>
    <col min="2" max="2" width="14" style="10" bestFit="1" customWidth="1"/>
    <col min="3" max="3" width="15.42578125" style="10" bestFit="1" customWidth="1"/>
    <col min="4" max="4" width="11.7109375" style="10" bestFit="1" customWidth="1"/>
    <col min="5" max="5" width="11.28515625" style="10" bestFit="1" customWidth="1"/>
    <col min="6" max="6" width="13.7109375" style="10" bestFit="1" customWidth="1"/>
    <col min="7" max="7" width="17.28515625" style="10" bestFit="1" customWidth="1"/>
    <col min="8" max="8" width="11.140625" style="10" bestFit="1" customWidth="1"/>
    <col min="9" max="9" width="30.7109375" style="9" bestFit="1" customWidth="1"/>
    <col min="10" max="16384" width="9.140625" style="9"/>
  </cols>
  <sheetData>
    <row r="1" spans="2:9" s="32" customFormat="1" x14ac:dyDescent="0.15">
      <c r="B1" s="11" t="s">
        <v>1909</v>
      </c>
      <c r="C1" s="11" t="s">
        <v>1910</v>
      </c>
      <c r="D1" s="11" t="s">
        <v>1911</v>
      </c>
      <c r="E1" s="11" t="s">
        <v>1912</v>
      </c>
      <c r="F1" s="11" t="s">
        <v>1913</v>
      </c>
      <c r="G1" s="11" t="s">
        <v>1914</v>
      </c>
      <c r="H1" s="11" t="s">
        <v>1915</v>
      </c>
      <c r="I1" s="32" t="s">
        <v>1916</v>
      </c>
    </row>
    <row r="2" spans="2:9" x14ac:dyDescent="0.15">
      <c r="B2" s="10" t="s">
        <v>1158</v>
      </c>
      <c r="C2" s="10" t="s">
        <v>1765</v>
      </c>
      <c r="D2" s="10" t="s">
        <v>1797</v>
      </c>
      <c r="E2" s="10" t="s">
        <v>1825</v>
      </c>
      <c r="F2" s="10">
        <v>0</v>
      </c>
      <c r="G2" s="10" t="s">
        <v>1922</v>
      </c>
      <c r="H2" s="10" t="s">
        <v>1920</v>
      </c>
      <c r="I2" s="9" t="s">
        <v>1923</v>
      </c>
    </row>
    <row r="3" spans="2:9" x14ac:dyDescent="0.15">
      <c r="B3" s="10" t="s">
        <v>1158</v>
      </c>
      <c r="C3" s="10" t="s">
        <v>1765</v>
      </c>
      <c r="D3" s="10" t="s">
        <v>1797</v>
      </c>
      <c r="E3" s="10" t="s">
        <v>1815</v>
      </c>
      <c r="F3" s="10">
        <v>0</v>
      </c>
      <c r="G3" s="10" t="s">
        <v>1922</v>
      </c>
      <c r="H3" s="10" t="s">
        <v>1920</v>
      </c>
      <c r="I3" s="9" t="s">
        <v>1924</v>
      </c>
    </row>
    <row r="4" spans="2:9" x14ac:dyDescent="0.15">
      <c r="B4" s="10" t="s">
        <v>1158</v>
      </c>
      <c r="C4" s="10" t="s">
        <v>1765</v>
      </c>
      <c r="D4" s="10" t="s">
        <v>1797</v>
      </c>
      <c r="E4" s="10" t="s">
        <v>1819</v>
      </c>
      <c r="F4" s="10">
        <v>0.5</v>
      </c>
      <c r="G4" s="10" t="s">
        <v>1919</v>
      </c>
      <c r="H4" s="10" t="s">
        <v>1920</v>
      </c>
      <c r="I4" s="9" t="s">
        <v>1921</v>
      </c>
    </row>
    <row r="5" spans="2:9" x14ac:dyDescent="0.15">
      <c r="B5" s="10" t="s">
        <v>1158</v>
      </c>
      <c r="C5" s="10" t="s">
        <v>1765</v>
      </c>
      <c r="D5" s="10" t="s">
        <v>1797</v>
      </c>
      <c r="E5" s="10" t="s">
        <v>1818</v>
      </c>
      <c r="F5" s="10">
        <v>1</v>
      </c>
      <c r="G5" s="10" t="s">
        <v>1917</v>
      </c>
      <c r="H5" s="10" t="s">
        <v>1918</v>
      </c>
    </row>
    <row r="6" spans="2:9" x14ac:dyDescent="0.15">
      <c r="B6" s="10" t="s">
        <v>1158</v>
      </c>
      <c r="C6" s="10" t="s">
        <v>1765</v>
      </c>
      <c r="D6" s="10" t="s">
        <v>1797</v>
      </c>
      <c r="E6" s="10" t="s">
        <v>1817</v>
      </c>
      <c r="F6" s="10">
        <v>1</v>
      </c>
      <c r="G6" s="10" t="s">
        <v>1917</v>
      </c>
      <c r="H6" s="10" t="s">
        <v>1918</v>
      </c>
    </row>
    <row r="7" spans="2:9" x14ac:dyDescent="0.15">
      <c r="B7" s="10" t="s">
        <v>1186</v>
      </c>
      <c r="C7" s="10" t="s">
        <v>1763</v>
      </c>
      <c r="D7" s="10" t="s">
        <v>1741</v>
      </c>
      <c r="E7" s="10" t="s">
        <v>1815</v>
      </c>
      <c r="F7" s="10">
        <v>0</v>
      </c>
      <c r="G7" s="10" t="s">
        <v>1922</v>
      </c>
      <c r="H7" s="10" t="s">
        <v>1920</v>
      </c>
      <c r="I7" s="9" t="s">
        <v>1927</v>
      </c>
    </row>
    <row r="8" spans="2:9" x14ac:dyDescent="0.15">
      <c r="B8" s="10" t="s">
        <v>1186</v>
      </c>
      <c r="C8" s="10" t="s">
        <v>1763</v>
      </c>
      <c r="D8" s="10" t="s">
        <v>1741</v>
      </c>
      <c r="E8" s="10" t="s">
        <v>1928</v>
      </c>
      <c r="F8" s="10">
        <v>0</v>
      </c>
      <c r="G8" s="10" t="s">
        <v>1922</v>
      </c>
      <c r="H8" s="10" t="s">
        <v>1920</v>
      </c>
      <c r="I8" s="9" t="s">
        <v>1929</v>
      </c>
    </row>
    <row r="9" spans="2:9" x14ac:dyDescent="0.15">
      <c r="B9" s="10" t="s">
        <v>1186</v>
      </c>
      <c r="C9" s="10" t="s">
        <v>1763</v>
      </c>
      <c r="D9" s="10" t="s">
        <v>1741</v>
      </c>
      <c r="E9" s="10" t="s">
        <v>1817</v>
      </c>
      <c r="F9" s="10">
        <v>0.5</v>
      </c>
      <c r="G9" s="10" t="s">
        <v>1919</v>
      </c>
      <c r="H9" s="10" t="s">
        <v>1920</v>
      </c>
      <c r="I9" s="9" t="s">
        <v>1926</v>
      </c>
    </row>
    <row r="10" spans="2:9" x14ac:dyDescent="0.15">
      <c r="B10" s="10" t="s">
        <v>1186</v>
      </c>
      <c r="C10" s="10" t="s">
        <v>1763</v>
      </c>
      <c r="D10" s="10" t="s">
        <v>1741</v>
      </c>
      <c r="E10" s="10" t="s">
        <v>1818</v>
      </c>
      <c r="F10" s="10">
        <v>1</v>
      </c>
      <c r="G10" s="10" t="s">
        <v>1917</v>
      </c>
      <c r="H10" s="10" t="s">
        <v>1918</v>
      </c>
    </row>
    <row r="11" spans="2:9" x14ac:dyDescent="0.15">
      <c r="B11" s="10" t="s">
        <v>1186</v>
      </c>
      <c r="C11" s="10" t="s">
        <v>1763</v>
      </c>
      <c r="D11" s="10" t="s">
        <v>1741</v>
      </c>
      <c r="E11" s="10" t="s">
        <v>1820</v>
      </c>
      <c r="F11" s="10">
        <v>1</v>
      </c>
      <c r="G11" s="10" t="s">
        <v>1917</v>
      </c>
      <c r="H11" s="10" t="s">
        <v>1920</v>
      </c>
      <c r="I11" s="9" t="s">
        <v>1925</v>
      </c>
    </row>
    <row r="12" spans="2:9" x14ac:dyDescent="0.15">
      <c r="B12" s="10" t="s">
        <v>694</v>
      </c>
      <c r="C12" s="10" t="s">
        <v>1748</v>
      </c>
      <c r="D12" s="10" t="s">
        <v>1795</v>
      </c>
      <c r="E12" s="10" t="s">
        <v>1815</v>
      </c>
      <c r="F12" s="10">
        <v>0</v>
      </c>
      <c r="G12" s="10" t="s">
        <v>1922</v>
      </c>
      <c r="H12" s="10" t="s">
        <v>1920</v>
      </c>
      <c r="I12" s="9" t="s">
        <v>1932</v>
      </c>
    </row>
    <row r="13" spans="2:9" x14ac:dyDescent="0.15">
      <c r="B13" s="10" t="s">
        <v>694</v>
      </c>
      <c r="C13" s="10" t="s">
        <v>1748</v>
      </c>
      <c r="D13" s="10" t="s">
        <v>1795</v>
      </c>
      <c r="E13" s="10" t="s">
        <v>1820</v>
      </c>
      <c r="F13" s="10">
        <v>0.5</v>
      </c>
      <c r="G13" s="10" t="s">
        <v>1919</v>
      </c>
      <c r="H13" s="10" t="s">
        <v>1920</v>
      </c>
      <c r="I13" s="9" t="s">
        <v>1931</v>
      </c>
    </row>
    <row r="14" spans="2:9" x14ac:dyDescent="0.15">
      <c r="B14" s="10" t="s">
        <v>694</v>
      </c>
      <c r="C14" s="10" t="s">
        <v>1748</v>
      </c>
      <c r="D14" s="10" t="s">
        <v>1795</v>
      </c>
      <c r="E14" s="10" t="s">
        <v>1818</v>
      </c>
      <c r="F14" s="10">
        <v>1</v>
      </c>
      <c r="G14" s="10" t="s">
        <v>1917</v>
      </c>
      <c r="H14" s="10" t="s">
        <v>1918</v>
      </c>
    </row>
    <row r="15" spans="2:9" x14ac:dyDescent="0.15">
      <c r="B15" s="10" t="s">
        <v>694</v>
      </c>
      <c r="C15" s="10" t="s">
        <v>1748</v>
      </c>
      <c r="D15" s="10" t="s">
        <v>1795</v>
      </c>
      <c r="E15" s="10" t="s">
        <v>1817</v>
      </c>
      <c r="F15" s="10">
        <v>1</v>
      </c>
      <c r="G15" s="10" t="s">
        <v>1917</v>
      </c>
      <c r="H15" s="10" t="s">
        <v>1918</v>
      </c>
    </row>
    <row r="16" spans="2:9" x14ac:dyDescent="0.15">
      <c r="B16" s="10" t="s">
        <v>694</v>
      </c>
      <c r="C16" s="10" t="s">
        <v>1748</v>
      </c>
      <c r="D16" s="10" t="s">
        <v>1795</v>
      </c>
      <c r="E16" s="10" t="s">
        <v>1819</v>
      </c>
      <c r="F16" s="10">
        <v>1</v>
      </c>
      <c r="G16" s="10" t="s">
        <v>1917</v>
      </c>
      <c r="H16" s="10" t="s">
        <v>1920</v>
      </c>
      <c r="I16" s="9" t="s">
        <v>1930</v>
      </c>
    </row>
    <row r="17" spans="2:9" x14ac:dyDescent="0.15">
      <c r="B17" s="10" t="s">
        <v>1766</v>
      </c>
      <c r="C17" s="10" t="s">
        <v>1763</v>
      </c>
      <c r="D17" s="10" t="s">
        <v>1741</v>
      </c>
      <c r="E17" s="10" t="s">
        <v>1825</v>
      </c>
      <c r="F17" s="10">
        <v>0</v>
      </c>
      <c r="G17" s="10" t="s">
        <v>1922</v>
      </c>
      <c r="H17" s="10" t="s">
        <v>1920</v>
      </c>
      <c r="I17" s="9" t="s">
        <v>1923</v>
      </c>
    </row>
    <row r="18" spans="2:9" x14ac:dyDescent="0.15">
      <c r="B18" s="10" t="s">
        <v>1766</v>
      </c>
      <c r="C18" s="10" t="s">
        <v>1763</v>
      </c>
      <c r="D18" s="10" t="s">
        <v>1741</v>
      </c>
      <c r="E18" s="10" t="s">
        <v>1815</v>
      </c>
      <c r="F18" s="10">
        <v>0</v>
      </c>
      <c r="G18" s="10" t="s">
        <v>1922</v>
      </c>
      <c r="H18" s="10" t="s">
        <v>1920</v>
      </c>
      <c r="I18" s="9" t="s">
        <v>1926</v>
      </c>
    </row>
    <row r="19" spans="2:9" x14ac:dyDescent="0.15">
      <c r="B19" s="10" t="s">
        <v>1766</v>
      </c>
      <c r="C19" s="10" t="s">
        <v>1763</v>
      </c>
      <c r="D19" s="10" t="s">
        <v>1741</v>
      </c>
      <c r="E19" s="10" t="s">
        <v>1819</v>
      </c>
      <c r="F19" s="10">
        <v>0.5</v>
      </c>
      <c r="G19" s="10" t="s">
        <v>1919</v>
      </c>
      <c r="H19" s="10" t="s">
        <v>1920</v>
      </c>
      <c r="I19" s="9" t="s">
        <v>1933</v>
      </c>
    </row>
    <row r="20" spans="2:9" x14ac:dyDescent="0.15">
      <c r="B20" s="10" t="s">
        <v>1766</v>
      </c>
      <c r="C20" s="10" t="s">
        <v>1763</v>
      </c>
      <c r="D20" s="10" t="s">
        <v>1741</v>
      </c>
      <c r="E20" s="10" t="s">
        <v>1818</v>
      </c>
      <c r="F20" s="10">
        <v>1</v>
      </c>
      <c r="G20" s="10" t="s">
        <v>1917</v>
      </c>
      <c r="H20" s="10" t="s">
        <v>1918</v>
      </c>
    </row>
    <row r="21" spans="2:9" x14ac:dyDescent="0.15">
      <c r="B21" s="10" t="s">
        <v>1766</v>
      </c>
      <c r="C21" s="10" t="s">
        <v>1763</v>
      </c>
      <c r="D21" s="10" t="s">
        <v>1741</v>
      </c>
      <c r="E21" s="10" t="s">
        <v>1817</v>
      </c>
      <c r="F21" s="10">
        <v>1</v>
      </c>
      <c r="G21" s="10" t="s">
        <v>1917</v>
      </c>
      <c r="H21" s="10" t="s">
        <v>1918</v>
      </c>
    </row>
    <row r="22" spans="2:9" x14ac:dyDescent="0.15">
      <c r="B22" s="10" t="s">
        <v>701</v>
      </c>
      <c r="C22" s="10" t="s">
        <v>1763</v>
      </c>
      <c r="D22" s="10" t="s">
        <v>1741</v>
      </c>
      <c r="E22" s="10" t="s">
        <v>1815</v>
      </c>
      <c r="F22" s="10">
        <v>0</v>
      </c>
      <c r="G22" s="10" t="s">
        <v>1922</v>
      </c>
      <c r="H22" s="10" t="s">
        <v>1920</v>
      </c>
      <c r="I22" s="9" t="s">
        <v>1936</v>
      </c>
    </row>
    <row r="23" spans="2:9" x14ac:dyDescent="0.15">
      <c r="B23" s="10" t="s">
        <v>701</v>
      </c>
      <c r="C23" s="10" t="s">
        <v>1763</v>
      </c>
      <c r="D23" s="10" t="s">
        <v>1741</v>
      </c>
      <c r="E23" s="10" t="s">
        <v>1819</v>
      </c>
      <c r="F23" s="10">
        <v>0.5</v>
      </c>
      <c r="G23" s="10" t="s">
        <v>1919</v>
      </c>
      <c r="H23" s="10" t="s">
        <v>1920</v>
      </c>
      <c r="I23" s="9" t="s">
        <v>1934</v>
      </c>
    </row>
    <row r="24" spans="2:9" x14ac:dyDescent="0.15">
      <c r="B24" s="10" t="s">
        <v>701</v>
      </c>
      <c r="C24" s="10" t="s">
        <v>1763</v>
      </c>
      <c r="D24" s="10" t="s">
        <v>1741</v>
      </c>
      <c r="E24" s="10" t="s">
        <v>1820</v>
      </c>
      <c r="F24" s="10">
        <v>0.5</v>
      </c>
      <c r="G24" s="10" t="s">
        <v>1919</v>
      </c>
      <c r="H24" s="10" t="s">
        <v>1920</v>
      </c>
      <c r="I24" s="9" t="s">
        <v>1935</v>
      </c>
    </row>
    <row r="25" spans="2:9" x14ac:dyDescent="0.15">
      <c r="B25" s="10" t="s">
        <v>701</v>
      </c>
      <c r="C25" s="10" t="s">
        <v>1763</v>
      </c>
      <c r="D25" s="10" t="s">
        <v>1741</v>
      </c>
      <c r="E25" s="10" t="s">
        <v>1818</v>
      </c>
      <c r="F25" s="10">
        <v>1</v>
      </c>
      <c r="G25" s="10" t="s">
        <v>1917</v>
      </c>
      <c r="H25" s="10" t="s">
        <v>1918</v>
      </c>
    </row>
    <row r="26" spans="2:9" x14ac:dyDescent="0.15">
      <c r="B26" s="10" t="s">
        <v>701</v>
      </c>
      <c r="C26" s="10" t="s">
        <v>1763</v>
      </c>
      <c r="D26" s="10" t="s">
        <v>1741</v>
      </c>
      <c r="E26" s="10" t="s">
        <v>1817</v>
      </c>
      <c r="F26" s="10">
        <v>1</v>
      </c>
      <c r="G26" s="10" t="s">
        <v>1917</v>
      </c>
      <c r="H26" s="10" t="s">
        <v>1918</v>
      </c>
    </row>
    <row r="27" spans="2:9" x14ac:dyDescent="0.15">
      <c r="B27" s="10" t="s">
        <v>703</v>
      </c>
      <c r="C27" s="10" t="s">
        <v>1767</v>
      </c>
      <c r="D27" s="10" t="s">
        <v>1796</v>
      </c>
      <c r="E27" s="10" t="s">
        <v>1825</v>
      </c>
      <c r="F27" s="10">
        <v>0</v>
      </c>
      <c r="G27" s="10" t="s">
        <v>1922</v>
      </c>
      <c r="H27" s="10" t="s">
        <v>1920</v>
      </c>
      <c r="I27" s="9" t="s">
        <v>1938</v>
      </c>
    </row>
    <row r="28" spans="2:9" x14ac:dyDescent="0.15">
      <c r="B28" s="10" t="s">
        <v>703</v>
      </c>
      <c r="C28" s="10" t="s">
        <v>1767</v>
      </c>
      <c r="D28" s="10" t="s">
        <v>1796</v>
      </c>
      <c r="E28" s="10" t="s">
        <v>1815</v>
      </c>
      <c r="F28" s="10">
        <v>0</v>
      </c>
      <c r="G28" s="10" t="s">
        <v>1922</v>
      </c>
      <c r="H28" s="10" t="s">
        <v>1920</v>
      </c>
      <c r="I28" s="9" t="s">
        <v>1932</v>
      </c>
    </row>
    <row r="29" spans="2:9" x14ac:dyDescent="0.15">
      <c r="B29" s="10" t="s">
        <v>703</v>
      </c>
      <c r="C29" s="10" t="s">
        <v>1767</v>
      </c>
      <c r="D29" s="10" t="s">
        <v>1796</v>
      </c>
      <c r="E29" s="10" t="s">
        <v>1819</v>
      </c>
      <c r="F29" s="10">
        <v>0.5</v>
      </c>
      <c r="G29" s="10" t="s">
        <v>1919</v>
      </c>
      <c r="H29" s="10" t="s">
        <v>1920</v>
      </c>
      <c r="I29" s="9" t="s">
        <v>1937</v>
      </c>
    </row>
    <row r="30" spans="2:9" x14ac:dyDescent="0.15">
      <c r="B30" s="10" t="s">
        <v>703</v>
      </c>
      <c r="C30" s="10" t="s">
        <v>1767</v>
      </c>
      <c r="D30" s="10" t="s">
        <v>1796</v>
      </c>
      <c r="E30" s="10" t="s">
        <v>1818</v>
      </c>
      <c r="F30" s="10">
        <v>1</v>
      </c>
      <c r="G30" s="10" t="s">
        <v>1917</v>
      </c>
      <c r="H30" s="10" t="s">
        <v>1918</v>
      </c>
    </row>
    <row r="31" spans="2:9" x14ac:dyDescent="0.15">
      <c r="B31" s="10" t="s">
        <v>703</v>
      </c>
      <c r="C31" s="10" t="s">
        <v>1767</v>
      </c>
      <c r="D31" s="10" t="s">
        <v>1796</v>
      </c>
      <c r="E31" s="10" t="s">
        <v>1817</v>
      </c>
      <c r="F31" s="10">
        <v>1</v>
      </c>
      <c r="G31" s="10" t="s">
        <v>1917</v>
      </c>
      <c r="H31" s="10" t="s">
        <v>1918</v>
      </c>
    </row>
    <row r="32" spans="2:9" x14ac:dyDescent="0.15">
      <c r="B32" s="10" t="s">
        <v>1315</v>
      </c>
      <c r="C32" s="10" t="s">
        <v>1748</v>
      </c>
      <c r="D32" s="10" t="s">
        <v>1795</v>
      </c>
      <c r="E32" s="10" t="s">
        <v>1825</v>
      </c>
      <c r="F32" s="10">
        <v>0</v>
      </c>
      <c r="G32" s="10" t="s">
        <v>1922</v>
      </c>
      <c r="H32" s="10" t="s">
        <v>1920</v>
      </c>
      <c r="I32" s="9" t="s">
        <v>1931</v>
      </c>
    </row>
    <row r="33" spans="2:9" x14ac:dyDescent="0.15">
      <c r="B33" s="10" t="s">
        <v>1315</v>
      </c>
      <c r="C33" s="10" t="s">
        <v>1748</v>
      </c>
      <c r="D33" s="10" t="s">
        <v>1795</v>
      </c>
      <c r="E33" s="10" t="s">
        <v>1815</v>
      </c>
      <c r="F33" s="10">
        <v>0</v>
      </c>
      <c r="G33" s="10" t="s">
        <v>1922</v>
      </c>
      <c r="H33" s="10" t="s">
        <v>1920</v>
      </c>
      <c r="I33" s="9" t="s">
        <v>1939</v>
      </c>
    </row>
    <row r="34" spans="2:9" x14ac:dyDescent="0.15">
      <c r="B34" s="10" t="s">
        <v>1315</v>
      </c>
      <c r="C34" s="10" t="s">
        <v>1748</v>
      </c>
      <c r="D34" s="10" t="s">
        <v>1795</v>
      </c>
      <c r="E34" s="10" t="s">
        <v>1819</v>
      </c>
      <c r="F34" s="10">
        <v>0.5</v>
      </c>
      <c r="G34" s="10" t="s">
        <v>1919</v>
      </c>
      <c r="H34" s="10" t="s">
        <v>1920</v>
      </c>
      <c r="I34" s="9" t="s">
        <v>1921</v>
      </c>
    </row>
    <row r="35" spans="2:9" x14ac:dyDescent="0.15">
      <c r="B35" s="10" t="s">
        <v>1315</v>
      </c>
      <c r="C35" s="10" t="s">
        <v>1748</v>
      </c>
      <c r="D35" s="10" t="s">
        <v>1795</v>
      </c>
      <c r="E35" s="10" t="s">
        <v>1818</v>
      </c>
      <c r="F35" s="10">
        <v>1</v>
      </c>
      <c r="G35" s="10" t="s">
        <v>1917</v>
      </c>
      <c r="H35" s="10" t="s">
        <v>1918</v>
      </c>
    </row>
    <row r="36" spans="2:9" x14ac:dyDescent="0.15">
      <c r="B36" s="10" t="s">
        <v>1315</v>
      </c>
      <c r="C36" s="10" t="s">
        <v>1748</v>
      </c>
      <c r="D36" s="10" t="s">
        <v>1795</v>
      </c>
      <c r="E36" s="10" t="s">
        <v>1817</v>
      </c>
      <c r="F36" s="10">
        <v>1</v>
      </c>
      <c r="G36" s="10" t="s">
        <v>1917</v>
      </c>
      <c r="H36" s="10" t="s">
        <v>1918</v>
      </c>
    </row>
    <row r="37" spans="2:9" x14ac:dyDescent="0.15">
      <c r="B37" s="10" t="s">
        <v>704</v>
      </c>
      <c r="C37" s="10" t="s">
        <v>1767</v>
      </c>
      <c r="D37" s="10" t="s">
        <v>1799</v>
      </c>
      <c r="E37" s="10" t="s">
        <v>1825</v>
      </c>
      <c r="F37" s="10">
        <v>0</v>
      </c>
      <c r="G37" s="10" t="s">
        <v>1922</v>
      </c>
      <c r="H37" s="10" t="s">
        <v>1920</v>
      </c>
      <c r="I37" s="9" t="s">
        <v>1941</v>
      </c>
    </row>
    <row r="38" spans="2:9" x14ac:dyDescent="0.15">
      <c r="B38" s="10" t="s">
        <v>704</v>
      </c>
      <c r="C38" s="10" t="s">
        <v>1767</v>
      </c>
      <c r="D38" s="10" t="s">
        <v>1799</v>
      </c>
      <c r="E38" s="10" t="s">
        <v>1815</v>
      </c>
      <c r="F38" s="10">
        <v>0</v>
      </c>
      <c r="G38" s="10" t="s">
        <v>1922</v>
      </c>
      <c r="H38" s="10" t="s">
        <v>1920</v>
      </c>
      <c r="I38" s="9" t="s">
        <v>1932</v>
      </c>
    </row>
    <row r="39" spans="2:9" x14ac:dyDescent="0.15">
      <c r="B39" s="10" t="s">
        <v>704</v>
      </c>
      <c r="C39" s="10" t="s">
        <v>1767</v>
      </c>
      <c r="D39" s="10" t="s">
        <v>1799</v>
      </c>
      <c r="E39" s="10" t="s">
        <v>1819</v>
      </c>
      <c r="F39" s="10">
        <v>0.5</v>
      </c>
      <c r="G39" s="10" t="s">
        <v>1919</v>
      </c>
      <c r="H39" s="10" t="s">
        <v>1920</v>
      </c>
      <c r="I39" s="9" t="s">
        <v>1940</v>
      </c>
    </row>
    <row r="40" spans="2:9" x14ac:dyDescent="0.15">
      <c r="B40" s="10" t="s">
        <v>704</v>
      </c>
      <c r="C40" s="10" t="s">
        <v>1767</v>
      </c>
      <c r="D40" s="10" t="s">
        <v>1799</v>
      </c>
      <c r="E40" s="10" t="s">
        <v>1818</v>
      </c>
      <c r="F40" s="10">
        <v>1</v>
      </c>
      <c r="G40" s="10" t="s">
        <v>1917</v>
      </c>
      <c r="H40" s="10" t="s">
        <v>1918</v>
      </c>
    </row>
    <row r="41" spans="2:9" x14ac:dyDescent="0.15">
      <c r="B41" s="10" t="s">
        <v>704</v>
      </c>
      <c r="C41" s="10" t="s">
        <v>1767</v>
      </c>
      <c r="D41" s="10" t="s">
        <v>1799</v>
      </c>
      <c r="E41" s="10" t="s">
        <v>1817</v>
      </c>
      <c r="F41" s="10">
        <v>1</v>
      </c>
      <c r="G41" s="10" t="s">
        <v>1917</v>
      </c>
      <c r="H41" s="10" t="s">
        <v>1918</v>
      </c>
    </row>
    <row r="42" spans="2:9" x14ac:dyDescent="0.15">
      <c r="B42" s="10" t="s">
        <v>1768</v>
      </c>
      <c r="C42" s="10" t="s">
        <v>1748</v>
      </c>
      <c r="D42" s="10" t="s">
        <v>1795</v>
      </c>
      <c r="E42" s="10" t="s">
        <v>1825</v>
      </c>
      <c r="F42" s="10">
        <v>0</v>
      </c>
      <c r="G42" s="10" t="s">
        <v>1922</v>
      </c>
      <c r="H42" s="10" t="s">
        <v>1920</v>
      </c>
      <c r="I42" s="9" t="s">
        <v>1923</v>
      </c>
    </row>
    <row r="43" spans="2:9" x14ac:dyDescent="0.15">
      <c r="B43" s="10" t="s">
        <v>1768</v>
      </c>
      <c r="C43" s="10" t="s">
        <v>1748</v>
      </c>
      <c r="D43" s="10" t="s">
        <v>1795</v>
      </c>
      <c r="E43" s="10" t="s">
        <v>1815</v>
      </c>
      <c r="F43" s="10">
        <v>0</v>
      </c>
      <c r="G43" s="10" t="s">
        <v>1922</v>
      </c>
      <c r="H43" s="10" t="s">
        <v>1920</v>
      </c>
      <c r="I43" s="9" t="s">
        <v>1942</v>
      </c>
    </row>
    <row r="44" spans="2:9" x14ac:dyDescent="0.15">
      <c r="B44" s="10" t="s">
        <v>1768</v>
      </c>
      <c r="C44" s="10" t="s">
        <v>1748</v>
      </c>
      <c r="D44" s="10" t="s">
        <v>1795</v>
      </c>
      <c r="E44" s="10" t="s">
        <v>1819</v>
      </c>
      <c r="F44" s="10">
        <v>0.5</v>
      </c>
      <c r="G44" s="10" t="s">
        <v>1919</v>
      </c>
      <c r="H44" s="10" t="s">
        <v>1920</v>
      </c>
      <c r="I44" s="9" t="s">
        <v>1921</v>
      </c>
    </row>
    <row r="45" spans="2:9" x14ac:dyDescent="0.15">
      <c r="B45" s="10" t="s">
        <v>1768</v>
      </c>
      <c r="C45" s="10" t="s">
        <v>1748</v>
      </c>
      <c r="D45" s="10" t="s">
        <v>1795</v>
      </c>
      <c r="E45" s="10" t="s">
        <v>1818</v>
      </c>
      <c r="F45" s="10">
        <v>1</v>
      </c>
      <c r="G45" s="10" t="s">
        <v>1917</v>
      </c>
      <c r="H45" s="10" t="s">
        <v>1918</v>
      </c>
    </row>
    <row r="46" spans="2:9" x14ac:dyDescent="0.15">
      <c r="B46" s="10" t="s">
        <v>1768</v>
      </c>
      <c r="C46" s="10" t="s">
        <v>1748</v>
      </c>
      <c r="D46" s="10" t="s">
        <v>1795</v>
      </c>
      <c r="E46" s="10" t="s">
        <v>1817</v>
      </c>
      <c r="F46" s="10">
        <v>1</v>
      </c>
      <c r="G46" s="10" t="s">
        <v>1917</v>
      </c>
      <c r="H46" s="10" t="s">
        <v>1918</v>
      </c>
    </row>
    <row r="47" spans="2:9" x14ac:dyDescent="0.15">
      <c r="B47" s="10" t="s">
        <v>728</v>
      </c>
      <c r="C47" s="10" t="s">
        <v>1769</v>
      </c>
      <c r="D47" s="10" t="s">
        <v>1745</v>
      </c>
      <c r="E47" s="10" t="s">
        <v>1825</v>
      </c>
      <c r="F47" s="10">
        <v>0</v>
      </c>
      <c r="G47" s="10" t="s">
        <v>1922</v>
      </c>
      <c r="H47" s="10" t="s">
        <v>1920</v>
      </c>
      <c r="I47" s="9" t="s">
        <v>1923</v>
      </c>
    </row>
    <row r="48" spans="2:9" x14ac:dyDescent="0.15">
      <c r="B48" s="10" t="s">
        <v>728</v>
      </c>
      <c r="C48" s="10" t="s">
        <v>1769</v>
      </c>
      <c r="D48" s="10" t="s">
        <v>1745</v>
      </c>
      <c r="E48" s="10" t="s">
        <v>1815</v>
      </c>
      <c r="F48" s="10">
        <v>0</v>
      </c>
      <c r="G48" s="10" t="s">
        <v>1922</v>
      </c>
      <c r="H48" s="10" t="s">
        <v>1920</v>
      </c>
      <c r="I48" s="9" t="s">
        <v>1932</v>
      </c>
    </row>
    <row r="49" spans="2:9" x14ac:dyDescent="0.15">
      <c r="B49" s="10" t="s">
        <v>728</v>
      </c>
      <c r="C49" s="10" t="s">
        <v>1769</v>
      </c>
      <c r="D49" s="10" t="s">
        <v>1745</v>
      </c>
      <c r="E49" s="10" t="s">
        <v>1820</v>
      </c>
      <c r="F49" s="10">
        <v>0.5</v>
      </c>
      <c r="G49" s="10" t="s">
        <v>1919</v>
      </c>
      <c r="H49" s="10" t="s">
        <v>1920</v>
      </c>
      <c r="I49" s="9" t="s">
        <v>1943</v>
      </c>
    </row>
    <row r="50" spans="2:9" x14ac:dyDescent="0.15">
      <c r="B50" s="10" t="s">
        <v>728</v>
      </c>
      <c r="C50" s="10" t="s">
        <v>1769</v>
      </c>
      <c r="D50" s="10" t="s">
        <v>1745</v>
      </c>
      <c r="E50" s="10" t="s">
        <v>1819</v>
      </c>
      <c r="F50" s="10">
        <v>0.5</v>
      </c>
      <c r="G50" s="10" t="s">
        <v>1919</v>
      </c>
      <c r="H50" s="10" t="s">
        <v>1920</v>
      </c>
      <c r="I50" s="9" t="s">
        <v>1940</v>
      </c>
    </row>
    <row r="51" spans="2:9" x14ac:dyDescent="0.15">
      <c r="B51" s="10" t="s">
        <v>728</v>
      </c>
      <c r="C51" s="10" t="s">
        <v>1769</v>
      </c>
      <c r="D51" s="10" t="s">
        <v>1745</v>
      </c>
      <c r="E51" s="10" t="s">
        <v>1818</v>
      </c>
      <c r="F51" s="10">
        <v>1</v>
      </c>
      <c r="G51" s="10" t="s">
        <v>1917</v>
      </c>
      <c r="H51" s="10" t="s">
        <v>1918</v>
      </c>
    </row>
    <row r="52" spans="2:9" x14ac:dyDescent="0.15">
      <c r="B52" s="10" t="s">
        <v>728</v>
      </c>
      <c r="C52" s="10" t="s">
        <v>1769</v>
      </c>
      <c r="D52" s="10" t="s">
        <v>1745</v>
      </c>
      <c r="E52" s="10" t="s">
        <v>1817</v>
      </c>
      <c r="F52" s="10">
        <v>1</v>
      </c>
      <c r="G52" s="10" t="s">
        <v>1917</v>
      </c>
      <c r="H52" s="10" t="s">
        <v>1918</v>
      </c>
    </row>
    <row r="53" spans="2:9" x14ac:dyDescent="0.15">
      <c r="B53" s="10" t="s">
        <v>730</v>
      </c>
      <c r="C53" s="10" t="s">
        <v>1770</v>
      </c>
      <c r="D53" s="10" t="s">
        <v>1786</v>
      </c>
      <c r="E53" s="10" t="s">
        <v>1825</v>
      </c>
      <c r="F53" s="10">
        <v>0</v>
      </c>
      <c r="G53" s="10" t="s">
        <v>1922</v>
      </c>
      <c r="H53" s="10" t="s">
        <v>1920</v>
      </c>
      <c r="I53" s="9" t="s">
        <v>1945</v>
      </c>
    </row>
    <row r="54" spans="2:9" x14ac:dyDescent="0.15">
      <c r="B54" s="10" t="s">
        <v>730</v>
      </c>
      <c r="C54" s="10" t="s">
        <v>1770</v>
      </c>
      <c r="D54" s="10" t="s">
        <v>1786</v>
      </c>
      <c r="E54" s="10" t="s">
        <v>1815</v>
      </c>
      <c r="F54" s="10">
        <v>0</v>
      </c>
      <c r="G54" s="10" t="s">
        <v>1922</v>
      </c>
      <c r="H54" s="10" t="s">
        <v>1920</v>
      </c>
      <c r="I54" s="9" t="s">
        <v>1946</v>
      </c>
    </row>
    <row r="55" spans="2:9" x14ac:dyDescent="0.15">
      <c r="B55" s="10" t="s">
        <v>730</v>
      </c>
      <c r="C55" s="10" t="s">
        <v>1770</v>
      </c>
      <c r="D55" s="10" t="s">
        <v>1786</v>
      </c>
      <c r="E55" s="10" t="s">
        <v>1819</v>
      </c>
      <c r="F55" s="10">
        <v>0.5</v>
      </c>
      <c r="G55" s="10" t="s">
        <v>1919</v>
      </c>
      <c r="H55" s="10" t="s">
        <v>1920</v>
      </c>
      <c r="I55" s="9" t="s">
        <v>1944</v>
      </c>
    </row>
    <row r="56" spans="2:9" x14ac:dyDescent="0.15">
      <c r="B56" s="10" t="s">
        <v>730</v>
      </c>
      <c r="C56" s="10" t="s">
        <v>1770</v>
      </c>
      <c r="D56" s="10" t="s">
        <v>1786</v>
      </c>
      <c r="E56" s="10" t="s">
        <v>1817</v>
      </c>
      <c r="F56" s="10">
        <v>1</v>
      </c>
      <c r="G56" s="10" t="s">
        <v>1917</v>
      </c>
      <c r="H56" s="10" t="s">
        <v>1918</v>
      </c>
    </row>
    <row r="57" spans="2:9" x14ac:dyDescent="0.15">
      <c r="B57" s="10" t="s">
        <v>730</v>
      </c>
      <c r="C57" s="10" t="s">
        <v>1770</v>
      </c>
      <c r="D57" s="10" t="s">
        <v>1786</v>
      </c>
      <c r="E57" s="10" t="s">
        <v>1818</v>
      </c>
      <c r="F57" s="10">
        <v>1</v>
      </c>
      <c r="G57" s="10" t="s">
        <v>1917</v>
      </c>
      <c r="H57" s="10" t="s">
        <v>1918</v>
      </c>
    </row>
    <row r="58" spans="2:9" x14ac:dyDescent="0.15">
      <c r="B58" s="10" t="s">
        <v>1214</v>
      </c>
      <c r="C58" s="10" t="s">
        <v>1770</v>
      </c>
      <c r="D58" s="10" t="s">
        <v>1787</v>
      </c>
      <c r="E58" s="10" t="s">
        <v>1825</v>
      </c>
      <c r="F58" s="10">
        <v>0</v>
      </c>
      <c r="G58" s="10" t="s">
        <v>1922</v>
      </c>
      <c r="H58" s="10" t="s">
        <v>1920</v>
      </c>
      <c r="I58" s="9" t="s">
        <v>1923</v>
      </c>
    </row>
    <row r="59" spans="2:9" x14ac:dyDescent="0.15">
      <c r="B59" s="10" t="s">
        <v>1214</v>
      </c>
      <c r="C59" s="10" t="s">
        <v>1770</v>
      </c>
      <c r="D59" s="10" t="s">
        <v>1787</v>
      </c>
      <c r="E59" s="10" t="s">
        <v>1815</v>
      </c>
      <c r="F59" s="10">
        <v>0</v>
      </c>
      <c r="G59" s="10" t="s">
        <v>1922</v>
      </c>
      <c r="H59" s="10" t="s">
        <v>1920</v>
      </c>
      <c r="I59" s="9" t="s">
        <v>1932</v>
      </c>
    </row>
    <row r="60" spans="2:9" x14ac:dyDescent="0.15">
      <c r="B60" s="10" t="s">
        <v>1214</v>
      </c>
      <c r="C60" s="10" t="s">
        <v>1770</v>
      </c>
      <c r="D60" s="10" t="s">
        <v>1787</v>
      </c>
      <c r="E60" s="10" t="s">
        <v>1819</v>
      </c>
      <c r="F60" s="10">
        <v>0.5</v>
      </c>
      <c r="G60" s="10" t="s">
        <v>1919</v>
      </c>
      <c r="H60" s="10" t="s">
        <v>1920</v>
      </c>
      <c r="I60" s="9" t="s">
        <v>1947</v>
      </c>
    </row>
    <row r="61" spans="2:9" x14ac:dyDescent="0.15">
      <c r="B61" s="10" t="s">
        <v>1214</v>
      </c>
      <c r="C61" s="10" t="s">
        <v>1770</v>
      </c>
      <c r="D61" s="10" t="s">
        <v>1787</v>
      </c>
      <c r="E61" s="10" t="s">
        <v>1817</v>
      </c>
      <c r="F61" s="10">
        <v>1</v>
      </c>
      <c r="G61" s="10" t="s">
        <v>1917</v>
      </c>
      <c r="H61" s="10" t="s">
        <v>1918</v>
      </c>
    </row>
    <row r="62" spans="2:9" x14ac:dyDescent="0.15">
      <c r="B62" s="10" t="s">
        <v>1214</v>
      </c>
      <c r="C62" s="10" t="s">
        <v>1770</v>
      </c>
      <c r="D62" s="10" t="s">
        <v>1787</v>
      </c>
      <c r="E62" s="10" t="s">
        <v>1818</v>
      </c>
      <c r="F62" s="10">
        <v>1</v>
      </c>
      <c r="G62" s="10" t="s">
        <v>1917</v>
      </c>
      <c r="H62" s="10" t="s">
        <v>1918</v>
      </c>
    </row>
    <row r="63" spans="2:9" x14ac:dyDescent="0.15">
      <c r="B63" s="10" t="s">
        <v>757</v>
      </c>
      <c r="C63" s="10" t="s">
        <v>1767</v>
      </c>
      <c r="D63" s="10" t="s">
        <v>1796</v>
      </c>
      <c r="E63" s="10" t="s">
        <v>1825</v>
      </c>
      <c r="F63" s="10">
        <v>0</v>
      </c>
      <c r="G63" s="10" t="s">
        <v>1922</v>
      </c>
      <c r="H63" s="10" t="s">
        <v>1920</v>
      </c>
      <c r="I63" s="9" t="s">
        <v>1948</v>
      </c>
    </row>
    <row r="64" spans="2:9" x14ac:dyDescent="0.15">
      <c r="B64" s="10" t="s">
        <v>757</v>
      </c>
      <c r="C64" s="10" t="s">
        <v>1767</v>
      </c>
      <c r="D64" s="10" t="s">
        <v>1796</v>
      </c>
      <c r="E64" s="10" t="s">
        <v>1815</v>
      </c>
      <c r="F64" s="10">
        <v>0</v>
      </c>
      <c r="G64" s="10" t="s">
        <v>1922</v>
      </c>
      <c r="H64" s="10" t="s">
        <v>1920</v>
      </c>
      <c r="I64" s="9" t="s">
        <v>1932</v>
      </c>
    </row>
    <row r="65" spans="2:9" x14ac:dyDescent="0.15">
      <c r="B65" s="10" t="s">
        <v>757</v>
      </c>
      <c r="C65" s="10" t="s">
        <v>1767</v>
      </c>
      <c r="D65" s="10" t="s">
        <v>1796</v>
      </c>
      <c r="E65" s="10" t="s">
        <v>1819</v>
      </c>
      <c r="F65" s="10">
        <v>0.5</v>
      </c>
      <c r="G65" s="10" t="s">
        <v>1919</v>
      </c>
      <c r="H65" s="10" t="s">
        <v>1920</v>
      </c>
      <c r="I65" s="9" t="s">
        <v>1940</v>
      </c>
    </row>
    <row r="66" spans="2:9" x14ac:dyDescent="0.15">
      <c r="B66" s="10" t="s">
        <v>757</v>
      </c>
      <c r="C66" s="10" t="s">
        <v>1767</v>
      </c>
      <c r="D66" s="10" t="s">
        <v>1796</v>
      </c>
      <c r="E66" s="10" t="s">
        <v>1818</v>
      </c>
      <c r="F66" s="10">
        <v>1</v>
      </c>
      <c r="G66" s="10" t="s">
        <v>1917</v>
      </c>
      <c r="H66" s="10" t="s">
        <v>1918</v>
      </c>
    </row>
    <row r="67" spans="2:9" x14ac:dyDescent="0.15">
      <c r="B67" s="10" t="s">
        <v>757</v>
      </c>
      <c r="C67" s="10" t="s">
        <v>1767</v>
      </c>
      <c r="D67" s="10" t="s">
        <v>1796</v>
      </c>
      <c r="E67" s="10" t="s">
        <v>1817</v>
      </c>
      <c r="F67" s="10">
        <v>1</v>
      </c>
      <c r="G67" s="10" t="s">
        <v>1917</v>
      </c>
      <c r="H67" s="10" t="s">
        <v>1918</v>
      </c>
    </row>
    <row r="68" spans="2:9" x14ac:dyDescent="0.15">
      <c r="B68" s="10" t="s">
        <v>1771</v>
      </c>
      <c r="C68" s="10" t="s">
        <v>1765</v>
      </c>
      <c r="D68" s="10" t="s">
        <v>1795</v>
      </c>
      <c r="E68" s="10" t="s">
        <v>1825</v>
      </c>
      <c r="F68" s="10">
        <v>0</v>
      </c>
      <c r="G68" s="10" t="s">
        <v>1922</v>
      </c>
      <c r="H68" s="10" t="s">
        <v>1920</v>
      </c>
      <c r="I68" s="9" t="s">
        <v>1923</v>
      </c>
    </row>
    <row r="69" spans="2:9" x14ac:dyDescent="0.15">
      <c r="B69" s="10" t="s">
        <v>1771</v>
      </c>
      <c r="C69" s="10" t="s">
        <v>1765</v>
      </c>
      <c r="D69" s="10" t="s">
        <v>1795</v>
      </c>
      <c r="E69" s="10" t="s">
        <v>1815</v>
      </c>
      <c r="F69" s="10">
        <v>0</v>
      </c>
      <c r="G69" s="10" t="s">
        <v>1922</v>
      </c>
      <c r="H69" s="10" t="s">
        <v>1920</v>
      </c>
      <c r="I69" s="9" t="s">
        <v>1924</v>
      </c>
    </row>
    <row r="70" spans="2:9" x14ac:dyDescent="0.15">
      <c r="B70" s="10" t="s">
        <v>1771</v>
      </c>
      <c r="C70" s="10" t="s">
        <v>1765</v>
      </c>
      <c r="D70" s="10" t="s">
        <v>1795</v>
      </c>
      <c r="E70" s="10" t="s">
        <v>1819</v>
      </c>
      <c r="F70" s="10">
        <v>0.5</v>
      </c>
      <c r="G70" s="10" t="s">
        <v>1919</v>
      </c>
      <c r="H70" s="10" t="s">
        <v>1920</v>
      </c>
      <c r="I70" s="9" t="s">
        <v>1949</v>
      </c>
    </row>
    <row r="71" spans="2:9" x14ac:dyDescent="0.15">
      <c r="B71" s="10" t="s">
        <v>1771</v>
      </c>
      <c r="C71" s="10" t="s">
        <v>1765</v>
      </c>
      <c r="D71" s="10" t="s">
        <v>1795</v>
      </c>
      <c r="E71" s="10" t="s">
        <v>1818</v>
      </c>
      <c r="F71" s="10">
        <v>1</v>
      </c>
      <c r="G71" s="10" t="s">
        <v>1917</v>
      </c>
      <c r="H71" s="10" t="s">
        <v>1918</v>
      </c>
    </row>
    <row r="72" spans="2:9" x14ac:dyDescent="0.15">
      <c r="B72" s="10" t="s">
        <v>1771</v>
      </c>
      <c r="C72" s="10" t="s">
        <v>1765</v>
      </c>
      <c r="D72" s="10" t="s">
        <v>1795</v>
      </c>
      <c r="E72" s="10" t="s">
        <v>1817</v>
      </c>
      <c r="F72" s="10">
        <v>1</v>
      </c>
      <c r="G72" s="10" t="s">
        <v>1917</v>
      </c>
      <c r="H72" s="10" t="s">
        <v>1918</v>
      </c>
    </row>
    <row r="73" spans="2:9" x14ac:dyDescent="0.15">
      <c r="B73" s="10" t="s">
        <v>1239</v>
      </c>
      <c r="C73" s="10" t="s">
        <v>1763</v>
      </c>
      <c r="D73" s="10" t="s">
        <v>1741</v>
      </c>
      <c r="E73" s="10" t="s">
        <v>1825</v>
      </c>
      <c r="F73" s="10">
        <v>0</v>
      </c>
      <c r="G73" s="10" t="s">
        <v>1922</v>
      </c>
      <c r="H73" s="10" t="s">
        <v>1920</v>
      </c>
      <c r="I73" s="9" t="s">
        <v>1931</v>
      </c>
    </row>
    <row r="74" spans="2:9" x14ac:dyDescent="0.15">
      <c r="B74" s="10" t="s">
        <v>1239</v>
      </c>
      <c r="C74" s="10" t="s">
        <v>1763</v>
      </c>
      <c r="D74" s="10" t="s">
        <v>1741</v>
      </c>
      <c r="E74" s="10" t="s">
        <v>1815</v>
      </c>
      <c r="F74" s="10">
        <v>0</v>
      </c>
      <c r="G74" s="10" t="s">
        <v>1922</v>
      </c>
      <c r="H74" s="10" t="s">
        <v>1920</v>
      </c>
      <c r="I74" s="9" t="s">
        <v>1932</v>
      </c>
    </row>
    <row r="75" spans="2:9" x14ac:dyDescent="0.15">
      <c r="B75" s="10" t="s">
        <v>1239</v>
      </c>
      <c r="C75" s="10" t="s">
        <v>1763</v>
      </c>
      <c r="D75" s="10" t="s">
        <v>1741</v>
      </c>
      <c r="E75" s="10" t="s">
        <v>1820</v>
      </c>
      <c r="F75" s="10">
        <v>0.5</v>
      </c>
      <c r="G75" s="10" t="s">
        <v>1919</v>
      </c>
      <c r="H75" s="10" t="s">
        <v>1920</v>
      </c>
      <c r="I75" s="9" t="s">
        <v>1950</v>
      </c>
    </row>
    <row r="76" spans="2:9" x14ac:dyDescent="0.15">
      <c r="B76" s="10" t="s">
        <v>1239</v>
      </c>
      <c r="C76" s="10" t="s">
        <v>1763</v>
      </c>
      <c r="D76" s="10" t="s">
        <v>1741</v>
      </c>
      <c r="E76" s="10" t="s">
        <v>1819</v>
      </c>
      <c r="F76" s="10">
        <v>0.5</v>
      </c>
      <c r="G76" s="10" t="s">
        <v>1919</v>
      </c>
      <c r="H76" s="10" t="s">
        <v>1920</v>
      </c>
      <c r="I76" s="9" t="s">
        <v>1951</v>
      </c>
    </row>
    <row r="77" spans="2:9" x14ac:dyDescent="0.15">
      <c r="B77" s="10" t="s">
        <v>1239</v>
      </c>
      <c r="C77" s="10" t="s">
        <v>1763</v>
      </c>
      <c r="D77" s="10" t="s">
        <v>1741</v>
      </c>
      <c r="E77" s="10" t="s">
        <v>1818</v>
      </c>
      <c r="F77" s="10">
        <v>1</v>
      </c>
      <c r="G77" s="10" t="s">
        <v>1917</v>
      </c>
      <c r="H77" s="10" t="s">
        <v>1918</v>
      </c>
    </row>
    <row r="78" spans="2:9" x14ac:dyDescent="0.15">
      <c r="B78" s="10" t="s">
        <v>1239</v>
      </c>
      <c r="C78" s="10" t="s">
        <v>1763</v>
      </c>
      <c r="D78" s="10" t="s">
        <v>1741</v>
      </c>
      <c r="E78" s="10" t="s">
        <v>1817</v>
      </c>
      <c r="F78" s="10">
        <v>1</v>
      </c>
      <c r="G78" s="10" t="s">
        <v>1917</v>
      </c>
      <c r="H78" s="10" t="s">
        <v>1918</v>
      </c>
    </row>
    <row r="79" spans="2:9" x14ac:dyDescent="0.15">
      <c r="B79" s="10" t="s">
        <v>1772</v>
      </c>
      <c r="C79" s="10" t="s">
        <v>1767</v>
      </c>
      <c r="D79" s="10" t="s">
        <v>1788</v>
      </c>
      <c r="E79" s="10" t="s">
        <v>1825</v>
      </c>
      <c r="F79" s="10">
        <v>0</v>
      </c>
      <c r="G79" s="10" t="s">
        <v>1922</v>
      </c>
      <c r="H79" s="10" t="s">
        <v>1920</v>
      </c>
      <c r="I79" s="9" t="s">
        <v>1923</v>
      </c>
    </row>
    <row r="80" spans="2:9" x14ac:dyDescent="0.15">
      <c r="B80" s="10" t="s">
        <v>1772</v>
      </c>
      <c r="C80" s="10" t="s">
        <v>1767</v>
      </c>
      <c r="D80" s="10" t="s">
        <v>1788</v>
      </c>
      <c r="E80" s="10" t="s">
        <v>1815</v>
      </c>
      <c r="F80" s="10">
        <v>0</v>
      </c>
      <c r="G80" s="10" t="s">
        <v>1922</v>
      </c>
      <c r="H80" s="10" t="s">
        <v>1920</v>
      </c>
      <c r="I80" s="9" t="s">
        <v>1932</v>
      </c>
    </row>
    <row r="81" spans="2:9" x14ac:dyDescent="0.15">
      <c r="B81" s="10" t="s">
        <v>1772</v>
      </c>
      <c r="C81" s="10" t="s">
        <v>1767</v>
      </c>
      <c r="D81" s="10" t="s">
        <v>1788</v>
      </c>
      <c r="E81" s="10" t="s">
        <v>1819</v>
      </c>
      <c r="F81" s="10">
        <v>0.5</v>
      </c>
      <c r="G81" s="10" t="s">
        <v>1919</v>
      </c>
      <c r="H81" s="10" t="s">
        <v>1920</v>
      </c>
      <c r="I81" s="9" t="s">
        <v>1952</v>
      </c>
    </row>
    <row r="82" spans="2:9" x14ac:dyDescent="0.15">
      <c r="B82" s="10" t="s">
        <v>1772</v>
      </c>
      <c r="C82" s="10" t="s">
        <v>1767</v>
      </c>
      <c r="D82" s="10" t="s">
        <v>1788</v>
      </c>
      <c r="E82" s="10" t="s">
        <v>1818</v>
      </c>
      <c r="F82" s="10">
        <v>1</v>
      </c>
      <c r="G82" s="10" t="s">
        <v>1917</v>
      </c>
      <c r="H82" s="10" t="s">
        <v>1918</v>
      </c>
    </row>
    <row r="83" spans="2:9" x14ac:dyDescent="0.15">
      <c r="B83" s="10" t="s">
        <v>1772</v>
      </c>
      <c r="C83" s="10" t="s">
        <v>1767</v>
      </c>
      <c r="D83" s="10" t="s">
        <v>1788</v>
      </c>
      <c r="E83" s="10" t="s">
        <v>1817</v>
      </c>
      <c r="F83" s="10">
        <v>1</v>
      </c>
      <c r="G83" s="10" t="s">
        <v>1917</v>
      </c>
      <c r="H83" s="10" t="s">
        <v>1918</v>
      </c>
    </row>
    <row r="84" spans="2:9" x14ac:dyDescent="0.15">
      <c r="B84" s="10" t="s">
        <v>793</v>
      </c>
      <c r="C84" s="10" t="s">
        <v>1773</v>
      </c>
      <c r="D84" s="10" t="s">
        <v>1789</v>
      </c>
      <c r="E84" s="10" t="s">
        <v>1825</v>
      </c>
      <c r="F84" s="10">
        <v>0</v>
      </c>
      <c r="G84" s="10" t="s">
        <v>1922</v>
      </c>
      <c r="H84" s="10" t="s">
        <v>1920</v>
      </c>
      <c r="I84" s="9" t="s">
        <v>1931</v>
      </c>
    </row>
    <row r="85" spans="2:9" x14ac:dyDescent="0.15">
      <c r="B85" s="10" t="s">
        <v>793</v>
      </c>
      <c r="C85" s="10" t="s">
        <v>1773</v>
      </c>
      <c r="D85" s="10" t="s">
        <v>1789</v>
      </c>
      <c r="E85" s="10" t="s">
        <v>1815</v>
      </c>
      <c r="F85" s="10">
        <v>0</v>
      </c>
      <c r="G85" s="10" t="s">
        <v>1922</v>
      </c>
      <c r="H85" s="10" t="s">
        <v>1920</v>
      </c>
      <c r="I85" s="9" t="s">
        <v>1954</v>
      </c>
    </row>
    <row r="86" spans="2:9" x14ac:dyDescent="0.15">
      <c r="B86" s="10" t="s">
        <v>793</v>
      </c>
      <c r="C86" s="10" t="s">
        <v>1773</v>
      </c>
      <c r="D86" s="10" t="s">
        <v>1789</v>
      </c>
      <c r="E86" s="10" t="s">
        <v>1819</v>
      </c>
      <c r="F86" s="10">
        <v>0.5</v>
      </c>
      <c r="G86" s="10" t="s">
        <v>1919</v>
      </c>
      <c r="H86" s="10" t="s">
        <v>1920</v>
      </c>
      <c r="I86" s="9" t="s">
        <v>1953</v>
      </c>
    </row>
    <row r="87" spans="2:9" x14ac:dyDescent="0.15">
      <c r="B87" s="10" t="s">
        <v>793</v>
      </c>
      <c r="C87" s="10" t="s">
        <v>1773</v>
      </c>
      <c r="D87" s="10" t="s">
        <v>1789</v>
      </c>
      <c r="E87" s="10" t="s">
        <v>1817</v>
      </c>
      <c r="F87" s="10">
        <v>1</v>
      </c>
      <c r="G87" s="10" t="s">
        <v>1917</v>
      </c>
      <c r="H87" s="10" t="s">
        <v>1918</v>
      </c>
    </row>
    <row r="88" spans="2:9" x14ac:dyDescent="0.15">
      <c r="B88" s="10" t="s">
        <v>793</v>
      </c>
      <c r="C88" s="10" t="s">
        <v>1773</v>
      </c>
      <c r="D88" s="10" t="s">
        <v>1789</v>
      </c>
      <c r="E88" s="10" t="s">
        <v>1818</v>
      </c>
      <c r="F88" s="10">
        <v>1</v>
      </c>
      <c r="G88" s="10" t="s">
        <v>1917</v>
      </c>
      <c r="H88" s="10" t="s">
        <v>1918</v>
      </c>
    </row>
    <row r="89" spans="2:9" x14ac:dyDescent="0.15">
      <c r="B89" s="10" t="s">
        <v>1774</v>
      </c>
      <c r="C89" s="10" t="s">
        <v>1765</v>
      </c>
      <c r="D89" s="10" t="s">
        <v>1795</v>
      </c>
      <c r="E89" s="10" t="s">
        <v>1825</v>
      </c>
      <c r="F89" s="10">
        <v>0</v>
      </c>
      <c r="G89" s="10" t="s">
        <v>1922</v>
      </c>
      <c r="H89" s="10" t="s">
        <v>1920</v>
      </c>
      <c r="I89" s="9" t="s">
        <v>1923</v>
      </c>
    </row>
    <row r="90" spans="2:9" x14ac:dyDescent="0.15">
      <c r="B90" s="10" t="s">
        <v>1774</v>
      </c>
      <c r="C90" s="10" t="s">
        <v>1765</v>
      </c>
      <c r="D90" s="10" t="s">
        <v>1795</v>
      </c>
      <c r="E90" s="10" t="s">
        <v>1815</v>
      </c>
      <c r="F90" s="10">
        <v>0</v>
      </c>
      <c r="G90" s="10" t="s">
        <v>1922</v>
      </c>
      <c r="H90" s="10" t="s">
        <v>1920</v>
      </c>
      <c r="I90" s="9" t="s">
        <v>1924</v>
      </c>
    </row>
    <row r="91" spans="2:9" x14ac:dyDescent="0.15">
      <c r="B91" s="10" t="s">
        <v>1774</v>
      </c>
      <c r="C91" s="10" t="s">
        <v>1765</v>
      </c>
      <c r="D91" s="10" t="s">
        <v>1795</v>
      </c>
      <c r="E91" s="10" t="s">
        <v>1819</v>
      </c>
      <c r="F91" s="10">
        <v>0.5</v>
      </c>
      <c r="G91" s="10" t="s">
        <v>1919</v>
      </c>
      <c r="H91" s="10" t="s">
        <v>1920</v>
      </c>
      <c r="I91" s="9" t="s">
        <v>1955</v>
      </c>
    </row>
    <row r="92" spans="2:9" x14ac:dyDescent="0.15">
      <c r="B92" s="10" t="s">
        <v>1774</v>
      </c>
      <c r="C92" s="10" t="s">
        <v>1765</v>
      </c>
      <c r="D92" s="10" t="s">
        <v>1795</v>
      </c>
      <c r="E92" s="10" t="s">
        <v>1818</v>
      </c>
      <c r="F92" s="10">
        <v>1</v>
      </c>
      <c r="G92" s="10" t="s">
        <v>1917</v>
      </c>
      <c r="H92" s="10" t="s">
        <v>1918</v>
      </c>
    </row>
    <row r="93" spans="2:9" x14ac:dyDescent="0.15">
      <c r="B93" s="10" t="s">
        <v>1774</v>
      </c>
      <c r="C93" s="10" t="s">
        <v>1765</v>
      </c>
      <c r="D93" s="10" t="s">
        <v>1795</v>
      </c>
      <c r="E93" s="10" t="s">
        <v>1817</v>
      </c>
      <c r="F93" s="10">
        <v>1</v>
      </c>
      <c r="G93" s="10" t="s">
        <v>1917</v>
      </c>
      <c r="H93" s="10" t="s">
        <v>1918</v>
      </c>
    </row>
    <row r="94" spans="2:9" x14ac:dyDescent="0.15">
      <c r="B94" s="10" t="s">
        <v>845</v>
      </c>
      <c r="C94" s="10" t="s">
        <v>1763</v>
      </c>
      <c r="D94" s="10" t="s">
        <v>1741</v>
      </c>
      <c r="E94" s="10" t="s">
        <v>1825</v>
      </c>
      <c r="F94" s="10">
        <v>0</v>
      </c>
      <c r="G94" s="10" t="s">
        <v>1922</v>
      </c>
      <c r="H94" s="10" t="s">
        <v>1920</v>
      </c>
      <c r="I94" s="9" t="s">
        <v>1923</v>
      </c>
    </row>
    <row r="95" spans="2:9" x14ac:dyDescent="0.15">
      <c r="B95" s="10" t="s">
        <v>845</v>
      </c>
      <c r="C95" s="10" t="s">
        <v>1763</v>
      </c>
      <c r="D95" s="10" t="s">
        <v>1741</v>
      </c>
      <c r="E95" s="10" t="s">
        <v>1815</v>
      </c>
      <c r="F95" s="10">
        <v>0</v>
      </c>
      <c r="G95" s="10" t="s">
        <v>1922</v>
      </c>
      <c r="H95" s="10" t="s">
        <v>1920</v>
      </c>
      <c r="I95" s="9" t="s">
        <v>1954</v>
      </c>
    </row>
    <row r="96" spans="2:9" x14ac:dyDescent="0.15">
      <c r="B96" s="10" t="s">
        <v>845</v>
      </c>
      <c r="C96" s="10" t="s">
        <v>1763</v>
      </c>
      <c r="D96" s="10" t="s">
        <v>1741</v>
      </c>
      <c r="E96" s="10" t="s">
        <v>1819</v>
      </c>
      <c r="F96" s="10">
        <v>0.5</v>
      </c>
      <c r="G96" s="10" t="s">
        <v>1919</v>
      </c>
      <c r="H96" s="10" t="s">
        <v>1920</v>
      </c>
      <c r="I96" s="9" t="s">
        <v>1949</v>
      </c>
    </row>
    <row r="97" spans="2:9" x14ac:dyDescent="0.15">
      <c r="B97" s="10" t="s">
        <v>845</v>
      </c>
      <c r="C97" s="10" t="s">
        <v>1763</v>
      </c>
      <c r="D97" s="10" t="s">
        <v>1741</v>
      </c>
      <c r="E97" s="10" t="s">
        <v>1818</v>
      </c>
      <c r="F97" s="10">
        <v>1</v>
      </c>
      <c r="G97" s="10" t="s">
        <v>1917</v>
      </c>
      <c r="H97" s="10" t="s">
        <v>1918</v>
      </c>
    </row>
    <row r="98" spans="2:9" x14ac:dyDescent="0.15">
      <c r="B98" s="10" t="s">
        <v>845</v>
      </c>
      <c r="C98" s="10" t="s">
        <v>1763</v>
      </c>
      <c r="D98" s="10" t="s">
        <v>1741</v>
      </c>
      <c r="E98" s="10" t="s">
        <v>1817</v>
      </c>
      <c r="F98" s="10">
        <v>1</v>
      </c>
      <c r="G98" s="10" t="s">
        <v>1917</v>
      </c>
      <c r="H98" s="10" t="s">
        <v>1918</v>
      </c>
    </row>
    <row r="99" spans="2:9" x14ac:dyDescent="0.15">
      <c r="B99" s="10" t="s">
        <v>1775</v>
      </c>
      <c r="C99" s="10" t="s">
        <v>1769</v>
      </c>
      <c r="D99" s="10" t="s">
        <v>1745</v>
      </c>
      <c r="E99" s="10" t="s">
        <v>1825</v>
      </c>
      <c r="F99" s="10">
        <v>0</v>
      </c>
      <c r="G99" s="10" t="s">
        <v>1922</v>
      </c>
      <c r="H99" s="10" t="s">
        <v>1920</v>
      </c>
      <c r="I99" s="9" t="s">
        <v>1923</v>
      </c>
    </row>
    <row r="100" spans="2:9" x14ac:dyDescent="0.15">
      <c r="B100" s="10" t="s">
        <v>1775</v>
      </c>
      <c r="C100" s="10" t="s">
        <v>1769</v>
      </c>
      <c r="D100" s="10" t="s">
        <v>1745</v>
      </c>
      <c r="E100" s="10" t="s">
        <v>1815</v>
      </c>
      <c r="F100" s="10">
        <v>0</v>
      </c>
      <c r="G100" s="10" t="s">
        <v>1922</v>
      </c>
      <c r="H100" s="10" t="s">
        <v>1920</v>
      </c>
      <c r="I100" s="9" t="s">
        <v>1932</v>
      </c>
    </row>
    <row r="101" spans="2:9" x14ac:dyDescent="0.15">
      <c r="B101" s="10" t="s">
        <v>1775</v>
      </c>
      <c r="C101" s="10" t="s">
        <v>1769</v>
      </c>
      <c r="D101" s="10" t="s">
        <v>1745</v>
      </c>
      <c r="E101" s="10" t="s">
        <v>1819</v>
      </c>
      <c r="F101" s="10">
        <v>0.5</v>
      </c>
      <c r="G101" s="10" t="s">
        <v>1919</v>
      </c>
      <c r="H101" s="10" t="s">
        <v>1920</v>
      </c>
      <c r="I101" s="9" t="s">
        <v>1953</v>
      </c>
    </row>
    <row r="102" spans="2:9" x14ac:dyDescent="0.15">
      <c r="B102" s="10" t="s">
        <v>1775</v>
      </c>
      <c r="C102" s="10" t="s">
        <v>1769</v>
      </c>
      <c r="D102" s="10" t="s">
        <v>1745</v>
      </c>
      <c r="E102" s="10" t="s">
        <v>1818</v>
      </c>
      <c r="F102" s="10">
        <v>1</v>
      </c>
      <c r="G102" s="10" t="s">
        <v>1917</v>
      </c>
      <c r="H102" s="10" t="s">
        <v>1918</v>
      </c>
    </row>
    <row r="103" spans="2:9" x14ac:dyDescent="0.15">
      <c r="B103" s="10" t="s">
        <v>1775</v>
      </c>
      <c r="C103" s="10" t="s">
        <v>1769</v>
      </c>
      <c r="D103" s="10" t="s">
        <v>1745</v>
      </c>
      <c r="E103" s="10" t="s">
        <v>1817</v>
      </c>
      <c r="F103" s="10">
        <v>1</v>
      </c>
      <c r="G103" s="10" t="s">
        <v>1917</v>
      </c>
      <c r="H103" s="10" t="s">
        <v>1918</v>
      </c>
    </row>
    <row r="104" spans="2:9" x14ac:dyDescent="0.15">
      <c r="B104" s="10" t="s">
        <v>1669</v>
      </c>
      <c r="C104" s="10" t="s">
        <v>1748</v>
      </c>
      <c r="D104" s="10" t="s">
        <v>1795</v>
      </c>
      <c r="E104" s="10" t="s">
        <v>1825</v>
      </c>
      <c r="F104" s="10">
        <v>0</v>
      </c>
      <c r="G104" s="10" t="s">
        <v>1922</v>
      </c>
      <c r="H104" s="10" t="s">
        <v>1920</v>
      </c>
      <c r="I104" s="9" t="s">
        <v>1923</v>
      </c>
    </row>
    <row r="105" spans="2:9" x14ac:dyDescent="0.15">
      <c r="B105" s="10" t="s">
        <v>1669</v>
      </c>
      <c r="C105" s="10" t="s">
        <v>1748</v>
      </c>
      <c r="D105" s="10" t="s">
        <v>1795</v>
      </c>
      <c r="E105" s="10" t="s">
        <v>1815</v>
      </c>
      <c r="F105" s="10">
        <v>0</v>
      </c>
      <c r="G105" s="10" t="s">
        <v>1922</v>
      </c>
      <c r="H105" s="10" t="s">
        <v>1920</v>
      </c>
      <c r="I105" s="9" t="s">
        <v>1932</v>
      </c>
    </row>
    <row r="106" spans="2:9" x14ac:dyDescent="0.15">
      <c r="B106" s="10" t="s">
        <v>1669</v>
      </c>
      <c r="C106" s="10" t="s">
        <v>1748</v>
      </c>
      <c r="D106" s="10" t="s">
        <v>1795</v>
      </c>
      <c r="E106" s="10" t="s">
        <v>1819</v>
      </c>
      <c r="F106" s="10">
        <v>0.5</v>
      </c>
      <c r="G106" s="10" t="s">
        <v>1919</v>
      </c>
      <c r="H106" s="10" t="s">
        <v>1920</v>
      </c>
      <c r="I106" s="9" t="s">
        <v>1930</v>
      </c>
    </row>
    <row r="107" spans="2:9" x14ac:dyDescent="0.15">
      <c r="B107" s="10" t="s">
        <v>1669</v>
      </c>
      <c r="C107" s="10" t="s">
        <v>1748</v>
      </c>
      <c r="D107" s="10" t="s">
        <v>1795</v>
      </c>
      <c r="E107" s="10" t="s">
        <v>1818</v>
      </c>
      <c r="F107" s="10">
        <v>1</v>
      </c>
      <c r="G107" s="10" t="s">
        <v>1917</v>
      </c>
      <c r="H107" s="10" t="s">
        <v>1918</v>
      </c>
    </row>
    <row r="108" spans="2:9" x14ac:dyDescent="0.15">
      <c r="B108" s="10" t="s">
        <v>1669</v>
      </c>
      <c r="C108" s="10" t="s">
        <v>1748</v>
      </c>
      <c r="D108" s="10" t="s">
        <v>1795</v>
      </c>
      <c r="E108" s="10" t="s">
        <v>1817</v>
      </c>
      <c r="F108" s="10">
        <v>1</v>
      </c>
      <c r="G108" s="10" t="s">
        <v>1917</v>
      </c>
      <c r="H108" s="10" t="s">
        <v>1918</v>
      </c>
    </row>
    <row r="109" spans="2:9" x14ac:dyDescent="0.15">
      <c r="B109" s="10" t="s">
        <v>1776</v>
      </c>
      <c r="C109" s="10" t="s">
        <v>1765</v>
      </c>
      <c r="D109" s="10" t="s">
        <v>1798</v>
      </c>
      <c r="E109" s="10" t="s">
        <v>1825</v>
      </c>
      <c r="F109" s="10">
        <v>0</v>
      </c>
      <c r="G109" s="10" t="s">
        <v>1922</v>
      </c>
      <c r="H109" s="10" t="s">
        <v>1920</v>
      </c>
      <c r="I109" s="9" t="s">
        <v>1923</v>
      </c>
    </row>
    <row r="110" spans="2:9" x14ac:dyDescent="0.15">
      <c r="B110" s="10" t="s">
        <v>1776</v>
      </c>
      <c r="C110" s="10" t="s">
        <v>1765</v>
      </c>
      <c r="D110" s="10" t="s">
        <v>1798</v>
      </c>
      <c r="E110" s="10" t="s">
        <v>1815</v>
      </c>
      <c r="F110" s="10">
        <v>0</v>
      </c>
      <c r="G110" s="10" t="s">
        <v>1922</v>
      </c>
      <c r="H110" s="10" t="s">
        <v>1920</v>
      </c>
      <c r="I110" s="9" t="s">
        <v>1954</v>
      </c>
    </row>
    <row r="111" spans="2:9" x14ac:dyDescent="0.15">
      <c r="B111" s="10" t="s">
        <v>1776</v>
      </c>
      <c r="C111" s="10" t="s">
        <v>1765</v>
      </c>
      <c r="D111" s="10" t="s">
        <v>1798</v>
      </c>
      <c r="E111" s="10" t="s">
        <v>1819</v>
      </c>
      <c r="F111" s="10">
        <v>0.5</v>
      </c>
      <c r="G111" s="10" t="s">
        <v>1919</v>
      </c>
      <c r="H111" s="10" t="s">
        <v>1920</v>
      </c>
      <c r="I111" s="9" t="s">
        <v>1955</v>
      </c>
    </row>
    <row r="112" spans="2:9" x14ac:dyDescent="0.15">
      <c r="B112" s="10" t="s">
        <v>1776</v>
      </c>
      <c r="C112" s="10" t="s">
        <v>1765</v>
      </c>
      <c r="D112" s="10" t="s">
        <v>1798</v>
      </c>
      <c r="E112" s="10" t="s">
        <v>1818</v>
      </c>
      <c r="F112" s="10">
        <v>1</v>
      </c>
      <c r="G112" s="10" t="s">
        <v>1917</v>
      </c>
      <c r="H112" s="10" t="s">
        <v>1918</v>
      </c>
    </row>
    <row r="113" spans="2:9" x14ac:dyDescent="0.15">
      <c r="B113" s="10" t="s">
        <v>1776</v>
      </c>
      <c r="C113" s="10" t="s">
        <v>1765</v>
      </c>
      <c r="D113" s="10" t="s">
        <v>1798</v>
      </c>
      <c r="E113" s="10" t="s">
        <v>1817</v>
      </c>
      <c r="F113" s="10">
        <v>1</v>
      </c>
      <c r="G113" s="10" t="s">
        <v>1917</v>
      </c>
      <c r="H113" s="10" t="s">
        <v>1918</v>
      </c>
    </row>
    <row r="114" spans="2:9" x14ac:dyDescent="0.15">
      <c r="B114" s="10" t="s">
        <v>1334</v>
      </c>
      <c r="C114" s="10" t="s">
        <v>1777</v>
      </c>
      <c r="D114" s="10" t="s">
        <v>1745</v>
      </c>
      <c r="E114" s="10" t="s">
        <v>1825</v>
      </c>
      <c r="F114" s="10">
        <v>0</v>
      </c>
      <c r="G114" s="10" t="s">
        <v>1922</v>
      </c>
      <c r="H114" s="10" t="s">
        <v>1920</v>
      </c>
      <c r="I114" s="9" t="s">
        <v>1923</v>
      </c>
    </row>
    <row r="115" spans="2:9" x14ac:dyDescent="0.15">
      <c r="B115" s="10" t="s">
        <v>1334</v>
      </c>
      <c r="C115" s="10" t="s">
        <v>1777</v>
      </c>
      <c r="D115" s="10" t="s">
        <v>1745</v>
      </c>
      <c r="E115" s="10" t="s">
        <v>1815</v>
      </c>
      <c r="F115" s="10">
        <v>0</v>
      </c>
      <c r="G115" s="10" t="s">
        <v>1922</v>
      </c>
      <c r="H115" s="10" t="s">
        <v>1920</v>
      </c>
      <c r="I115" s="9" t="s">
        <v>1932</v>
      </c>
    </row>
    <row r="116" spans="2:9" x14ac:dyDescent="0.15">
      <c r="B116" s="10" t="s">
        <v>1334</v>
      </c>
      <c r="C116" s="10" t="s">
        <v>1777</v>
      </c>
      <c r="D116" s="10" t="s">
        <v>1745</v>
      </c>
      <c r="E116" s="10" t="s">
        <v>1819</v>
      </c>
      <c r="F116" s="10">
        <v>0.5</v>
      </c>
      <c r="G116" s="10" t="s">
        <v>1919</v>
      </c>
      <c r="H116" s="10" t="s">
        <v>1920</v>
      </c>
      <c r="I116" s="9" t="s">
        <v>1949</v>
      </c>
    </row>
    <row r="117" spans="2:9" x14ac:dyDescent="0.15">
      <c r="B117" s="10" t="s">
        <v>1334</v>
      </c>
      <c r="C117" s="10" t="s">
        <v>1777</v>
      </c>
      <c r="D117" s="10" t="s">
        <v>1745</v>
      </c>
      <c r="E117" s="10" t="s">
        <v>1817</v>
      </c>
      <c r="F117" s="10">
        <v>1</v>
      </c>
      <c r="G117" s="10" t="s">
        <v>1917</v>
      </c>
      <c r="H117" s="10" t="s">
        <v>1918</v>
      </c>
    </row>
    <row r="118" spans="2:9" x14ac:dyDescent="0.15">
      <c r="B118" s="10" t="s">
        <v>1334</v>
      </c>
      <c r="C118" s="10" t="s">
        <v>1777</v>
      </c>
      <c r="D118" s="10" t="s">
        <v>1745</v>
      </c>
      <c r="E118" s="10" t="s">
        <v>1818</v>
      </c>
      <c r="F118" s="10">
        <v>1</v>
      </c>
      <c r="G118" s="10" t="s">
        <v>1917</v>
      </c>
      <c r="H118" s="10" t="s">
        <v>1918</v>
      </c>
    </row>
    <row r="119" spans="2:9" x14ac:dyDescent="0.15">
      <c r="B119" s="10" t="s">
        <v>1778</v>
      </c>
      <c r="C119" s="10" t="s">
        <v>1765</v>
      </c>
      <c r="D119" s="10" t="s">
        <v>1795</v>
      </c>
      <c r="E119" s="10" t="s">
        <v>1825</v>
      </c>
      <c r="F119" s="10">
        <v>0</v>
      </c>
      <c r="G119" s="10" t="s">
        <v>1922</v>
      </c>
      <c r="H119" s="10" t="s">
        <v>1920</v>
      </c>
      <c r="I119" s="9" t="s">
        <v>1923</v>
      </c>
    </row>
    <row r="120" spans="2:9" x14ac:dyDescent="0.15">
      <c r="B120" s="10" t="s">
        <v>1778</v>
      </c>
      <c r="C120" s="10" t="s">
        <v>1765</v>
      </c>
      <c r="D120" s="10" t="s">
        <v>1795</v>
      </c>
      <c r="E120" s="10" t="s">
        <v>1815</v>
      </c>
      <c r="F120" s="10">
        <v>0</v>
      </c>
      <c r="G120" s="10" t="s">
        <v>1922</v>
      </c>
      <c r="H120" s="10" t="s">
        <v>1920</v>
      </c>
      <c r="I120" s="9" t="s">
        <v>1954</v>
      </c>
    </row>
    <row r="121" spans="2:9" x14ac:dyDescent="0.15">
      <c r="B121" s="10" t="s">
        <v>1778</v>
      </c>
      <c r="C121" s="10" t="s">
        <v>1765</v>
      </c>
      <c r="D121" s="10" t="s">
        <v>1795</v>
      </c>
      <c r="E121" s="10" t="s">
        <v>1819</v>
      </c>
      <c r="F121" s="10">
        <v>0.5</v>
      </c>
      <c r="G121" s="10" t="s">
        <v>1919</v>
      </c>
      <c r="H121" s="10" t="s">
        <v>1920</v>
      </c>
      <c r="I121" s="9" t="s">
        <v>1955</v>
      </c>
    </row>
    <row r="122" spans="2:9" x14ac:dyDescent="0.15">
      <c r="B122" s="10" t="s">
        <v>1778</v>
      </c>
      <c r="C122" s="10" t="s">
        <v>1765</v>
      </c>
      <c r="D122" s="10" t="s">
        <v>1795</v>
      </c>
      <c r="E122" s="10" t="s">
        <v>1818</v>
      </c>
      <c r="F122" s="10">
        <v>1</v>
      </c>
      <c r="G122" s="10" t="s">
        <v>1917</v>
      </c>
      <c r="H122" s="10" t="s">
        <v>1918</v>
      </c>
    </row>
    <row r="123" spans="2:9" x14ac:dyDescent="0.15">
      <c r="B123" s="10" t="s">
        <v>1778</v>
      </c>
      <c r="C123" s="10" t="s">
        <v>1765</v>
      </c>
      <c r="D123" s="10" t="s">
        <v>1795</v>
      </c>
      <c r="E123" s="10" t="s">
        <v>1817</v>
      </c>
      <c r="F123" s="10">
        <v>1</v>
      </c>
      <c r="G123" s="10" t="s">
        <v>1917</v>
      </c>
      <c r="H123" s="10" t="s">
        <v>1918</v>
      </c>
    </row>
    <row r="124" spans="2:9" x14ac:dyDescent="0.15">
      <c r="B124" s="10" t="s">
        <v>847</v>
      </c>
      <c r="C124" s="10" t="s">
        <v>1765</v>
      </c>
      <c r="D124" s="10" t="s">
        <v>1795</v>
      </c>
      <c r="E124" s="10" t="s">
        <v>1825</v>
      </c>
      <c r="F124" s="10">
        <v>0</v>
      </c>
      <c r="G124" s="10" t="s">
        <v>1922</v>
      </c>
      <c r="H124" s="10" t="s">
        <v>1920</v>
      </c>
      <c r="I124" s="9" t="s">
        <v>1923</v>
      </c>
    </row>
    <row r="125" spans="2:9" x14ac:dyDescent="0.15">
      <c r="B125" s="10" t="s">
        <v>847</v>
      </c>
      <c r="C125" s="10" t="s">
        <v>1765</v>
      </c>
      <c r="D125" s="10" t="s">
        <v>1795</v>
      </c>
      <c r="E125" s="10" t="s">
        <v>1815</v>
      </c>
      <c r="F125" s="10">
        <v>0</v>
      </c>
      <c r="G125" s="10" t="s">
        <v>1922</v>
      </c>
      <c r="H125" s="10" t="s">
        <v>1920</v>
      </c>
      <c r="I125" s="9" t="s">
        <v>1924</v>
      </c>
    </row>
    <row r="126" spans="2:9" x14ac:dyDescent="0.15">
      <c r="B126" s="10" t="s">
        <v>847</v>
      </c>
      <c r="C126" s="10" t="s">
        <v>1765</v>
      </c>
      <c r="D126" s="10" t="s">
        <v>1795</v>
      </c>
      <c r="E126" s="10" t="s">
        <v>1819</v>
      </c>
      <c r="F126" s="10">
        <v>0.5</v>
      </c>
      <c r="G126" s="10" t="s">
        <v>1919</v>
      </c>
      <c r="H126" s="10" t="s">
        <v>1920</v>
      </c>
      <c r="I126" s="9" t="s">
        <v>1955</v>
      </c>
    </row>
    <row r="127" spans="2:9" x14ac:dyDescent="0.15">
      <c r="B127" s="10" t="s">
        <v>847</v>
      </c>
      <c r="C127" s="10" t="s">
        <v>1765</v>
      </c>
      <c r="D127" s="10" t="s">
        <v>1795</v>
      </c>
      <c r="E127" s="10" t="s">
        <v>1818</v>
      </c>
      <c r="F127" s="10">
        <v>1</v>
      </c>
      <c r="G127" s="10" t="s">
        <v>1917</v>
      </c>
      <c r="H127" s="10" t="s">
        <v>1918</v>
      </c>
    </row>
    <row r="128" spans="2:9" x14ac:dyDescent="0.15">
      <c r="B128" s="10" t="s">
        <v>847</v>
      </c>
      <c r="C128" s="10" t="s">
        <v>1765</v>
      </c>
      <c r="D128" s="10" t="s">
        <v>1795</v>
      </c>
      <c r="E128" s="10" t="s">
        <v>1817</v>
      </c>
      <c r="F128" s="10">
        <v>1</v>
      </c>
      <c r="G128" s="10" t="s">
        <v>1917</v>
      </c>
      <c r="H128" s="10" t="s">
        <v>1918</v>
      </c>
    </row>
    <row r="129" spans="2:9" x14ac:dyDescent="0.15">
      <c r="B129" s="10" t="s">
        <v>849</v>
      </c>
      <c r="C129" s="10" t="s">
        <v>1748</v>
      </c>
      <c r="D129" s="10" t="s">
        <v>1795</v>
      </c>
      <c r="E129" s="10" t="s">
        <v>1825</v>
      </c>
      <c r="F129" s="10">
        <v>0</v>
      </c>
      <c r="G129" s="10" t="s">
        <v>1922</v>
      </c>
      <c r="H129" s="10" t="s">
        <v>1920</v>
      </c>
      <c r="I129" s="9" t="s">
        <v>1931</v>
      </c>
    </row>
    <row r="130" spans="2:9" x14ac:dyDescent="0.15">
      <c r="B130" s="10" t="s">
        <v>849</v>
      </c>
      <c r="C130" s="10" t="s">
        <v>1748</v>
      </c>
      <c r="D130" s="10" t="s">
        <v>1795</v>
      </c>
      <c r="E130" s="10" t="s">
        <v>1815</v>
      </c>
      <c r="F130" s="10">
        <v>0</v>
      </c>
      <c r="G130" s="10" t="s">
        <v>1922</v>
      </c>
      <c r="H130" s="10" t="s">
        <v>1920</v>
      </c>
      <c r="I130" s="9" t="s">
        <v>1932</v>
      </c>
    </row>
    <row r="131" spans="2:9" x14ac:dyDescent="0.15">
      <c r="B131" s="10" t="s">
        <v>849</v>
      </c>
      <c r="C131" s="10" t="s">
        <v>1748</v>
      </c>
      <c r="D131" s="10" t="s">
        <v>1795</v>
      </c>
      <c r="E131" s="10" t="s">
        <v>1819</v>
      </c>
      <c r="F131" s="10">
        <v>0.5</v>
      </c>
      <c r="G131" s="10" t="s">
        <v>1919</v>
      </c>
      <c r="H131" s="10" t="s">
        <v>1920</v>
      </c>
      <c r="I131" s="9" t="s">
        <v>1956</v>
      </c>
    </row>
    <row r="132" spans="2:9" x14ac:dyDescent="0.15">
      <c r="B132" s="10" t="s">
        <v>849</v>
      </c>
      <c r="C132" s="10" t="s">
        <v>1748</v>
      </c>
      <c r="D132" s="10" t="s">
        <v>1795</v>
      </c>
      <c r="E132" s="10" t="s">
        <v>1818</v>
      </c>
      <c r="F132" s="10">
        <v>1</v>
      </c>
      <c r="G132" s="10" t="s">
        <v>1917</v>
      </c>
      <c r="H132" s="10" t="s">
        <v>1918</v>
      </c>
    </row>
    <row r="133" spans="2:9" x14ac:dyDescent="0.15">
      <c r="B133" s="10" t="s">
        <v>849</v>
      </c>
      <c r="C133" s="10" t="s">
        <v>1748</v>
      </c>
      <c r="D133" s="10" t="s">
        <v>1795</v>
      </c>
      <c r="E133" s="10" t="s">
        <v>1817</v>
      </c>
      <c r="F133" s="10">
        <v>1</v>
      </c>
      <c r="G133" s="10" t="s">
        <v>1917</v>
      </c>
      <c r="H133" s="10" t="s">
        <v>1918</v>
      </c>
    </row>
    <row r="134" spans="2:9" x14ac:dyDescent="0.15">
      <c r="B134" s="10" t="s">
        <v>1957</v>
      </c>
      <c r="C134" s="10" t="s">
        <v>1765</v>
      </c>
      <c r="D134" s="10" t="s">
        <v>1795</v>
      </c>
      <c r="E134" s="10" t="s">
        <v>1825</v>
      </c>
      <c r="F134" s="10">
        <v>0</v>
      </c>
      <c r="G134" s="10" t="s">
        <v>1922</v>
      </c>
      <c r="H134" s="10" t="s">
        <v>1920</v>
      </c>
      <c r="I134" s="9" t="s">
        <v>1923</v>
      </c>
    </row>
    <row r="135" spans="2:9" x14ac:dyDescent="0.15">
      <c r="B135" s="10" t="s">
        <v>1957</v>
      </c>
      <c r="C135" s="10" t="s">
        <v>1765</v>
      </c>
      <c r="D135" s="10" t="s">
        <v>1795</v>
      </c>
      <c r="E135" s="10" t="s">
        <v>1815</v>
      </c>
      <c r="F135" s="10">
        <v>0</v>
      </c>
      <c r="G135" s="10" t="s">
        <v>1922</v>
      </c>
      <c r="H135" s="10" t="s">
        <v>1920</v>
      </c>
      <c r="I135" s="9" t="s">
        <v>1924</v>
      </c>
    </row>
    <row r="136" spans="2:9" x14ac:dyDescent="0.15">
      <c r="B136" s="10" t="s">
        <v>1957</v>
      </c>
      <c r="C136" s="10" t="s">
        <v>1765</v>
      </c>
      <c r="D136" s="10" t="s">
        <v>1795</v>
      </c>
      <c r="E136" s="10" t="s">
        <v>1819</v>
      </c>
      <c r="F136" s="10">
        <v>0.5</v>
      </c>
      <c r="G136" s="10" t="s">
        <v>1919</v>
      </c>
      <c r="H136" s="10" t="s">
        <v>1920</v>
      </c>
      <c r="I136" s="9" t="s">
        <v>1955</v>
      </c>
    </row>
    <row r="137" spans="2:9" x14ac:dyDescent="0.15">
      <c r="B137" s="10" t="s">
        <v>1957</v>
      </c>
      <c r="C137" s="10" t="s">
        <v>1765</v>
      </c>
      <c r="D137" s="10" t="s">
        <v>1795</v>
      </c>
      <c r="E137" s="10" t="s">
        <v>1818</v>
      </c>
      <c r="F137" s="10">
        <v>1</v>
      </c>
      <c r="G137" s="10" t="s">
        <v>1917</v>
      </c>
      <c r="H137" s="10" t="s">
        <v>1918</v>
      </c>
    </row>
    <row r="138" spans="2:9" x14ac:dyDescent="0.15">
      <c r="B138" s="10" t="s">
        <v>1957</v>
      </c>
      <c r="C138" s="10" t="s">
        <v>1765</v>
      </c>
      <c r="D138" s="10" t="s">
        <v>1795</v>
      </c>
      <c r="E138" s="10" t="s">
        <v>1817</v>
      </c>
      <c r="F138" s="10">
        <v>1</v>
      </c>
      <c r="G138" s="10" t="s">
        <v>1917</v>
      </c>
      <c r="H138" s="10" t="s">
        <v>1918</v>
      </c>
    </row>
    <row r="139" spans="2:9" x14ac:dyDescent="0.15">
      <c r="B139" s="10" t="s">
        <v>699</v>
      </c>
      <c r="C139" s="10" t="s">
        <v>1748</v>
      </c>
      <c r="D139" s="10" t="s">
        <v>1795</v>
      </c>
      <c r="E139" s="10" t="s">
        <v>1825</v>
      </c>
      <c r="F139" s="10">
        <v>0</v>
      </c>
      <c r="G139" s="10" t="s">
        <v>1922</v>
      </c>
      <c r="H139" s="10" t="s">
        <v>1920</v>
      </c>
      <c r="I139" s="9" t="s">
        <v>1923</v>
      </c>
    </row>
    <row r="140" spans="2:9" x14ac:dyDescent="0.15">
      <c r="B140" s="10" t="s">
        <v>699</v>
      </c>
      <c r="C140" s="10" t="s">
        <v>1748</v>
      </c>
      <c r="D140" s="10" t="s">
        <v>1795</v>
      </c>
      <c r="E140" s="10" t="s">
        <v>1815</v>
      </c>
      <c r="F140" s="10">
        <v>0</v>
      </c>
      <c r="G140" s="10" t="s">
        <v>1922</v>
      </c>
      <c r="H140" s="10" t="s">
        <v>1920</v>
      </c>
      <c r="I140" s="9" t="s">
        <v>1932</v>
      </c>
    </row>
    <row r="141" spans="2:9" x14ac:dyDescent="0.15">
      <c r="B141" s="10" t="s">
        <v>699</v>
      </c>
      <c r="C141" s="10" t="s">
        <v>1748</v>
      </c>
      <c r="D141" s="10" t="s">
        <v>1795</v>
      </c>
      <c r="E141" s="10" t="s">
        <v>1819</v>
      </c>
      <c r="F141" s="10">
        <v>0.5</v>
      </c>
      <c r="G141" s="10" t="s">
        <v>1919</v>
      </c>
      <c r="H141" s="10" t="s">
        <v>1920</v>
      </c>
      <c r="I141" s="9" t="s">
        <v>1930</v>
      </c>
    </row>
    <row r="142" spans="2:9" x14ac:dyDescent="0.15">
      <c r="B142" s="10" t="s">
        <v>699</v>
      </c>
      <c r="C142" s="10" t="s">
        <v>1748</v>
      </c>
      <c r="D142" s="10" t="s">
        <v>1795</v>
      </c>
      <c r="E142" s="10" t="s">
        <v>1818</v>
      </c>
      <c r="F142" s="10">
        <v>1</v>
      </c>
      <c r="G142" s="10" t="s">
        <v>1917</v>
      </c>
      <c r="H142" s="10" t="s">
        <v>1918</v>
      </c>
    </row>
    <row r="143" spans="2:9" x14ac:dyDescent="0.15">
      <c r="B143" s="10" t="s">
        <v>699</v>
      </c>
      <c r="C143" s="10" t="s">
        <v>1748</v>
      </c>
      <c r="D143" s="10" t="s">
        <v>1795</v>
      </c>
      <c r="E143" s="10" t="s">
        <v>1817</v>
      </c>
      <c r="F143" s="10">
        <v>1</v>
      </c>
      <c r="G143" s="10" t="s">
        <v>1917</v>
      </c>
      <c r="H143" s="10" t="s">
        <v>1918</v>
      </c>
    </row>
    <row r="144" spans="2:9" x14ac:dyDescent="0.15">
      <c r="B144" s="10" t="s">
        <v>1633</v>
      </c>
      <c r="C144" s="10" t="s">
        <v>1773</v>
      </c>
      <c r="D144" s="10" t="s">
        <v>1790</v>
      </c>
      <c r="E144" s="10" t="s">
        <v>1825</v>
      </c>
      <c r="F144" s="10">
        <v>0</v>
      </c>
      <c r="G144" s="10" t="s">
        <v>1922</v>
      </c>
      <c r="H144" s="10" t="s">
        <v>1920</v>
      </c>
      <c r="I144" s="9" t="s">
        <v>1959</v>
      </c>
    </row>
    <row r="145" spans="2:9" x14ac:dyDescent="0.15">
      <c r="B145" s="10" t="s">
        <v>1633</v>
      </c>
      <c r="C145" s="10" t="s">
        <v>1773</v>
      </c>
      <c r="D145" s="10" t="s">
        <v>1790</v>
      </c>
      <c r="E145" s="10" t="s">
        <v>1815</v>
      </c>
      <c r="F145" s="10">
        <v>0</v>
      </c>
      <c r="G145" s="10" t="s">
        <v>1922</v>
      </c>
      <c r="H145" s="10" t="s">
        <v>1920</v>
      </c>
      <c r="I145" s="9" t="s">
        <v>1932</v>
      </c>
    </row>
    <row r="146" spans="2:9" x14ac:dyDescent="0.15">
      <c r="B146" s="10" t="s">
        <v>1633</v>
      </c>
      <c r="C146" s="10" t="s">
        <v>1773</v>
      </c>
      <c r="D146" s="10" t="s">
        <v>1790</v>
      </c>
      <c r="E146" s="10" t="s">
        <v>1820</v>
      </c>
      <c r="F146" s="10">
        <v>0.5</v>
      </c>
      <c r="G146" s="10" t="s">
        <v>1919</v>
      </c>
      <c r="H146" s="10" t="s">
        <v>1920</v>
      </c>
      <c r="I146" s="9" t="s">
        <v>1931</v>
      </c>
    </row>
    <row r="147" spans="2:9" x14ac:dyDescent="0.15">
      <c r="B147" s="10" t="s">
        <v>1633</v>
      </c>
      <c r="C147" s="10" t="s">
        <v>1773</v>
      </c>
      <c r="D147" s="10" t="s">
        <v>1790</v>
      </c>
      <c r="E147" s="10" t="s">
        <v>1819</v>
      </c>
      <c r="F147" s="10">
        <v>0.5</v>
      </c>
      <c r="G147" s="10" t="s">
        <v>1919</v>
      </c>
      <c r="H147" s="10" t="s">
        <v>1920</v>
      </c>
      <c r="I147" s="9" t="s">
        <v>1958</v>
      </c>
    </row>
    <row r="148" spans="2:9" x14ac:dyDescent="0.15">
      <c r="B148" s="10" t="s">
        <v>1633</v>
      </c>
      <c r="C148" s="10" t="s">
        <v>1773</v>
      </c>
      <c r="D148" s="10" t="s">
        <v>1790</v>
      </c>
      <c r="E148" s="10" t="s">
        <v>1818</v>
      </c>
      <c r="F148" s="10">
        <v>1</v>
      </c>
      <c r="G148" s="10" t="s">
        <v>1917</v>
      </c>
      <c r="H148" s="10" t="s">
        <v>1918</v>
      </c>
    </row>
    <row r="149" spans="2:9" x14ac:dyDescent="0.15">
      <c r="B149" s="10" t="s">
        <v>1633</v>
      </c>
      <c r="C149" s="10" t="s">
        <v>1773</v>
      </c>
      <c r="D149" s="10" t="s">
        <v>1790</v>
      </c>
      <c r="E149" s="10" t="s">
        <v>1817</v>
      </c>
      <c r="F149" s="10">
        <v>1</v>
      </c>
      <c r="G149" s="10" t="s">
        <v>1917</v>
      </c>
      <c r="H149" s="10" t="s">
        <v>1918</v>
      </c>
    </row>
    <row r="150" spans="2:9" x14ac:dyDescent="0.15">
      <c r="B150" s="10" t="s">
        <v>901</v>
      </c>
      <c r="C150" s="10" t="s">
        <v>1769</v>
      </c>
      <c r="D150" s="10" t="s">
        <v>1745</v>
      </c>
      <c r="E150" s="10" t="s">
        <v>1825</v>
      </c>
      <c r="F150" s="10">
        <v>0</v>
      </c>
      <c r="G150" s="10" t="s">
        <v>1922</v>
      </c>
      <c r="H150" s="10" t="s">
        <v>1920</v>
      </c>
      <c r="I150" s="9" t="s">
        <v>1931</v>
      </c>
    </row>
    <row r="151" spans="2:9" x14ac:dyDescent="0.15">
      <c r="B151" s="10" t="s">
        <v>901</v>
      </c>
      <c r="C151" s="10" t="s">
        <v>1769</v>
      </c>
      <c r="D151" s="10" t="s">
        <v>1745</v>
      </c>
      <c r="E151" s="10" t="s">
        <v>1815</v>
      </c>
      <c r="F151" s="10">
        <v>0</v>
      </c>
      <c r="G151" s="10" t="s">
        <v>1922</v>
      </c>
      <c r="H151" s="10" t="s">
        <v>1920</v>
      </c>
      <c r="I151" s="9" t="s">
        <v>1932</v>
      </c>
    </row>
    <row r="152" spans="2:9" x14ac:dyDescent="0.15">
      <c r="B152" s="10" t="s">
        <v>901</v>
      </c>
      <c r="C152" s="10" t="s">
        <v>1769</v>
      </c>
      <c r="D152" s="10" t="s">
        <v>1745</v>
      </c>
      <c r="E152" s="10" t="s">
        <v>1819</v>
      </c>
      <c r="F152" s="10">
        <v>0.5</v>
      </c>
      <c r="G152" s="10" t="s">
        <v>1919</v>
      </c>
      <c r="H152" s="10" t="s">
        <v>1920</v>
      </c>
      <c r="I152" s="9" t="s">
        <v>1940</v>
      </c>
    </row>
    <row r="153" spans="2:9" x14ac:dyDescent="0.15">
      <c r="B153" s="10" t="s">
        <v>901</v>
      </c>
      <c r="C153" s="10" t="s">
        <v>1769</v>
      </c>
      <c r="D153" s="10" t="s">
        <v>1745</v>
      </c>
      <c r="E153" s="10" t="s">
        <v>1818</v>
      </c>
      <c r="F153" s="10">
        <v>1</v>
      </c>
      <c r="G153" s="10" t="s">
        <v>1917</v>
      </c>
      <c r="H153" s="10" t="s">
        <v>1918</v>
      </c>
    </row>
    <row r="154" spans="2:9" x14ac:dyDescent="0.15">
      <c r="B154" s="10" t="s">
        <v>901</v>
      </c>
      <c r="C154" s="10" t="s">
        <v>1769</v>
      </c>
      <c r="D154" s="10" t="s">
        <v>1745</v>
      </c>
      <c r="E154" s="10" t="s">
        <v>1817</v>
      </c>
      <c r="F154" s="10">
        <v>1</v>
      </c>
      <c r="G154" s="10" t="s">
        <v>1917</v>
      </c>
      <c r="H154" s="10" t="s">
        <v>1918</v>
      </c>
    </row>
    <row r="155" spans="2:9" x14ac:dyDescent="0.15">
      <c r="B155" s="10" t="s">
        <v>1281</v>
      </c>
      <c r="C155" s="10" t="s">
        <v>1779</v>
      </c>
      <c r="D155" s="10" t="s">
        <v>1797</v>
      </c>
      <c r="E155" s="10" t="s">
        <v>1825</v>
      </c>
      <c r="F155" s="10">
        <v>0</v>
      </c>
      <c r="G155" s="10" t="s">
        <v>1922</v>
      </c>
      <c r="H155" s="10" t="s">
        <v>1920</v>
      </c>
      <c r="I155" s="9" t="s">
        <v>1959</v>
      </c>
    </row>
    <row r="156" spans="2:9" x14ac:dyDescent="0.15">
      <c r="B156" s="10" t="s">
        <v>1281</v>
      </c>
      <c r="C156" s="10" t="s">
        <v>1779</v>
      </c>
      <c r="D156" s="10" t="s">
        <v>1797</v>
      </c>
      <c r="E156" s="10" t="s">
        <v>1815</v>
      </c>
      <c r="F156" s="10">
        <v>0</v>
      </c>
      <c r="G156" s="10" t="s">
        <v>1922</v>
      </c>
      <c r="H156" s="10" t="s">
        <v>1920</v>
      </c>
      <c r="I156" s="9" t="s">
        <v>1932</v>
      </c>
    </row>
    <row r="157" spans="2:9" x14ac:dyDescent="0.15">
      <c r="B157" s="10" t="s">
        <v>1281</v>
      </c>
      <c r="C157" s="10" t="s">
        <v>1779</v>
      </c>
      <c r="D157" s="10" t="s">
        <v>1797</v>
      </c>
      <c r="E157" s="10" t="s">
        <v>1820</v>
      </c>
      <c r="F157" s="10">
        <v>0.5</v>
      </c>
      <c r="G157" s="10" t="s">
        <v>1919</v>
      </c>
      <c r="H157" s="10" t="s">
        <v>1920</v>
      </c>
      <c r="I157" s="9" t="s">
        <v>1931</v>
      </c>
    </row>
    <row r="158" spans="2:9" x14ac:dyDescent="0.15">
      <c r="B158" s="10" t="s">
        <v>1281</v>
      </c>
      <c r="C158" s="10" t="s">
        <v>1779</v>
      </c>
      <c r="D158" s="10" t="s">
        <v>1797</v>
      </c>
      <c r="E158" s="10" t="s">
        <v>1819</v>
      </c>
      <c r="F158" s="10">
        <v>0.5</v>
      </c>
      <c r="G158" s="10" t="s">
        <v>1919</v>
      </c>
      <c r="H158" s="10" t="s">
        <v>1920</v>
      </c>
      <c r="I158" s="9" t="s">
        <v>1958</v>
      </c>
    </row>
    <row r="159" spans="2:9" x14ac:dyDescent="0.15">
      <c r="B159" s="10" t="s">
        <v>1281</v>
      </c>
      <c r="C159" s="10" t="s">
        <v>1779</v>
      </c>
      <c r="D159" s="10" t="s">
        <v>1797</v>
      </c>
      <c r="E159" s="10" t="s">
        <v>1818</v>
      </c>
      <c r="F159" s="10">
        <v>1</v>
      </c>
      <c r="G159" s="10" t="s">
        <v>1917</v>
      </c>
      <c r="H159" s="10" t="s">
        <v>1918</v>
      </c>
    </row>
    <row r="160" spans="2:9" x14ac:dyDescent="0.15">
      <c r="B160" s="10" t="s">
        <v>1281</v>
      </c>
      <c r="C160" s="10" t="s">
        <v>1779</v>
      </c>
      <c r="D160" s="10" t="s">
        <v>1797</v>
      </c>
      <c r="E160" s="10" t="s">
        <v>1817</v>
      </c>
      <c r="F160" s="10">
        <v>1</v>
      </c>
      <c r="G160" s="10" t="s">
        <v>1917</v>
      </c>
      <c r="H160" s="10" t="s">
        <v>1918</v>
      </c>
    </row>
    <row r="161" spans="2:9" x14ac:dyDescent="0.15">
      <c r="B161" s="10" t="s">
        <v>695</v>
      </c>
      <c r="C161" s="10" t="s">
        <v>1748</v>
      </c>
      <c r="D161" s="10" t="s">
        <v>1795</v>
      </c>
      <c r="E161" s="10" t="s">
        <v>1825</v>
      </c>
      <c r="F161" s="10">
        <v>0</v>
      </c>
      <c r="G161" s="10" t="s">
        <v>1922</v>
      </c>
      <c r="H161" s="10" t="s">
        <v>1920</v>
      </c>
      <c r="I161" s="9" t="s">
        <v>1959</v>
      </c>
    </row>
    <row r="162" spans="2:9" x14ac:dyDescent="0.15">
      <c r="B162" s="10" t="s">
        <v>695</v>
      </c>
      <c r="C162" s="10" t="s">
        <v>1748</v>
      </c>
      <c r="D162" s="10" t="s">
        <v>1795</v>
      </c>
      <c r="E162" s="10" t="s">
        <v>1815</v>
      </c>
      <c r="F162" s="10">
        <v>0</v>
      </c>
      <c r="G162" s="10" t="s">
        <v>1922</v>
      </c>
      <c r="H162" s="10" t="s">
        <v>1920</v>
      </c>
      <c r="I162" s="9" t="s">
        <v>1932</v>
      </c>
    </row>
    <row r="163" spans="2:9" x14ac:dyDescent="0.15">
      <c r="B163" s="10" t="s">
        <v>695</v>
      </c>
      <c r="C163" s="10" t="s">
        <v>1748</v>
      </c>
      <c r="D163" s="10" t="s">
        <v>1795</v>
      </c>
      <c r="E163" s="10" t="s">
        <v>1820</v>
      </c>
      <c r="F163" s="10">
        <v>0.5</v>
      </c>
      <c r="G163" s="10" t="s">
        <v>1919</v>
      </c>
      <c r="H163" s="10" t="s">
        <v>1920</v>
      </c>
      <c r="I163" s="9" t="s">
        <v>1931</v>
      </c>
    </row>
    <row r="164" spans="2:9" x14ac:dyDescent="0.15">
      <c r="B164" s="10" t="s">
        <v>695</v>
      </c>
      <c r="C164" s="10" t="s">
        <v>1748</v>
      </c>
      <c r="D164" s="10" t="s">
        <v>1795</v>
      </c>
      <c r="E164" s="10" t="s">
        <v>1818</v>
      </c>
      <c r="F164" s="10">
        <v>1</v>
      </c>
      <c r="G164" s="10" t="s">
        <v>1917</v>
      </c>
      <c r="H164" s="10" t="s">
        <v>1918</v>
      </c>
    </row>
    <row r="165" spans="2:9" x14ac:dyDescent="0.15">
      <c r="B165" s="10" t="s">
        <v>695</v>
      </c>
      <c r="C165" s="10" t="s">
        <v>1748</v>
      </c>
      <c r="D165" s="10" t="s">
        <v>1795</v>
      </c>
      <c r="E165" s="10" t="s">
        <v>1817</v>
      </c>
      <c r="F165" s="10">
        <v>1</v>
      </c>
      <c r="G165" s="10" t="s">
        <v>1917</v>
      </c>
      <c r="H165" s="10" t="s">
        <v>1918</v>
      </c>
    </row>
    <row r="166" spans="2:9" x14ac:dyDescent="0.15">
      <c r="B166" s="10" t="s">
        <v>695</v>
      </c>
      <c r="C166" s="10" t="s">
        <v>1748</v>
      </c>
      <c r="D166" s="10" t="s">
        <v>1795</v>
      </c>
      <c r="E166" s="10" t="s">
        <v>1819</v>
      </c>
      <c r="F166" s="10">
        <v>1</v>
      </c>
      <c r="G166" s="10" t="s">
        <v>1917</v>
      </c>
      <c r="H166" s="10" t="s">
        <v>1920</v>
      </c>
      <c r="I166" s="9" t="s">
        <v>1930</v>
      </c>
    </row>
    <row r="167" spans="2:9" x14ac:dyDescent="0.15">
      <c r="B167" s="10" t="s">
        <v>903</v>
      </c>
      <c r="C167" s="10" t="s">
        <v>1763</v>
      </c>
      <c r="D167" s="10" t="s">
        <v>1798</v>
      </c>
      <c r="E167" s="10" t="s">
        <v>1825</v>
      </c>
      <c r="F167" s="10">
        <v>0</v>
      </c>
      <c r="G167" s="10" t="s">
        <v>1922</v>
      </c>
      <c r="H167" s="10" t="s">
        <v>1920</v>
      </c>
      <c r="I167" s="9" t="s">
        <v>1923</v>
      </c>
    </row>
    <row r="168" spans="2:9" x14ac:dyDescent="0.15">
      <c r="B168" s="10" t="s">
        <v>903</v>
      </c>
      <c r="C168" s="10" t="s">
        <v>1763</v>
      </c>
      <c r="D168" s="10" t="s">
        <v>1798</v>
      </c>
      <c r="E168" s="10" t="s">
        <v>1815</v>
      </c>
      <c r="F168" s="10">
        <v>0</v>
      </c>
      <c r="G168" s="10" t="s">
        <v>1922</v>
      </c>
      <c r="H168" s="10" t="s">
        <v>1920</v>
      </c>
      <c r="I168" s="9" t="s">
        <v>1924</v>
      </c>
    </row>
    <row r="169" spans="2:9" x14ac:dyDescent="0.15">
      <c r="B169" s="10" t="s">
        <v>903</v>
      </c>
      <c r="C169" s="10" t="s">
        <v>1763</v>
      </c>
      <c r="D169" s="10" t="s">
        <v>1798</v>
      </c>
      <c r="E169" s="10" t="s">
        <v>1819</v>
      </c>
      <c r="F169" s="10">
        <v>0.5</v>
      </c>
      <c r="G169" s="10" t="s">
        <v>1919</v>
      </c>
      <c r="H169" s="10" t="s">
        <v>1920</v>
      </c>
      <c r="I169" s="9" t="s">
        <v>1955</v>
      </c>
    </row>
    <row r="170" spans="2:9" x14ac:dyDescent="0.15">
      <c r="B170" s="10" t="s">
        <v>903</v>
      </c>
      <c r="C170" s="10" t="s">
        <v>1763</v>
      </c>
      <c r="D170" s="10" t="s">
        <v>1798</v>
      </c>
      <c r="E170" s="10" t="s">
        <v>1818</v>
      </c>
      <c r="F170" s="10">
        <v>1</v>
      </c>
      <c r="G170" s="10" t="s">
        <v>1917</v>
      </c>
      <c r="H170" s="10" t="s">
        <v>1918</v>
      </c>
    </row>
    <row r="171" spans="2:9" x14ac:dyDescent="0.15">
      <c r="B171" s="10" t="s">
        <v>903</v>
      </c>
      <c r="C171" s="10" t="s">
        <v>1763</v>
      </c>
      <c r="D171" s="10" t="s">
        <v>1798</v>
      </c>
      <c r="E171" s="10" t="s">
        <v>1817</v>
      </c>
      <c r="F171" s="10">
        <v>1</v>
      </c>
      <c r="G171" s="10" t="s">
        <v>1917</v>
      </c>
      <c r="H171" s="10" t="s">
        <v>1918</v>
      </c>
    </row>
    <row r="172" spans="2:9" x14ac:dyDescent="0.15">
      <c r="B172" s="10" t="s">
        <v>1406</v>
      </c>
      <c r="C172" s="10" t="s">
        <v>1763</v>
      </c>
      <c r="D172" s="10" t="s">
        <v>1800</v>
      </c>
      <c r="E172" s="10" t="s">
        <v>1825</v>
      </c>
      <c r="F172" s="10">
        <v>0</v>
      </c>
      <c r="G172" s="10" t="s">
        <v>1922</v>
      </c>
      <c r="H172" s="10" t="s">
        <v>1920</v>
      </c>
      <c r="I172" s="9" t="s">
        <v>1959</v>
      </c>
    </row>
    <row r="173" spans="2:9" x14ac:dyDescent="0.15">
      <c r="B173" s="10" t="s">
        <v>1406</v>
      </c>
      <c r="C173" s="10" t="s">
        <v>1763</v>
      </c>
      <c r="D173" s="10" t="s">
        <v>1800</v>
      </c>
      <c r="E173" s="10" t="s">
        <v>1815</v>
      </c>
      <c r="F173" s="10">
        <v>0</v>
      </c>
      <c r="G173" s="10" t="s">
        <v>1922</v>
      </c>
      <c r="H173" s="10" t="s">
        <v>1920</v>
      </c>
      <c r="I173" s="9" t="s">
        <v>1932</v>
      </c>
    </row>
    <row r="174" spans="2:9" x14ac:dyDescent="0.15">
      <c r="B174" s="10" t="s">
        <v>1406</v>
      </c>
      <c r="C174" s="10" t="s">
        <v>1763</v>
      </c>
      <c r="D174" s="10" t="s">
        <v>1800</v>
      </c>
      <c r="E174" s="10" t="s">
        <v>1820</v>
      </c>
      <c r="F174" s="10">
        <v>0.5</v>
      </c>
      <c r="G174" s="10" t="s">
        <v>1919</v>
      </c>
      <c r="H174" s="10" t="s">
        <v>1920</v>
      </c>
      <c r="I174" s="9" t="s">
        <v>1931</v>
      </c>
    </row>
    <row r="175" spans="2:9" x14ac:dyDescent="0.15">
      <c r="B175" s="10" t="s">
        <v>1406</v>
      </c>
      <c r="C175" s="10" t="s">
        <v>1763</v>
      </c>
      <c r="D175" s="10" t="s">
        <v>1800</v>
      </c>
      <c r="E175" s="10" t="s">
        <v>1819</v>
      </c>
      <c r="F175" s="10">
        <v>0.5</v>
      </c>
      <c r="G175" s="10" t="s">
        <v>1919</v>
      </c>
      <c r="H175" s="10" t="s">
        <v>1920</v>
      </c>
      <c r="I175" s="9" t="s">
        <v>1960</v>
      </c>
    </row>
    <row r="176" spans="2:9" x14ac:dyDescent="0.15">
      <c r="B176" s="10" t="s">
        <v>1406</v>
      </c>
      <c r="C176" s="10" t="s">
        <v>1763</v>
      </c>
      <c r="D176" s="10" t="s">
        <v>1800</v>
      </c>
      <c r="E176" s="10" t="s">
        <v>1818</v>
      </c>
      <c r="F176" s="10">
        <v>1</v>
      </c>
      <c r="G176" s="10" t="s">
        <v>1917</v>
      </c>
      <c r="H176" s="10" t="s">
        <v>1918</v>
      </c>
    </row>
    <row r="177" spans="2:9" x14ac:dyDescent="0.15">
      <c r="B177" s="10" t="s">
        <v>1406</v>
      </c>
      <c r="C177" s="10" t="s">
        <v>1763</v>
      </c>
      <c r="D177" s="10" t="s">
        <v>1800</v>
      </c>
      <c r="E177" s="10" t="s">
        <v>1817</v>
      </c>
      <c r="F177" s="10">
        <v>1</v>
      </c>
      <c r="G177" s="10" t="s">
        <v>1917</v>
      </c>
      <c r="H177" s="10" t="s">
        <v>1918</v>
      </c>
    </row>
    <row r="178" spans="2:9" x14ac:dyDescent="0.15">
      <c r="B178" s="10" t="s">
        <v>911</v>
      </c>
      <c r="C178" s="10" t="s">
        <v>1780</v>
      </c>
      <c r="D178" s="10" t="s">
        <v>1791</v>
      </c>
      <c r="E178" s="10" t="s">
        <v>1825</v>
      </c>
      <c r="F178" s="10">
        <v>0</v>
      </c>
      <c r="G178" s="10" t="s">
        <v>1922</v>
      </c>
      <c r="H178" s="10" t="s">
        <v>1920</v>
      </c>
      <c r="I178" s="9" t="s">
        <v>1963</v>
      </c>
    </row>
    <row r="179" spans="2:9" x14ac:dyDescent="0.15">
      <c r="B179" s="10" t="s">
        <v>911</v>
      </c>
      <c r="C179" s="10" t="s">
        <v>1780</v>
      </c>
      <c r="D179" s="10" t="s">
        <v>1791</v>
      </c>
      <c r="E179" s="10" t="s">
        <v>1815</v>
      </c>
      <c r="F179" s="10">
        <v>0</v>
      </c>
      <c r="G179" s="10" t="s">
        <v>1922</v>
      </c>
      <c r="H179" s="10" t="s">
        <v>1920</v>
      </c>
      <c r="I179" s="9" t="s">
        <v>1932</v>
      </c>
    </row>
    <row r="180" spans="2:9" x14ac:dyDescent="0.15">
      <c r="B180" s="10" t="s">
        <v>911</v>
      </c>
      <c r="C180" s="10" t="s">
        <v>1780</v>
      </c>
      <c r="D180" s="10" t="s">
        <v>1791</v>
      </c>
      <c r="E180" s="10" t="s">
        <v>1820</v>
      </c>
      <c r="F180" s="10">
        <v>0.5</v>
      </c>
      <c r="G180" s="10" t="s">
        <v>1919</v>
      </c>
      <c r="H180" s="10" t="s">
        <v>1920</v>
      </c>
      <c r="I180" s="9" t="s">
        <v>1962</v>
      </c>
    </row>
    <row r="181" spans="2:9" x14ac:dyDescent="0.15">
      <c r="B181" s="10" t="s">
        <v>911</v>
      </c>
      <c r="C181" s="10" t="s">
        <v>1780</v>
      </c>
      <c r="D181" s="10" t="s">
        <v>1791</v>
      </c>
      <c r="E181" s="10" t="s">
        <v>1818</v>
      </c>
      <c r="F181" s="10">
        <v>1</v>
      </c>
      <c r="G181" s="10" t="s">
        <v>1917</v>
      </c>
      <c r="H181" s="10" t="s">
        <v>1918</v>
      </c>
    </row>
    <row r="182" spans="2:9" x14ac:dyDescent="0.15">
      <c r="B182" s="10" t="s">
        <v>911</v>
      </c>
      <c r="C182" s="10" t="s">
        <v>1780</v>
      </c>
      <c r="D182" s="10" t="s">
        <v>1791</v>
      </c>
      <c r="E182" s="10" t="s">
        <v>1817</v>
      </c>
      <c r="F182" s="10">
        <v>1</v>
      </c>
      <c r="G182" s="10" t="s">
        <v>1917</v>
      </c>
      <c r="H182" s="10" t="s">
        <v>1918</v>
      </c>
    </row>
    <row r="183" spans="2:9" x14ac:dyDescent="0.15">
      <c r="B183" s="10" t="s">
        <v>911</v>
      </c>
      <c r="C183" s="10" t="s">
        <v>1780</v>
      </c>
      <c r="D183" s="10" t="s">
        <v>1791</v>
      </c>
      <c r="E183" s="10" t="s">
        <v>1819</v>
      </c>
      <c r="F183" s="10">
        <v>1</v>
      </c>
      <c r="G183" s="10" t="s">
        <v>1917</v>
      </c>
      <c r="H183" s="10" t="s">
        <v>1920</v>
      </c>
      <c r="I183" s="9" t="s">
        <v>1961</v>
      </c>
    </row>
    <row r="184" spans="2:9" x14ac:dyDescent="0.15">
      <c r="B184" s="10" t="s">
        <v>700</v>
      </c>
      <c r="C184" s="10" t="s">
        <v>1765</v>
      </c>
      <c r="D184" s="10" t="s">
        <v>1798</v>
      </c>
      <c r="E184" s="10" t="s">
        <v>1825</v>
      </c>
      <c r="F184" s="10">
        <v>0</v>
      </c>
      <c r="G184" s="10" t="s">
        <v>1922</v>
      </c>
      <c r="H184" s="10" t="s">
        <v>1920</v>
      </c>
      <c r="I184" s="9" t="s">
        <v>1959</v>
      </c>
    </row>
    <row r="185" spans="2:9" x14ac:dyDescent="0.15">
      <c r="B185" s="10" t="s">
        <v>700</v>
      </c>
      <c r="C185" s="10" t="s">
        <v>1765</v>
      </c>
      <c r="D185" s="10" t="s">
        <v>1798</v>
      </c>
      <c r="E185" s="10" t="s">
        <v>1815</v>
      </c>
      <c r="F185" s="10">
        <v>0</v>
      </c>
      <c r="G185" s="10" t="s">
        <v>1922</v>
      </c>
      <c r="H185" s="10" t="s">
        <v>1920</v>
      </c>
      <c r="I185" s="9" t="s">
        <v>1924</v>
      </c>
    </row>
    <row r="186" spans="2:9" x14ac:dyDescent="0.15">
      <c r="B186" s="10" t="s">
        <v>700</v>
      </c>
      <c r="C186" s="10" t="s">
        <v>1765</v>
      </c>
      <c r="D186" s="10" t="s">
        <v>1798</v>
      </c>
      <c r="E186" s="10" t="s">
        <v>1820</v>
      </c>
      <c r="F186" s="10">
        <v>0.5</v>
      </c>
      <c r="G186" s="10" t="s">
        <v>1919</v>
      </c>
      <c r="H186" s="10" t="s">
        <v>1920</v>
      </c>
      <c r="I186" s="9" t="s">
        <v>1931</v>
      </c>
    </row>
    <row r="187" spans="2:9" x14ac:dyDescent="0.15">
      <c r="B187" s="10" t="s">
        <v>700</v>
      </c>
      <c r="C187" s="10" t="s">
        <v>1765</v>
      </c>
      <c r="D187" s="10" t="s">
        <v>1798</v>
      </c>
      <c r="E187" s="10" t="s">
        <v>1818</v>
      </c>
      <c r="F187" s="10">
        <v>1</v>
      </c>
      <c r="G187" s="10" t="s">
        <v>1917</v>
      </c>
      <c r="H187" s="10" t="s">
        <v>1918</v>
      </c>
    </row>
    <row r="188" spans="2:9" x14ac:dyDescent="0.15">
      <c r="B188" s="10" t="s">
        <v>700</v>
      </c>
      <c r="C188" s="10" t="s">
        <v>1765</v>
      </c>
      <c r="D188" s="10" t="s">
        <v>1798</v>
      </c>
      <c r="E188" s="10" t="s">
        <v>1817</v>
      </c>
      <c r="F188" s="10">
        <v>1</v>
      </c>
      <c r="G188" s="10" t="s">
        <v>1917</v>
      </c>
      <c r="H188" s="10" t="s">
        <v>1918</v>
      </c>
    </row>
    <row r="189" spans="2:9" x14ac:dyDescent="0.15">
      <c r="B189" s="10" t="s">
        <v>700</v>
      </c>
      <c r="C189" s="10" t="s">
        <v>1765</v>
      </c>
      <c r="D189" s="10" t="s">
        <v>1798</v>
      </c>
      <c r="E189" s="10" t="s">
        <v>1819</v>
      </c>
      <c r="F189" s="10">
        <v>1</v>
      </c>
      <c r="G189" s="10" t="s">
        <v>1917</v>
      </c>
      <c r="H189" s="10" t="s">
        <v>1920</v>
      </c>
      <c r="I189" s="9" t="s">
        <v>1964</v>
      </c>
    </row>
    <row r="190" spans="2:9" x14ac:dyDescent="0.15">
      <c r="B190" s="10" t="s">
        <v>944</v>
      </c>
      <c r="C190" s="10" t="s">
        <v>1777</v>
      </c>
      <c r="D190" s="10" t="s">
        <v>1745</v>
      </c>
      <c r="E190" s="10" t="s">
        <v>1825</v>
      </c>
      <c r="F190" s="10">
        <v>0</v>
      </c>
      <c r="G190" s="10" t="s">
        <v>1922</v>
      </c>
      <c r="H190" s="10" t="s">
        <v>1920</v>
      </c>
      <c r="I190" s="9" t="s">
        <v>1931</v>
      </c>
    </row>
    <row r="191" spans="2:9" x14ac:dyDescent="0.15">
      <c r="B191" s="10" t="s">
        <v>944</v>
      </c>
      <c r="C191" s="10" t="s">
        <v>1777</v>
      </c>
      <c r="D191" s="10" t="s">
        <v>1745</v>
      </c>
      <c r="E191" s="10" t="s">
        <v>1815</v>
      </c>
      <c r="F191" s="10">
        <v>0</v>
      </c>
      <c r="G191" s="10" t="s">
        <v>1922</v>
      </c>
      <c r="H191" s="10" t="s">
        <v>1920</v>
      </c>
      <c r="I191" s="9" t="s">
        <v>1939</v>
      </c>
    </row>
    <row r="192" spans="2:9" x14ac:dyDescent="0.15">
      <c r="B192" s="10" t="s">
        <v>944</v>
      </c>
      <c r="C192" s="10" t="s">
        <v>1777</v>
      </c>
      <c r="D192" s="10" t="s">
        <v>1745</v>
      </c>
      <c r="E192" s="10" t="s">
        <v>1816</v>
      </c>
      <c r="F192" s="10">
        <v>0.5</v>
      </c>
      <c r="G192" s="10" t="s">
        <v>1919</v>
      </c>
      <c r="H192" s="10" t="s">
        <v>1920</v>
      </c>
      <c r="I192" s="9" t="s">
        <v>1924</v>
      </c>
    </row>
    <row r="193" spans="2:9" x14ac:dyDescent="0.15">
      <c r="B193" s="10" t="s">
        <v>944</v>
      </c>
      <c r="C193" s="10" t="s">
        <v>1777</v>
      </c>
      <c r="D193" s="10" t="s">
        <v>1745</v>
      </c>
      <c r="E193" s="10" t="s">
        <v>1819</v>
      </c>
      <c r="F193" s="10">
        <v>0.5</v>
      </c>
      <c r="G193" s="10" t="s">
        <v>1919</v>
      </c>
      <c r="H193" s="10" t="s">
        <v>1920</v>
      </c>
      <c r="I193" s="9" t="s">
        <v>1949</v>
      </c>
    </row>
    <row r="194" spans="2:9" x14ac:dyDescent="0.15">
      <c r="B194" s="10" t="s">
        <v>944</v>
      </c>
      <c r="C194" s="10" t="s">
        <v>1777</v>
      </c>
      <c r="D194" s="10" t="s">
        <v>1745</v>
      </c>
      <c r="E194" s="10" t="s">
        <v>1817</v>
      </c>
      <c r="F194" s="10">
        <v>1</v>
      </c>
      <c r="G194" s="10" t="s">
        <v>1917</v>
      </c>
      <c r="H194" s="10" t="s">
        <v>1918</v>
      </c>
    </row>
    <row r="195" spans="2:9" x14ac:dyDescent="0.15">
      <c r="B195" s="10" t="s">
        <v>944</v>
      </c>
      <c r="C195" s="10" t="s">
        <v>1777</v>
      </c>
      <c r="D195" s="10" t="s">
        <v>1745</v>
      </c>
      <c r="E195" s="10" t="s">
        <v>1818</v>
      </c>
      <c r="F195" s="10">
        <v>1</v>
      </c>
      <c r="G195" s="10" t="s">
        <v>1917</v>
      </c>
      <c r="H195" s="10" t="s">
        <v>1918</v>
      </c>
    </row>
    <row r="196" spans="2:9" x14ac:dyDescent="0.15">
      <c r="B196" s="10" t="s">
        <v>1707</v>
      </c>
      <c r="C196" s="10" t="s">
        <v>1748</v>
      </c>
      <c r="D196" s="10" t="s">
        <v>1795</v>
      </c>
      <c r="E196" s="10" t="s">
        <v>1825</v>
      </c>
      <c r="F196" s="10">
        <v>0</v>
      </c>
      <c r="G196" s="10" t="s">
        <v>1922</v>
      </c>
      <c r="H196" s="10" t="s">
        <v>1920</v>
      </c>
      <c r="I196" s="9" t="s">
        <v>1923</v>
      </c>
    </row>
    <row r="197" spans="2:9" x14ac:dyDescent="0.15">
      <c r="B197" s="10" t="s">
        <v>1707</v>
      </c>
      <c r="C197" s="10" t="s">
        <v>1748</v>
      </c>
      <c r="D197" s="10" t="s">
        <v>1795</v>
      </c>
      <c r="E197" s="10" t="s">
        <v>1815</v>
      </c>
      <c r="F197" s="10">
        <v>0</v>
      </c>
      <c r="G197" s="10" t="s">
        <v>1922</v>
      </c>
      <c r="H197" s="10" t="s">
        <v>1920</v>
      </c>
      <c r="I197" s="9" t="s">
        <v>1932</v>
      </c>
    </row>
    <row r="198" spans="2:9" x14ac:dyDescent="0.15">
      <c r="B198" s="10" t="s">
        <v>1707</v>
      </c>
      <c r="C198" s="10" t="s">
        <v>1748</v>
      </c>
      <c r="D198" s="10" t="s">
        <v>1795</v>
      </c>
      <c r="E198" s="10" t="s">
        <v>1819</v>
      </c>
      <c r="F198" s="10">
        <v>0.5</v>
      </c>
      <c r="G198" s="10" t="s">
        <v>1919</v>
      </c>
      <c r="H198" s="10" t="s">
        <v>1920</v>
      </c>
      <c r="I198" s="9" t="s">
        <v>1930</v>
      </c>
    </row>
    <row r="199" spans="2:9" x14ac:dyDescent="0.15">
      <c r="B199" s="10" t="s">
        <v>1707</v>
      </c>
      <c r="C199" s="10" t="s">
        <v>1748</v>
      </c>
      <c r="D199" s="10" t="s">
        <v>1795</v>
      </c>
      <c r="E199" s="10" t="s">
        <v>1818</v>
      </c>
      <c r="F199" s="10">
        <v>1</v>
      </c>
      <c r="G199" s="10" t="s">
        <v>1917</v>
      </c>
      <c r="H199" s="10" t="s">
        <v>1918</v>
      </c>
    </row>
    <row r="200" spans="2:9" x14ac:dyDescent="0.15">
      <c r="B200" s="10" t="s">
        <v>1707</v>
      </c>
      <c r="C200" s="10" t="s">
        <v>1748</v>
      </c>
      <c r="D200" s="10" t="s">
        <v>1795</v>
      </c>
      <c r="E200" s="10" t="s">
        <v>1817</v>
      </c>
      <c r="F200" s="10">
        <v>1</v>
      </c>
      <c r="G200" s="10" t="s">
        <v>1917</v>
      </c>
      <c r="H200" s="10" t="s">
        <v>1918</v>
      </c>
    </row>
    <row r="201" spans="2:9" x14ac:dyDescent="0.15">
      <c r="B201" s="10" t="s">
        <v>1374</v>
      </c>
      <c r="C201" s="10" t="s">
        <v>1765</v>
      </c>
      <c r="D201" s="10" t="s">
        <v>1795</v>
      </c>
      <c r="E201" s="10" t="s">
        <v>1825</v>
      </c>
      <c r="F201" s="10">
        <v>0</v>
      </c>
      <c r="G201" s="10" t="s">
        <v>1922</v>
      </c>
      <c r="H201" s="10" t="s">
        <v>1920</v>
      </c>
      <c r="I201" s="9" t="s">
        <v>1923</v>
      </c>
    </row>
    <row r="202" spans="2:9" x14ac:dyDescent="0.15">
      <c r="B202" s="10" t="s">
        <v>1374</v>
      </c>
      <c r="C202" s="10" t="s">
        <v>1765</v>
      </c>
      <c r="D202" s="10" t="s">
        <v>1795</v>
      </c>
      <c r="E202" s="10" t="s">
        <v>1815</v>
      </c>
      <c r="F202" s="10">
        <v>0</v>
      </c>
      <c r="G202" s="10" t="s">
        <v>1922</v>
      </c>
      <c r="H202" s="10" t="s">
        <v>1920</v>
      </c>
      <c r="I202" s="9" t="s">
        <v>1924</v>
      </c>
    </row>
    <row r="203" spans="2:9" x14ac:dyDescent="0.15">
      <c r="B203" s="10" t="s">
        <v>1374</v>
      </c>
      <c r="C203" s="10" t="s">
        <v>1765</v>
      </c>
      <c r="D203" s="10" t="s">
        <v>1795</v>
      </c>
      <c r="E203" s="10" t="s">
        <v>1819</v>
      </c>
      <c r="F203" s="10">
        <v>0.5</v>
      </c>
      <c r="G203" s="10" t="s">
        <v>1919</v>
      </c>
      <c r="H203" s="10" t="s">
        <v>1920</v>
      </c>
      <c r="I203" s="9" t="s">
        <v>1955</v>
      </c>
    </row>
    <row r="204" spans="2:9" x14ac:dyDescent="0.15">
      <c r="B204" s="10" t="s">
        <v>1374</v>
      </c>
      <c r="C204" s="10" t="s">
        <v>1765</v>
      </c>
      <c r="D204" s="10" t="s">
        <v>1795</v>
      </c>
      <c r="E204" s="10" t="s">
        <v>1818</v>
      </c>
      <c r="F204" s="10">
        <v>1</v>
      </c>
      <c r="G204" s="10" t="s">
        <v>1917</v>
      </c>
      <c r="H204" s="10" t="s">
        <v>1918</v>
      </c>
    </row>
    <row r="205" spans="2:9" x14ac:dyDescent="0.15">
      <c r="B205" s="10" t="s">
        <v>1374</v>
      </c>
      <c r="C205" s="10" t="s">
        <v>1765</v>
      </c>
      <c r="D205" s="10" t="s">
        <v>1795</v>
      </c>
      <c r="E205" s="10" t="s">
        <v>1817</v>
      </c>
      <c r="F205" s="10">
        <v>1</v>
      </c>
      <c r="G205" s="10" t="s">
        <v>1917</v>
      </c>
      <c r="H205" s="10" t="s">
        <v>1918</v>
      </c>
    </row>
    <row r="206" spans="2:9" x14ac:dyDescent="0.15">
      <c r="B206" s="10" t="s">
        <v>986</v>
      </c>
      <c r="C206" s="10" t="s">
        <v>1770</v>
      </c>
      <c r="D206" s="10" t="s">
        <v>1787</v>
      </c>
      <c r="E206" s="10" t="s">
        <v>1825</v>
      </c>
      <c r="F206" s="10">
        <v>0</v>
      </c>
      <c r="G206" s="10" t="s">
        <v>1922</v>
      </c>
      <c r="H206" s="10" t="s">
        <v>1920</v>
      </c>
      <c r="I206" s="9" t="s">
        <v>1968</v>
      </c>
    </row>
    <row r="207" spans="2:9" x14ac:dyDescent="0.15">
      <c r="B207" s="10" t="s">
        <v>986</v>
      </c>
      <c r="C207" s="10" t="s">
        <v>1770</v>
      </c>
      <c r="D207" s="10" t="s">
        <v>1787</v>
      </c>
      <c r="E207" s="10" t="s">
        <v>1815</v>
      </c>
      <c r="F207" s="10">
        <v>0</v>
      </c>
      <c r="G207" s="10" t="s">
        <v>1922</v>
      </c>
      <c r="H207" s="10" t="s">
        <v>1920</v>
      </c>
      <c r="I207" s="9" t="s">
        <v>1969</v>
      </c>
    </row>
    <row r="208" spans="2:9" x14ac:dyDescent="0.15">
      <c r="B208" s="10" t="s">
        <v>986</v>
      </c>
      <c r="C208" s="10" t="s">
        <v>1770</v>
      </c>
      <c r="D208" s="10" t="s">
        <v>1787</v>
      </c>
      <c r="E208" s="10" t="s">
        <v>1819</v>
      </c>
      <c r="F208" s="10">
        <v>0.5</v>
      </c>
      <c r="G208" s="10" t="s">
        <v>1919</v>
      </c>
      <c r="H208" s="10" t="s">
        <v>1920</v>
      </c>
      <c r="I208" s="9" t="s">
        <v>1966</v>
      </c>
    </row>
    <row r="209" spans="2:9" x14ac:dyDescent="0.15">
      <c r="B209" s="10" t="s">
        <v>986</v>
      </c>
      <c r="C209" s="10" t="s">
        <v>1770</v>
      </c>
      <c r="D209" s="10" t="s">
        <v>1787</v>
      </c>
      <c r="E209" s="10" t="s">
        <v>1820</v>
      </c>
      <c r="F209" s="10">
        <v>0.5</v>
      </c>
      <c r="G209" s="10" t="s">
        <v>1919</v>
      </c>
      <c r="H209" s="10" t="s">
        <v>1920</v>
      </c>
      <c r="I209" s="9" t="s">
        <v>1967</v>
      </c>
    </row>
    <row r="210" spans="2:9" x14ac:dyDescent="0.15">
      <c r="B210" s="10" t="s">
        <v>986</v>
      </c>
      <c r="C210" s="10" t="s">
        <v>1770</v>
      </c>
      <c r="D210" s="10" t="s">
        <v>1787</v>
      </c>
      <c r="E210" s="10" t="s">
        <v>1818</v>
      </c>
      <c r="F210" s="10">
        <v>1</v>
      </c>
      <c r="G210" s="10" t="s">
        <v>1917</v>
      </c>
      <c r="H210" s="10" t="s">
        <v>1918</v>
      </c>
    </row>
    <row r="211" spans="2:9" x14ac:dyDescent="0.15">
      <c r="B211" s="10" t="s">
        <v>986</v>
      </c>
      <c r="C211" s="10" t="s">
        <v>1770</v>
      </c>
      <c r="D211" s="10" t="s">
        <v>1787</v>
      </c>
      <c r="E211" s="10" t="s">
        <v>1817</v>
      </c>
      <c r="F211" s="10">
        <v>1</v>
      </c>
      <c r="G211" s="10" t="s">
        <v>1917</v>
      </c>
      <c r="H211" s="10" t="s">
        <v>1918</v>
      </c>
    </row>
    <row r="212" spans="2:9" x14ac:dyDescent="0.15">
      <c r="B212" s="10" t="s">
        <v>986</v>
      </c>
      <c r="C212" s="10" t="s">
        <v>1770</v>
      </c>
      <c r="D212" s="10" t="s">
        <v>1787</v>
      </c>
      <c r="E212" s="10" t="s">
        <v>1816</v>
      </c>
      <c r="F212" s="10">
        <v>1</v>
      </c>
      <c r="G212" s="10" t="s">
        <v>1917</v>
      </c>
      <c r="H212" s="10" t="s">
        <v>1920</v>
      </c>
      <c r="I212" s="9" t="s">
        <v>1965</v>
      </c>
    </row>
    <row r="213" spans="2:9" x14ac:dyDescent="0.15">
      <c r="B213" s="10" t="s">
        <v>1042</v>
      </c>
      <c r="C213" s="10" t="s">
        <v>1770</v>
      </c>
      <c r="D213" s="10" t="s">
        <v>1786</v>
      </c>
      <c r="E213" s="10" t="s">
        <v>1825</v>
      </c>
      <c r="F213" s="10">
        <v>0</v>
      </c>
      <c r="G213" s="10" t="s">
        <v>1922</v>
      </c>
      <c r="H213" s="10" t="s">
        <v>1920</v>
      </c>
      <c r="I213" s="9" t="s">
        <v>1923</v>
      </c>
    </row>
    <row r="214" spans="2:9" x14ac:dyDescent="0.15">
      <c r="B214" s="10" t="s">
        <v>1042</v>
      </c>
      <c r="C214" s="10" t="s">
        <v>1770</v>
      </c>
      <c r="D214" s="10" t="s">
        <v>1786</v>
      </c>
      <c r="E214" s="10" t="s">
        <v>1815</v>
      </c>
      <c r="F214" s="10">
        <v>0</v>
      </c>
      <c r="G214" s="10" t="s">
        <v>1922</v>
      </c>
      <c r="H214" s="10" t="s">
        <v>1920</v>
      </c>
      <c r="I214" s="9" t="s">
        <v>1946</v>
      </c>
    </row>
    <row r="215" spans="2:9" x14ac:dyDescent="0.15">
      <c r="B215" s="10" t="s">
        <v>1042</v>
      </c>
      <c r="C215" s="10" t="s">
        <v>1770</v>
      </c>
      <c r="D215" s="10" t="s">
        <v>1786</v>
      </c>
      <c r="E215" s="10" t="s">
        <v>1819</v>
      </c>
      <c r="F215" s="10">
        <v>0.5</v>
      </c>
      <c r="G215" s="10" t="s">
        <v>1919</v>
      </c>
      <c r="H215" s="10" t="s">
        <v>1920</v>
      </c>
      <c r="I215" s="9" t="s">
        <v>1944</v>
      </c>
    </row>
    <row r="216" spans="2:9" x14ac:dyDescent="0.15">
      <c r="B216" s="10" t="s">
        <v>1042</v>
      </c>
      <c r="C216" s="10" t="s">
        <v>1770</v>
      </c>
      <c r="D216" s="10" t="s">
        <v>1786</v>
      </c>
      <c r="E216" s="10" t="s">
        <v>1817</v>
      </c>
      <c r="F216" s="10">
        <v>1</v>
      </c>
      <c r="G216" s="10" t="s">
        <v>1917</v>
      </c>
      <c r="H216" s="10" t="s">
        <v>1918</v>
      </c>
    </row>
    <row r="217" spans="2:9" x14ac:dyDescent="0.15">
      <c r="B217" s="10" t="s">
        <v>1042</v>
      </c>
      <c r="C217" s="10" t="s">
        <v>1770</v>
      </c>
      <c r="D217" s="10" t="s">
        <v>1786</v>
      </c>
      <c r="E217" s="10" t="s">
        <v>1818</v>
      </c>
      <c r="F217" s="10">
        <v>1</v>
      </c>
      <c r="G217" s="10" t="s">
        <v>1917</v>
      </c>
      <c r="H217" s="10" t="s">
        <v>1918</v>
      </c>
    </row>
    <row r="218" spans="2:9" x14ac:dyDescent="0.15">
      <c r="B218" s="10" t="s">
        <v>1970</v>
      </c>
      <c r="C218" s="10" t="s">
        <v>1769</v>
      </c>
      <c r="D218" s="10" t="s">
        <v>1745</v>
      </c>
      <c r="E218" s="10" t="s">
        <v>1825</v>
      </c>
      <c r="F218" s="10">
        <v>0</v>
      </c>
      <c r="G218" s="10" t="s">
        <v>1922</v>
      </c>
      <c r="H218" s="10" t="s">
        <v>1920</v>
      </c>
      <c r="I218" s="9" t="s">
        <v>1923</v>
      </c>
    </row>
    <row r="219" spans="2:9" x14ac:dyDescent="0.15">
      <c r="B219" s="10" t="s">
        <v>1970</v>
      </c>
      <c r="C219" s="10" t="s">
        <v>1769</v>
      </c>
      <c r="D219" s="10" t="s">
        <v>1745</v>
      </c>
      <c r="E219" s="10" t="s">
        <v>1815</v>
      </c>
      <c r="F219" s="10">
        <v>0</v>
      </c>
      <c r="G219" s="10" t="s">
        <v>1922</v>
      </c>
      <c r="H219" s="10" t="s">
        <v>1920</v>
      </c>
      <c r="I219" s="9" t="s">
        <v>1932</v>
      </c>
    </row>
    <row r="220" spans="2:9" x14ac:dyDescent="0.15">
      <c r="B220" s="10" t="s">
        <v>1970</v>
      </c>
      <c r="C220" s="10" t="s">
        <v>1769</v>
      </c>
      <c r="D220" s="10" t="s">
        <v>1745</v>
      </c>
      <c r="E220" s="10" t="s">
        <v>1819</v>
      </c>
      <c r="F220" s="10">
        <v>0.5</v>
      </c>
      <c r="G220" s="10" t="s">
        <v>1919</v>
      </c>
      <c r="H220" s="10" t="s">
        <v>1920</v>
      </c>
      <c r="I220" s="9" t="s">
        <v>1940</v>
      </c>
    </row>
    <row r="221" spans="2:9" x14ac:dyDescent="0.15">
      <c r="B221" s="10" t="s">
        <v>1970</v>
      </c>
      <c r="C221" s="10" t="s">
        <v>1769</v>
      </c>
      <c r="D221" s="10" t="s">
        <v>1745</v>
      </c>
      <c r="E221" s="10" t="s">
        <v>1818</v>
      </c>
      <c r="F221" s="10">
        <v>1</v>
      </c>
      <c r="G221" s="10" t="s">
        <v>1917</v>
      </c>
      <c r="H221" s="10" t="s">
        <v>1918</v>
      </c>
    </row>
    <row r="222" spans="2:9" x14ac:dyDescent="0.15">
      <c r="B222" s="10" t="s">
        <v>1970</v>
      </c>
      <c r="C222" s="10" t="s">
        <v>1769</v>
      </c>
      <c r="D222" s="10" t="s">
        <v>1745</v>
      </c>
      <c r="E222" s="10" t="s">
        <v>1817</v>
      </c>
      <c r="F222" s="10">
        <v>1</v>
      </c>
      <c r="G222" s="10" t="s">
        <v>1917</v>
      </c>
      <c r="H222" s="10" t="s">
        <v>1918</v>
      </c>
    </row>
    <row r="223" spans="2:9" x14ac:dyDescent="0.15">
      <c r="B223" s="10" t="s">
        <v>1376</v>
      </c>
      <c r="C223" s="10" t="s">
        <v>1748</v>
      </c>
      <c r="D223" s="10" t="s">
        <v>1795</v>
      </c>
      <c r="E223" s="10" t="s">
        <v>1825</v>
      </c>
      <c r="F223" s="10">
        <v>0</v>
      </c>
      <c r="G223" s="10" t="s">
        <v>1922</v>
      </c>
      <c r="H223" s="10" t="s">
        <v>1920</v>
      </c>
      <c r="I223" s="9" t="s">
        <v>1923</v>
      </c>
    </row>
    <row r="224" spans="2:9" x14ac:dyDescent="0.15">
      <c r="B224" s="10" t="s">
        <v>1376</v>
      </c>
      <c r="C224" s="10" t="s">
        <v>1748</v>
      </c>
      <c r="D224" s="10" t="s">
        <v>1795</v>
      </c>
      <c r="E224" s="10" t="s">
        <v>1815</v>
      </c>
      <c r="F224" s="10">
        <v>0</v>
      </c>
      <c r="G224" s="10" t="s">
        <v>1922</v>
      </c>
      <c r="H224" s="10" t="s">
        <v>1920</v>
      </c>
      <c r="I224" s="9" t="s">
        <v>1932</v>
      </c>
    </row>
    <row r="225" spans="2:9" x14ac:dyDescent="0.15">
      <c r="B225" s="10" t="s">
        <v>1376</v>
      </c>
      <c r="C225" s="10" t="s">
        <v>1748</v>
      </c>
      <c r="D225" s="10" t="s">
        <v>1795</v>
      </c>
      <c r="E225" s="10" t="s">
        <v>1819</v>
      </c>
      <c r="F225" s="10">
        <v>0.5</v>
      </c>
      <c r="G225" s="10" t="s">
        <v>1919</v>
      </c>
      <c r="H225" s="10" t="s">
        <v>1920</v>
      </c>
      <c r="I225" s="9" t="s">
        <v>1921</v>
      </c>
    </row>
    <row r="226" spans="2:9" x14ac:dyDescent="0.15">
      <c r="B226" s="10" t="s">
        <v>1376</v>
      </c>
      <c r="C226" s="10" t="s">
        <v>1748</v>
      </c>
      <c r="D226" s="10" t="s">
        <v>1795</v>
      </c>
      <c r="E226" s="10" t="s">
        <v>1818</v>
      </c>
      <c r="F226" s="10">
        <v>1</v>
      </c>
      <c r="G226" s="10" t="s">
        <v>1917</v>
      </c>
      <c r="H226" s="10" t="s">
        <v>1918</v>
      </c>
    </row>
    <row r="227" spans="2:9" x14ac:dyDescent="0.15">
      <c r="B227" s="10" t="s">
        <v>1376</v>
      </c>
      <c r="C227" s="10" t="s">
        <v>1748</v>
      </c>
      <c r="D227" s="10" t="s">
        <v>1795</v>
      </c>
      <c r="E227" s="10" t="s">
        <v>1817</v>
      </c>
      <c r="F227" s="10">
        <v>1</v>
      </c>
      <c r="G227" s="10" t="s">
        <v>1917</v>
      </c>
      <c r="H227" s="10" t="s">
        <v>1918</v>
      </c>
    </row>
    <row r="228" spans="2:9" x14ac:dyDescent="0.15">
      <c r="B228" s="10" t="s">
        <v>1045</v>
      </c>
      <c r="C228" s="10" t="s">
        <v>1748</v>
      </c>
      <c r="D228" s="10" t="s">
        <v>1795</v>
      </c>
      <c r="E228" s="10" t="s">
        <v>1815</v>
      </c>
      <c r="F228" s="10">
        <v>0</v>
      </c>
      <c r="G228" s="10" t="s">
        <v>1922</v>
      </c>
      <c r="H228" s="10" t="s">
        <v>1920</v>
      </c>
      <c r="I228" s="9" t="s">
        <v>1974</v>
      </c>
    </row>
    <row r="229" spans="2:9" x14ac:dyDescent="0.15">
      <c r="B229" s="10" t="s">
        <v>1045</v>
      </c>
      <c r="C229" s="10" t="s">
        <v>1748</v>
      </c>
      <c r="D229" s="10" t="s">
        <v>1795</v>
      </c>
      <c r="E229" s="10" t="s">
        <v>1818</v>
      </c>
      <c r="F229" s="10">
        <v>0.5</v>
      </c>
      <c r="G229" s="10" t="s">
        <v>1919</v>
      </c>
      <c r="H229" s="10" t="s">
        <v>1918</v>
      </c>
    </row>
    <row r="230" spans="2:9" x14ac:dyDescent="0.15">
      <c r="B230" s="10" t="s">
        <v>1045</v>
      </c>
      <c r="C230" s="10" t="s">
        <v>1748</v>
      </c>
      <c r="D230" s="10" t="s">
        <v>1795</v>
      </c>
      <c r="E230" s="10" t="s">
        <v>1819</v>
      </c>
      <c r="F230" s="10">
        <v>0.5</v>
      </c>
      <c r="G230" s="10" t="s">
        <v>1919</v>
      </c>
      <c r="H230" s="10" t="s">
        <v>1920</v>
      </c>
      <c r="I230" s="9" t="s">
        <v>1973</v>
      </c>
    </row>
    <row r="231" spans="2:9" x14ac:dyDescent="0.15">
      <c r="B231" s="10" t="s">
        <v>1045</v>
      </c>
      <c r="C231" s="10" t="s">
        <v>1748</v>
      </c>
      <c r="D231" s="10" t="s">
        <v>1795</v>
      </c>
      <c r="E231" s="10" t="s">
        <v>1820</v>
      </c>
      <c r="F231" s="10">
        <v>1</v>
      </c>
      <c r="G231" s="10" t="s">
        <v>1917</v>
      </c>
      <c r="H231" s="10" t="s">
        <v>1920</v>
      </c>
      <c r="I231" s="9" t="s">
        <v>1971</v>
      </c>
    </row>
    <row r="232" spans="2:9" x14ac:dyDescent="0.15">
      <c r="B232" s="10" t="s">
        <v>1045</v>
      </c>
      <c r="C232" s="10" t="s">
        <v>1748</v>
      </c>
      <c r="D232" s="10" t="s">
        <v>1795</v>
      </c>
      <c r="E232" s="10" t="s">
        <v>1823</v>
      </c>
      <c r="F232" s="10">
        <v>1</v>
      </c>
      <c r="G232" s="10" t="s">
        <v>1917</v>
      </c>
      <c r="H232" s="10" t="s">
        <v>1920</v>
      </c>
      <c r="I232" s="9" t="s">
        <v>1972</v>
      </c>
    </row>
    <row r="233" spans="2:9" x14ac:dyDescent="0.15">
      <c r="B233" s="10" t="s">
        <v>1661</v>
      </c>
      <c r="C233" s="10" t="s">
        <v>1748</v>
      </c>
      <c r="D233" s="10" t="s">
        <v>1795</v>
      </c>
      <c r="E233" s="10" t="s">
        <v>1825</v>
      </c>
      <c r="F233" s="10">
        <v>0</v>
      </c>
      <c r="G233" s="10" t="s">
        <v>1922</v>
      </c>
      <c r="H233" s="10" t="s">
        <v>1920</v>
      </c>
      <c r="I233" s="9" t="s">
        <v>1923</v>
      </c>
    </row>
    <row r="234" spans="2:9" x14ac:dyDescent="0.15">
      <c r="B234" s="10" t="s">
        <v>1661</v>
      </c>
      <c r="C234" s="10" t="s">
        <v>1748</v>
      </c>
      <c r="D234" s="10" t="s">
        <v>1795</v>
      </c>
      <c r="E234" s="10" t="s">
        <v>1815</v>
      </c>
      <c r="F234" s="10">
        <v>0</v>
      </c>
      <c r="G234" s="10" t="s">
        <v>1922</v>
      </c>
      <c r="H234" s="10" t="s">
        <v>1920</v>
      </c>
      <c r="I234" s="9" t="s">
        <v>1932</v>
      </c>
    </row>
    <row r="235" spans="2:9" x14ac:dyDescent="0.15">
      <c r="B235" s="10" t="s">
        <v>1661</v>
      </c>
      <c r="C235" s="10" t="s">
        <v>1748</v>
      </c>
      <c r="D235" s="10" t="s">
        <v>1795</v>
      </c>
      <c r="E235" s="10" t="s">
        <v>1819</v>
      </c>
      <c r="F235" s="10">
        <v>0.5</v>
      </c>
      <c r="G235" s="10" t="s">
        <v>1919</v>
      </c>
      <c r="H235" s="10" t="s">
        <v>1920</v>
      </c>
      <c r="I235" s="9" t="s">
        <v>1930</v>
      </c>
    </row>
    <row r="236" spans="2:9" x14ac:dyDescent="0.15">
      <c r="B236" s="10" t="s">
        <v>1661</v>
      </c>
      <c r="C236" s="10" t="s">
        <v>1748</v>
      </c>
      <c r="D236" s="10" t="s">
        <v>1795</v>
      </c>
      <c r="E236" s="10" t="s">
        <v>1818</v>
      </c>
      <c r="F236" s="10">
        <v>1</v>
      </c>
      <c r="G236" s="10" t="s">
        <v>1917</v>
      </c>
      <c r="H236" s="10" t="s">
        <v>1918</v>
      </c>
    </row>
    <row r="237" spans="2:9" x14ac:dyDescent="0.15">
      <c r="B237" s="10" t="s">
        <v>1661</v>
      </c>
      <c r="C237" s="10" t="s">
        <v>1748</v>
      </c>
      <c r="D237" s="10" t="s">
        <v>1795</v>
      </c>
      <c r="E237" s="10" t="s">
        <v>1817</v>
      </c>
      <c r="F237" s="10">
        <v>1</v>
      </c>
      <c r="G237" s="10" t="s">
        <v>1917</v>
      </c>
      <c r="H237" s="10" t="s">
        <v>1918</v>
      </c>
    </row>
    <row r="238" spans="2:9" x14ac:dyDescent="0.15">
      <c r="B238" s="10" t="s">
        <v>702</v>
      </c>
      <c r="C238" s="10" t="s">
        <v>1769</v>
      </c>
      <c r="D238" s="10" t="s">
        <v>1745</v>
      </c>
      <c r="E238" s="10" t="s">
        <v>1825</v>
      </c>
      <c r="F238" s="10">
        <v>0</v>
      </c>
      <c r="G238" s="10" t="s">
        <v>1922</v>
      </c>
      <c r="H238" s="10" t="s">
        <v>1920</v>
      </c>
      <c r="I238" s="9" t="s">
        <v>1923</v>
      </c>
    </row>
    <row r="239" spans="2:9" x14ac:dyDescent="0.15">
      <c r="B239" s="10" t="s">
        <v>702</v>
      </c>
      <c r="C239" s="10" t="s">
        <v>1769</v>
      </c>
      <c r="D239" s="10" t="s">
        <v>1745</v>
      </c>
      <c r="E239" s="10" t="s">
        <v>1815</v>
      </c>
      <c r="F239" s="10">
        <v>0</v>
      </c>
      <c r="G239" s="10" t="s">
        <v>1922</v>
      </c>
      <c r="H239" s="10" t="s">
        <v>1920</v>
      </c>
      <c r="I239" s="9" t="s">
        <v>1932</v>
      </c>
    </row>
    <row r="240" spans="2:9" x14ac:dyDescent="0.15">
      <c r="B240" s="10" t="s">
        <v>702</v>
      </c>
      <c r="C240" s="10" t="s">
        <v>1769</v>
      </c>
      <c r="D240" s="10" t="s">
        <v>1745</v>
      </c>
      <c r="E240" s="10" t="s">
        <v>1819</v>
      </c>
      <c r="F240" s="10">
        <v>0.5</v>
      </c>
      <c r="G240" s="10" t="s">
        <v>1919</v>
      </c>
      <c r="H240" s="10" t="s">
        <v>1920</v>
      </c>
      <c r="I240" s="9" t="s">
        <v>1949</v>
      </c>
    </row>
    <row r="241" spans="2:9" x14ac:dyDescent="0.15">
      <c r="B241" s="10" t="s">
        <v>702</v>
      </c>
      <c r="C241" s="10" t="s">
        <v>1769</v>
      </c>
      <c r="D241" s="10" t="s">
        <v>1745</v>
      </c>
      <c r="E241" s="10" t="s">
        <v>1818</v>
      </c>
      <c r="F241" s="10">
        <v>1</v>
      </c>
      <c r="G241" s="10" t="s">
        <v>1917</v>
      </c>
      <c r="H241" s="10" t="s">
        <v>1918</v>
      </c>
    </row>
    <row r="242" spans="2:9" x14ac:dyDescent="0.15">
      <c r="B242" s="10" t="s">
        <v>702</v>
      </c>
      <c r="C242" s="10" t="s">
        <v>1769</v>
      </c>
      <c r="D242" s="10" t="s">
        <v>1745</v>
      </c>
      <c r="E242" s="10" t="s">
        <v>1817</v>
      </c>
      <c r="F242" s="10">
        <v>1</v>
      </c>
      <c r="G242" s="10" t="s">
        <v>1917</v>
      </c>
      <c r="H242" s="10" t="s">
        <v>1918</v>
      </c>
    </row>
    <row r="243" spans="2:9" x14ac:dyDescent="0.15">
      <c r="B243" s="10" t="s">
        <v>1710</v>
      </c>
      <c r="C243" s="10" t="s">
        <v>1748</v>
      </c>
      <c r="D243" s="10" t="s">
        <v>1797</v>
      </c>
      <c r="E243" s="10" t="s">
        <v>1825</v>
      </c>
      <c r="F243" s="10">
        <v>0</v>
      </c>
      <c r="G243" s="10" t="s">
        <v>1922</v>
      </c>
      <c r="H243" s="10" t="s">
        <v>1920</v>
      </c>
      <c r="I243" s="9" t="s">
        <v>1923</v>
      </c>
    </row>
    <row r="244" spans="2:9" x14ac:dyDescent="0.15">
      <c r="B244" s="10" t="s">
        <v>1710</v>
      </c>
      <c r="C244" s="10" t="s">
        <v>1748</v>
      </c>
      <c r="D244" s="10" t="s">
        <v>1797</v>
      </c>
      <c r="E244" s="10" t="s">
        <v>1815</v>
      </c>
      <c r="F244" s="10">
        <v>0</v>
      </c>
      <c r="G244" s="10" t="s">
        <v>1922</v>
      </c>
      <c r="H244" s="10" t="s">
        <v>1920</v>
      </c>
      <c r="I244" s="9" t="s">
        <v>1932</v>
      </c>
    </row>
    <row r="245" spans="2:9" x14ac:dyDescent="0.15">
      <c r="B245" s="10" t="s">
        <v>1710</v>
      </c>
      <c r="C245" s="10" t="s">
        <v>1748</v>
      </c>
      <c r="D245" s="10" t="s">
        <v>1797</v>
      </c>
      <c r="E245" s="10" t="s">
        <v>1819</v>
      </c>
      <c r="F245" s="10">
        <v>0.5</v>
      </c>
      <c r="G245" s="10" t="s">
        <v>1919</v>
      </c>
      <c r="H245" s="10" t="s">
        <v>1920</v>
      </c>
      <c r="I245" s="9" t="s">
        <v>1956</v>
      </c>
    </row>
    <row r="246" spans="2:9" x14ac:dyDescent="0.15">
      <c r="B246" s="10" t="s">
        <v>1710</v>
      </c>
      <c r="C246" s="10" t="s">
        <v>1748</v>
      </c>
      <c r="D246" s="10" t="s">
        <v>1797</v>
      </c>
      <c r="E246" s="10" t="s">
        <v>1818</v>
      </c>
      <c r="F246" s="10">
        <v>1</v>
      </c>
      <c r="G246" s="10" t="s">
        <v>1917</v>
      </c>
      <c r="H246" s="10" t="s">
        <v>1918</v>
      </c>
    </row>
    <row r="247" spans="2:9" x14ac:dyDescent="0.15">
      <c r="B247" s="10" t="s">
        <v>1710</v>
      </c>
      <c r="C247" s="10" t="s">
        <v>1748</v>
      </c>
      <c r="D247" s="10" t="s">
        <v>1797</v>
      </c>
      <c r="E247" s="10" t="s">
        <v>1817</v>
      </c>
      <c r="F247" s="10">
        <v>1</v>
      </c>
      <c r="G247" s="10" t="s">
        <v>1917</v>
      </c>
      <c r="H247" s="10" t="s">
        <v>1918</v>
      </c>
    </row>
    <row r="248" spans="2:9" x14ac:dyDescent="0.15">
      <c r="B248" s="10" t="s">
        <v>693</v>
      </c>
      <c r="C248" s="10" t="s">
        <v>1748</v>
      </c>
      <c r="D248" s="10" t="s">
        <v>1795</v>
      </c>
      <c r="E248" s="10" t="s">
        <v>1825</v>
      </c>
      <c r="F248" s="10">
        <v>0</v>
      </c>
      <c r="G248" s="10" t="s">
        <v>1922</v>
      </c>
      <c r="H248" s="10" t="s">
        <v>1920</v>
      </c>
      <c r="I248" s="9" t="s">
        <v>1959</v>
      </c>
    </row>
    <row r="249" spans="2:9" x14ac:dyDescent="0.15">
      <c r="B249" s="10" t="s">
        <v>693</v>
      </c>
      <c r="C249" s="10" t="s">
        <v>1748</v>
      </c>
      <c r="D249" s="10" t="s">
        <v>1795</v>
      </c>
      <c r="E249" s="10" t="s">
        <v>1815</v>
      </c>
      <c r="F249" s="10">
        <v>0</v>
      </c>
      <c r="G249" s="10" t="s">
        <v>1922</v>
      </c>
      <c r="H249" s="10" t="s">
        <v>1920</v>
      </c>
      <c r="I249" s="9" t="s">
        <v>1932</v>
      </c>
    </row>
    <row r="250" spans="2:9" x14ac:dyDescent="0.15">
      <c r="B250" s="10" t="s">
        <v>693</v>
      </c>
      <c r="C250" s="10" t="s">
        <v>1748</v>
      </c>
      <c r="D250" s="10" t="s">
        <v>1795</v>
      </c>
      <c r="E250" s="10" t="s">
        <v>1820</v>
      </c>
      <c r="F250" s="10">
        <v>0.5</v>
      </c>
      <c r="G250" s="10" t="s">
        <v>1919</v>
      </c>
      <c r="H250" s="10" t="s">
        <v>1920</v>
      </c>
      <c r="I250" s="9" t="s">
        <v>1931</v>
      </c>
    </row>
    <row r="251" spans="2:9" x14ac:dyDescent="0.15">
      <c r="B251" s="10" t="s">
        <v>693</v>
      </c>
      <c r="C251" s="10" t="s">
        <v>1748</v>
      </c>
      <c r="D251" s="10" t="s">
        <v>1795</v>
      </c>
      <c r="E251" s="10" t="s">
        <v>1818</v>
      </c>
      <c r="F251" s="10">
        <v>1</v>
      </c>
      <c r="G251" s="10" t="s">
        <v>1917</v>
      </c>
      <c r="H251" s="10" t="s">
        <v>1918</v>
      </c>
    </row>
    <row r="252" spans="2:9" x14ac:dyDescent="0.15">
      <c r="B252" s="10" t="s">
        <v>693</v>
      </c>
      <c r="C252" s="10" t="s">
        <v>1748</v>
      </c>
      <c r="D252" s="10" t="s">
        <v>1795</v>
      </c>
      <c r="E252" s="10" t="s">
        <v>1817</v>
      </c>
      <c r="F252" s="10">
        <v>1</v>
      </c>
      <c r="G252" s="10" t="s">
        <v>1917</v>
      </c>
      <c r="H252" s="10" t="s">
        <v>1918</v>
      </c>
    </row>
    <row r="253" spans="2:9" x14ac:dyDescent="0.15">
      <c r="B253" s="10" t="s">
        <v>693</v>
      </c>
      <c r="C253" s="10" t="s">
        <v>1748</v>
      </c>
      <c r="D253" s="10" t="s">
        <v>1795</v>
      </c>
      <c r="E253" s="10" t="s">
        <v>1819</v>
      </c>
      <c r="F253" s="10">
        <v>1</v>
      </c>
      <c r="G253" s="10" t="s">
        <v>1917</v>
      </c>
      <c r="H253" s="10" t="s">
        <v>1920</v>
      </c>
      <c r="I253" s="9" t="s">
        <v>1930</v>
      </c>
    </row>
    <row r="254" spans="2:9" x14ac:dyDescent="0.15">
      <c r="B254" s="10" t="s">
        <v>1781</v>
      </c>
      <c r="C254" s="10" t="s">
        <v>1763</v>
      </c>
      <c r="D254" s="10" t="s">
        <v>1741</v>
      </c>
      <c r="E254" s="10" t="s">
        <v>1825</v>
      </c>
      <c r="F254" s="10">
        <v>0</v>
      </c>
      <c r="G254" s="10" t="s">
        <v>1922</v>
      </c>
      <c r="H254" s="10" t="s">
        <v>1920</v>
      </c>
      <c r="I254" s="9" t="s">
        <v>1923</v>
      </c>
    </row>
    <row r="255" spans="2:9" x14ac:dyDescent="0.15">
      <c r="B255" s="10" t="s">
        <v>1781</v>
      </c>
      <c r="C255" s="10" t="s">
        <v>1763</v>
      </c>
      <c r="D255" s="10" t="s">
        <v>1741</v>
      </c>
      <c r="E255" s="10" t="s">
        <v>1815</v>
      </c>
      <c r="F255" s="10">
        <v>0</v>
      </c>
      <c r="G255" s="10" t="s">
        <v>1922</v>
      </c>
      <c r="H255" s="10" t="s">
        <v>1920</v>
      </c>
      <c r="I255" s="9" t="s">
        <v>1954</v>
      </c>
    </row>
    <row r="256" spans="2:9" x14ac:dyDescent="0.15">
      <c r="B256" s="10" t="s">
        <v>1781</v>
      </c>
      <c r="C256" s="10" t="s">
        <v>1763</v>
      </c>
      <c r="D256" s="10" t="s">
        <v>1741</v>
      </c>
      <c r="E256" s="10" t="s">
        <v>1819</v>
      </c>
      <c r="F256" s="10">
        <v>0.5</v>
      </c>
      <c r="G256" s="10" t="s">
        <v>1919</v>
      </c>
      <c r="H256" s="10" t="s">
        <v>1920</v>
      </c>
      <c r="I256" s="9" t="s">
        <v>1949</v>
      </c>
    </row>
    <row r="257" spans="2:9" x14ac:dyDescent="0.15">
      <c r="B257" s="10" t="s">
        <v>1781</v>
      </c>
      <c r="C257" s="10" t="s">
        <v>1763</v>
      </c>
      <c r="D257" s="10" t="s">
        <v>1741</v>
      </c>
      <c r="E257" s="10" t="s">
        <v>1818</v>
      </c>
      <c r="F257" s="10">
        <v>1</v>
      </c>
      <c r="G257" s="10" t="s">
        <v>1917</v>
      </c>
      <c r="H257" s="10" t="s">
        <v>1918</v>
      </c>
    </row>
    <row r="258" spans="2:9" x14ac:dyDescent="0.15">
      <c r="B258" s="10" t="s">
        <v>1781</v>
      </c>
      <c r="C258" s="10" t="s">
        <v>1763</v>
      </c>
      <c r="D258" s="10" t="s">
        <v>1741</v>
      </c>
      <c r="E258" s="10" t="s">
        <v>1817</v>
      </c>
      <c r="F258" s="10">
        <v>1</v>
      </c>
      <c r="G258" s="10" t="s">
        <v>1917</v>
      </c>
      <c r="H258" s="10" t="s">
        <v>1918</v>
      </c>
    </row>
    <row r="259" spans="2:9" x14ac:dyDescent="0.15">
      <c r="B259" s="10" t="s">
        <v>1782</v>
      </c>
      <c r="C259" s="10" t="s">
        <v>1770</v>
      </c>
      <c r="D259" s="10" t="s">
        <v>1792</v>
      </c>
      <c r="E259" s="10" t="s">
        <v>1825</v>
      </c>
      <c r="F259" s="10">
        <v>0</v>
      </c>
      <c r="G259" s="10" t="s">
        <v>1922</v>
      </c>
      <c r="H259" s="10" t="s">
        <v>1920</v>
      </c>
      <c r="I259" s="9" t="s">
        <v>1976</v>
      </c>
    </row>
    <row r="260" spans="2:9" x14ac:dyDescent="0.15">
      <c r="B260" s="10" t="s">
        <v>1782</v>
      </c>
      <c r="C260" s="10" t="s">
        <v>1770</v>
      </c>
      <c r="D260" s="10" t="s">
        <v>1792</v>
      </c>
      <c r="E260" s="10" t="s">
        <v>1815</v>
      </c>
      <c r="F260" s="10">
        <v>0</v>
      </c>
      <c r="G260" s="10" t="s">
        <v>1922</v>
      </c>
      <c r="H260" s="10" t="s">
        <v>1920</v>
      </c>
      <c r="I260" s="9" t="s">
        <v>1977</v>
      </c>
    </row>
    <row r="261" spans="2:9" x14ac:dyDescent="0.15">
      <c r="B261" s="10" t="s">
        <v>1782</v>
      </c>
      <c r="C261" s="10" t="s">
        <v>1770</v>
      </c>
      <c r="D261" s="10" t="s">
        <v>1792</v>
      </c>
      <c r="E261" s="10" t="s">
        <v>1820</v>
      </c>
      <c r="F261" s="10">
        <v>0.5</v>
      </c>
      <c r="G261" s="10" t="s">
        <v>1919</v>
      </c>
      <c r="H261" s="10" t="s">
        <v>1920</v>
      </c>
      <c r="I261" s="9" t="s">
        <v>1931</v>
      </c>
    </row>
    <row r="262" spans="2:9" x14ac:dyDescent="0.15">
      <c r="B262" s="10" t="s">
        <v>1782</v>
      </c>
      <c r="C262" s="10" t="s">
        <v>1770</v>
      </c>
      <c r="D262" s="10" t="s">
        <v>1792</v>
      </c>
      <c r="E262" s="10" t="s">
        <v>1818</v>
      </c>
      <c r="F262" s="10">
        <v>1</v>
      </c>
      <c r="G262" s="10" t="s">
        <v>1917</v>
      </c>
      <c r="H262" s="10" t="s">
        <v>1918</v>
      </c>
    </row>
    <row r="263" spans="2:9" x14ac:dyDescent="0.15">
      <c r="B263" s="10" t="s">
        <v>1782</v>
      </c>
      <c r="C263" s="10" t="s">
        <v>1770</v>
      </c>
      <c r="D263" s="10" t="s">
        <v>1792</v>
      </c>
      <c r="E263" s="10" t="s">
        <v>1817</v>
      </c>
      <c r="F263" s="10">
        <v>1</v>
      </c>
      <c r="G263" s="10" t="s">
        <v>1917</v>
      </c>
      <c r="H263" s="10" t="s">
        <v>1918</v>
      </c>
    </row>
    <row r="264" spans="2:9" x14ac:dyDescent="0.15">
      <c r="B264" s="10" t="s">
        <v>1782</v>
      </c>
      <c r="C264" s="10" t="s">
        <v>1770</v>
      </c>
      <c r="D264" s="10" t="s">
        <v>1792</v>
      </c>
      <c r="E264" s="10" t="s">
        <v>1819</v>
      </c>
      <c r="F264" s="10">
        <v>1</v>
      </c>
      <c r="G264" s="10" t="s">
        <v>1917</v>
      </c>
      <c r="H264" s="10" t="s">
        <v>1920</v>
      </c>
      <c r="I264" s="9" t="s">
        <v>1975</v>
      </c>
    </row>
    <row r="265" spans="2:9" x14ac:dyDescent="0.15">
      <c r="B265" s="10" t="s">
        <v>1470</v>
      </c>
      <c r="C265" s="10" t="s">
        <v>1779</v>
      </c>
      <c r="D265" s="10" t="s">
        <v>1794</v>
      </c>
      <c r="E265" s="10" t="s">
        <v>1825</v>
      </c>
      <c r="F265" s="10">
        <v>0</v>
      </c>
      <c r="G265" s="10" t="s">
        <v>1922</v>
      </c>
      <c r="H265" s="10" t="s">
        <v>1920</v>
      </c>
      <c r="I265" s="9" t="s">
        <v>1959</v>
      </c>
    </row>
    <row r="266" spans="2:9" x14ac:dyDescent="0.15">
      <c r="B266" s="10" t="s">
        <v>1470</v>
      </c>
      <c r="C266" s="10" t="s">
        <v>1779</v>
      </c>
      <c r="D266" s="10" t="s">
        <v>1794</v>
      </c>
      <c r="E266" s="10" t="s">
        <v>1815</v>
      </c>
      <c r="F266" s="10">
        <v>0</v>
      </c>
      <c r="G266" s="10" t="s">
        <v>1922</v>
      </c>
      <c r="H266" s="10" t="s">
        <v>1920</v>
      </c>
      <c r="I266" s="9" t="s">
        <v>1932</v>
      </c>
    </row>
    <row r="267" spans="2:9" x14ac:dyDescent="0.15">
      <c r="B267" s="10" t="s">
        <v>1470</v>
      </c>
      <c r="C267" s="10" t="s">
        <v>1779</v>
      </c>
      <c r="D267" s="10" t="s">
        <v>1794</v>
      </c>
      <c r="E267" s="10" t="s">
        <v>1819</v>
      </c>
      <c r="F267" s="10">
        <v>0.5</v>
      </c>
      <c r="G267" s="10" t="s">
        <v>1919</v>
      </c>
      <c r="H267" s="10" t="s">
        <v>1920</v>
      </c>
      <c r="I267" s="9" t="s">
        <v>1960</v>
      </c>
    </row>
    <row r="268" spans="2:9" x14ac:dyDescent="0.15">
      <c r="B268" s="10" t="s">
        <v>1470</v>
      </c>
      <c r="C268" s="10" t="s">
        <v>1779</v>
      </c>
      <c r="D268" s="10" t="s">
        <v>1794</v>
      </c>
      <c r="E268" s="10" t="s">
        <v>1818</v>
      </c>
      <c r="F268" s="10">
        <v>1</v>
      </c>
      <c r="G268" s="10" t="s">
        <v>1917</v>
      </c>
      <c r="H268" s="10" t="s">
        <v>1918</v>
      </c>
    </row>
    <row r="269" spans="2:9" x14ac:dyDescent="0.15">
      <c r="B269" s="10" t="s">
        <v>1470</v>
      </c>
      <c r="C269" s="10" t="s">
        <v>1779</v>
      </c>
      <c r="D269" s="10" t="s">
        <v>1794</v>
      </c>
      <c r="E269" s="10" t="s">
        <v>1817</v>
      </c>
      <c r="F269" s="10">
        <v>1</v>
      </c>
      <c r="G269" s="10" t="s">
        <v>1917</v>
      </c>
      <c r="H269" s="10" t="s">
        <v>1918</v>
      </c>
    </row>
    <row r="270" spans="2:9" x14ac:dyDescent="0.15">
      <c r="B270" s="10" t="s">
        <v>1470</v>
      </c>
      <c r="C270" s="10" t="s">
        <v>1779</v>
      </c>
      <c r="D270" s="10" t="s">
        <v>1794</v>
      </c>
      <c r="E270" s="10" t="s">
        <v>1820</v>
      </c>
      <c r="F270" s="10">
        <v>1</v>
      </c>
      <c r="G270" s="10" t="s">
        <v>1917</v>
      </c>
      <c r="H270" s="10" t="s">
        <v>1920</v>
      </c>
      <c r="I270" s="9" t="s">
        <v>1978</v>
      </c>
    </row>
    <row r="271" spans="2:9" x14ac:dyDescent="0.15">
      <c r="B271" s="10" t="s">
        <v>1117</v>
      </c>
      <c r="C271" s="10" t="s">
        <v>1769</v>
      </c>
      <c r="D271" s="10" t="s">
        <v>1745</v>
      </c>
      <c r="E271" s="10" t="s">
        <v>1825</v>
      </c>
      <c r="F271" s="10">
        <v>0</v>
      </c>
      <c r="G271" s="10" t="s">
        <v>1922</v>
      </c>
      <c r="H271" s="10" t="s">
        <v>1920</v>
      </c>
      <c r="I271" s="9" t="s">
        <v>1959</v>
      </c>
    </row>
    <row r="272" spans="2:9" x14ac:dyDescent="0.15">
      <c r="B272" s="10" t="s">
        <v>1117</v>
      </c>
      <c r="C272" s="10" t="s">
        <v>1769</v>
      </c>
      <c r="D272" s="10" t="s">
        <v>1745</v>
      </c>
      <c r="E272" s="10" t="s">
        <v>1815</v>
      </c>
      <c r="F272" s="10">
        <v>0</v>
      </c>
      <c r="G272" s="10" t="s">
        <v>1922</v>
      </c>
      <c r="H272" s="10" t="s">
        <v>1920</v>
      </c>
      <c r="I272" s="9" t="s">
        <v>1932</v>
      </c>
    </row>
    <row r="273" spans="2:9" x14ac:dyDescent="0.15">
      <c r="B273" s="10" t="s">
        <v>1117</v>
      </c>
      <c r="C273" s="10" t="s">
        <v>1769</v>
      </c>
      <c r="D273" s="10" t="s">
        <v>1745</v>
      </c>
      <c r="E273" s="10" t="s">
        <v>1820</v>
      </c>
      <c r="F273" s="10">
        <v>0.5</v>
      </c>
      <c r="G273" s="10" t="s">
        <v>1919</v>
      </c>
      <c r="H273" s="10" t="s">
        <v>1920</v>
      </c>
      <c r="I273" s="9" t="s">
        <v>1931</v>
      </c>
    </row>
    <row r="274" spans="2:9" x14ac:dyDescent="0.15">
      <c r="B274" s="10" t="s">
        <v>1117</v>
      </c>
      <c r="C274" s="10" t="s">
        <v>1769</v>
      </c>
      <c r="D274" s="10" t="s">
        <v>1745</v>
      </c>
      <c r="E274" s="10" t="s">
        <v>1818</v>
      </c>
      <c r="F274" s="10">
        <v>1</v>
      </c>
      <c r="G274" s="10" t="s">
        <v>1917</v>
      </c>
      <c r="H274" s="10" t="s">
        <v>1918</v>
      </c>
    </row>
    <row r="275" spans="2:9" x14ac:dyDescent="0.15">
      <c r="B275" s="10" t="s">
        <v>1117</v>
      </c>
      <c r="C275" s="10" t="s">
        <v>1769</v>
      </c>
      <c r="D275" s="10" t="s">
        <v>1745</v>
      </c>
      <c r="E275" s="10" t="s">
        <v>1817</v>
      </c>
      <c r="F275" s="10">
        <v>1</v>
      </c>
      <c r="G275" s="10" t="s">
        <v>1917</v>
      </c>
      <c r="H275" s="10" t="s">
        <v>1918</v>
      </c>
    </row>
    <row r="276" spans="2:9" x14ac:dyDescent="0.15">
      <c r="B276" s="10" t="s">
        <v>1117</v>
      </c>
      <c r="C276" s="10" t="s">
        <v>1769</v>
      </c>
      <c r="D276" s="10" t="s">
        <v>1745</v>
      </c>
      <c r="E276" s="10" t="s">
        <v>1819</v>
      </c>
      <c r="F276" s="10">
        <v>1</v>
      </c>
      <c r="G276" s="10" t="s">
        <v>1917</v>
      </c>
      <c r="H276" s="10" t="s">
        <v>1920</v>
      </c>
      <c r="I276" s="9" t="s">
        <v>1979</v>
      </c>
    </row>
    <row r="277" spans="2:9" x14ac:dyDescent="0.15">
      <c r="B277" s="10" t="s">
        <v>1514</v>
      </c>
      <c r="C277" s="10" t="s">
        <v>1770</v>
      </c>
      <c r="D277" s="10" t="s">
        <v>1787</v>
      </c>
      <c r="E277" s="10" t="s">
        <v>1825</v>
      </c>
      <c r="F277" s="10">
        <v>0</v>
      </c>
      <c r="G277" s="10" t="s">
        <v>1922</v>
      </c>
      <c r="H277" s="10" t="s">
        <v>1920</v>
      </c>
      <c r="I277" s="9" t="s">
        <v>1923</v>
      </c>
    </row>
    <row r="278" spans="2:9" x14ac:dyDescent="0.15">
      <c r="B278" s="10" t="s">
        <v>1514</v>
      </c>
      <c r="C278" s="10" t="s">
        <v>1770</v>
      </c>
      <c r="D278" s="10" t="s">
        <v>1787</v>
      </c>
      <c r="E278" s="10" t="s">
        <v>1815</v>
      </c>
      <c r="F278" s="10">
        <v>0</v>
      </c>
      <c r="G278" s="10" t="s">
        <v>1922</v>
      </c>
      <c r="H278" s="10" t="s">
        <v>1920</v>
      </c>
      <c r="I278" s="9" t="s">
        <v>1981</v>
      </c>
    </row>
    <row r="279" spans="2:9" x14ac:dyDescent="0.15">
      <c r="B279" s="10" t="s">
        <v>1514</v>
      </c>
      <c r="C279" s="10" t="s">
        <v>1770</v>
      </c>
      <c r="D279" s="10" t="s">
        <v>1787</v>
      </c>
      <c r="E279" s="10" t="s">
        <v>1816</v>
      </c>
      <c r="F279" s="10">
        <v>0.5</v>
      </c>
      <c r="G279" s="10" t="s">
        <v>1919</v>
      </c>
      <c r="H279" s="10" t="s">
        <v>1920</v>
      </c>
      <c r="I279" s="9" t="s">
        <v>1924</v>
      </c>
    </row>
    <row r="280" spans="2:9" x14ac:dyDescent="0.15">
      <c r="B280" s="10" t="s">
        <v>1514</v>
      </c>
      <c r="C280" s="10" t="s">
        <v>1770</v>
      </c>
      <c r="D280" s="10" t="s">
        <v>1787</v>
      </c>
      <c r="E280" s="10" t="s">
        <v>1819</v>
      </c>
      <c r="F280" s="10">
        <v>0.5</v>
      </c>
      <c r="G280" s="10" t="s">
        <v>1919</v>
      </c>
      <c r="H280" s="10" t="s">
        <v>1920</v>
      </c>
      <c r="I280" s="9" t="s">
        <v>1980</v>
      </c>
    </row>
    <row r="281" spans="2:9" x14ac:dyDescent="0.15">
      <c r="B281" s="10" t="s">
        <v>1514</v>
      </c>
      <c r="C281" s="10" t="s">
        <v>1770</v>
      </c>
      <c r="D281" s="10" t="s">
        <v>1787</v>
      </c>
      <c r="E281" s="10" t="s">
        <v>1817</v>
      </c>
      <c r="F281" s="10">
        <v>1</v>
      </c>
      <c r="G281" s="10" t="s">
        <v>1917</v>
      </c>
      <c r="H281" s="10" t="s">
        <v>1918</v>
      </c>
    </row>
    <row r="282" spans="2:9" x14ac:dyDescent="0.15">
      <c r="B282" s="10" t="s">
        <v>1514</v>
      </c>
      <c r="C282" s="10" t="s">
        <v>1770</v>
      </c>
      <c r="D282" s="10" t="s">
        <v>1787</v>
      </c>
      <c r="E282" s="10" t="s">
        <v>1818</v>
      </c>
      <c r="F282" s="10">
        <v>1</v>
      </c>
      <c r="G282" s="10" t="s">
        <v>1917</v>
      </c>
      <c r="H282" s="10" t="s">
        <v>1918</v>
      </c>
    </row>
    <row r="283" spans="2:9" x14ac:dyDescent="0.15">
      <c r="B283" s="10" t="s">
        <v>1609</v>
      </c>
      <c r="C283" s="10" t="s">
        <v>1773</v>
      </c>
      <c r="D283" s="10" t="s">
        <v>1790</v>
      </c>
      <c r="E283" s="10" t="s">
        <v>1825</v>
      </c>
      <c r="F283" s="10">
        <v>0</v>
      </c>
      <c r="G283" s="10" t="s">
        <v>1922</v>
      </c>
      <c r="H283" s="10" t="s">
        <v>1920</v>
      </c>
      <c r="I283" s="9" t="s">
        <v>1959</v>
      </c>
    </row>
    <row r="284" spans="2:9" x14ac:dyDescent="0.15">
      <c r="B284" s="10" t="s">
        <v>1609</v>
      </c>
      <c r="C284" s="10" t="s">
        <v>1773</v>
      </c>
      <c r="D284" s="10" t="s">
        <v>1790</v>
      </c>
      <c r="E284" s="10" t="s">
        <v>1815</v>
      </c>
      <c r="F284" s="10">
        <v>0</v>
      </c>
      <c r="G284" s="10" t="s">
        <v>1922</v>
      </c>
      <c r="H284" s="10" t="s">
        <v>1920</v>
      </c>
      <c r="I284" s="9" t="s">
        <v>1932</v>
      </c>
    </row>
    <row r="285" spans="2:9" x14ac:dyDescent="0.15">
      <c r="B285" s="10" t="s">
        <v>1609</v>
      </c>
      <c r="C285" s="10" t="s">
        <v>1773</v>
      </c>
      <c r="D285" s="10" t="s">
        <v>1790</v>
      </c>
      <c r="E285" s="10" t="s">
        <v>1820</v>
      </c>
      <c r="F285" s="10">
        <v>0.5</v>
      </c>
      <c r="G285" s="10" t="s">
        <v>1919</v>
      </c>
      <c r="H285" s="10" t="s">
        <v>1920</v>
      </c>
      <c r="I285" s="9" t="s">
        <v>1931</v>
      </c>
    </row>
    <row r="286" spans="2:9" x14ac:dyDescent="0.15">
      <c r="B286" s="10" t="s">
        <v>1609</v>
      </c>
      <c r="C286" s="10" t="s">
        <v>1773</v>
      </c>
      <c r="D286" s="10" t="s">
        <v>1790</v>
      </c>
      <c r="E286" s="10" t="s">
        <v>1819</v>
      </c>
      <c r="F286" s="10">
        <v>0.5</v>
      </c>
      <c r="G286" s="10" t="s">
        <v>1919</v>
      </c>
      <c r="H286" s="10" t="s">
        <v>1920</v>
      </c>
      <c r="I286" s="9" t="s">
        <v>1958</v>
      </c>
    </row>
    <row r="287" spans="2:9" x14ac:dyDescent="0.15">
      <c r="B287" s="10" t="s">
        <v>1609</v>
      </c>
      <c r="C287" s="10" t="s">
        <v>1773</v>
      </c>
      <c r="D287" s="10" t="s">
        <v>1790</v>
      </c>
      <c r="E287" s="10" t="s">
        <v>1818</v>
      </c>
      <c r="F287" s="10">
        <v>1</v>
      </c>
      <c r="G287" s="10" t="s">
        <v>1917</v>
      </c>
      <c r="H287" s="10" t="s">
        <v>1918</v>
      </c>
    </row>
    <row r="288" spans="2:9" x14ac:dyDescent="0.15">
      <c r="B288" s="10" t="s">
        <v>1609</v>
      </c>
      <c r="C288" s="10" t="s">
        <v>1773</v>
      </c>
      <c r="D288" s="10" t="s">
        <v>1790</v>
      </c>
      <c r="E288" s="10" t="s">
        <v>1817</v>
      </c>
      <c r="F288" s="10">
        <v>1</v>
      </c>
      <c r="G288" s="10" t="s">
        <v>1917</v>
      </c>
      <c r="H288" s="10" t="s">
        <v>1918</v>
      </c>
    </row>
    <row r="289" spans="2:9" x14ac:dyDescent="0.15">
      <c r="B289" s="10" t="s">
        <v>1577</v>
      </c>
      <c r="C289" s="10" t="s">
        <v>1767</v>
      </c>
      <c r="D289" s="10" t="s">
        <v>1793</v>
      </c>
      <c r="E289" s="10" t="s">
        <v>1825</v>
      </c>
      <c r="F289" s="10">
        <v>0</v>
      </c>
      <c r="G289" s="10" t="s">
        <v>1922</v>
      </c>
      <c r="H289" s="10" t="s">
        <v>1920</v>
      </c>
      <c r="I289" s="9" t="s">
        <v>1931</v>
      </c>
    </row>
    <row r="290" spans="2:9" x14ac:dyDescent="0.15">
      <c r="B290" s="10" t="s">
        <v>1577</v>
      </c>
      <c r="C290" s="10" t="s">
        <v>1767</v>
      </c>
      <c r="D290" s="10" t="s">
        <v>1793</v>
      </c>
      <c r="E290" s="10" t="s">
        <v>1815</v>
      </c>
      <c r="F290" s="10">
        <v>0</v>
      </c>
      <c r="G290" s="10" t="s">
        <v>1922</v>
      </c>
      <c r="H290" s="10" t="s">
        <v>1920</v>
      </c>
      <c r="I290" s="9" t="s">
        <v>1932</v>
      </c>
    </row>
    <row r="291" spans="2:9" x14ac:dyDescent="0.15">
      <c r="B291" s="10" t="s">
        <v>1577</v>
      </c>
      <c r="C291" s="10" t="s">
        <v>1767</v>
      </c>
      <c r="D291" s="10" t="s">
        <v>1793</v>
      </c>
      <c r="E291" s="10" t="s">
        <v>1819</v>
      </c>
      <c r="F291" s="10">
        <v>0.5</v>
      </c>
      <c r="G291" s="10" t="s">
        <v>1919</v>
      </c>
      <c r="H291" s="10" t="s">
        <v>1920</v>
      </c>
      <c r="I291" s="9" t="s">
        <v>1960</v>
      </c>
    </row>
    <row r="292" spans="2:9" x14ac:dyDescent="0.15">
      <c r="B292" s="10" t="s">
        <v>1577</v>
      </c>
      <c r="C292" s="10" t="s">
        <v>1767</v>
      </c>
      <c r="D292" s="10" t="s">
        <v>1793</v>
      </c>
      <c r="E292" s="10" t="s">
        <v>1818</v>
      </c>
      <c r="F292" s="10">
        <v>1</v>
      </c>
      <c r="G292" s="10" t="s">
        <v>1917</v>
      </c>
      <c r="H292" s="10" t="s">
        <v>1918</v>
      </c>
    </row>
    <row r="293" spans="2:9" x14ac:dyDescent="0.15">
      <c r="B293" s="10" t="s">
        <v>1577</v>
      </c>
      <c r="C293" s="10" t="s">
        <v>1767</v>
      </c>
      <c r="D293" s="10" t="s">
        <v>1793</v>
      </c>
      <c r="E293" s="10" t="s">
        <v>1817</v>
      </c>
      <c r="F293" s="10">
        <v>1</v>
      </c>
      <c r="G293" s="10" t="s">
        <v>1917</v>
      </c>
      <c r="H293" s="10" t="s">
        <v>1918</v>
      </c>
    </row>
    <row r="294" spans="2:9" x14ac:dyDescent="0.15">
      <c r="B294" s="10" t="s">
        <v>1783</v>
      </c>
      <c r="C294" s="10" t="s">
        <v>1763</v>
      </c>
      <c r="D294" s="10" t="s">
        <v>1741</v>
      </c>
      <c r="E294" s="10" t="s">
        <v>1825</v>
      </c>
      <c r="F294" s="10">
        <v>0</v>
      </c>
      <c r="G294" s="10" t="s">
        <v>1922</v>
      </c>
      <c r="H294" s="10" t="s">
        <v>1920</v>
      </c>
      <c r="I294" s="9" t="s">
        <v>1923</v>
      </c>
    </row>
    <row r="295" spans="2:9" x14ac:dyDescent="0.15">
      <c r="B295" s="10" t="s">
        <v>1783</v>
      </c>
      <c r="C295" s="10" t="s">
        <v>1763</v>
      </c>
      <c r="D295" s="10" t="s">
        <v>1741</v>
      </c>
      <c r="E295" s="10" t="s">
        <v>1815</v>
      </c>
      <c r="F295" s="10">
        <v>0</v>
      </c>
      <c r="G295" s="10" t="s">
        <v>1922</v>
      </c>
      <c r="H295" s="10" t="s">
        <v>1920</v>
      </c>
      <c r="I295" s="9" t="s">
        <v>1954</v>
      </c>
    </row>
    <row r="296" spans="2:9" x14ac:dyDescent="0.15">
      <c r="B296" s="10" t="s">
        <v>1783</v>
      </c>
      <c r="C296" s="10" t="s">
        <v>1763</v>
      </c>
      <c r="D296" s="10" t="s">
        <v>1741</v>
      </c>
      <c r="E296" s="10" t="s">
        <v>1819</v>
      </c>
      <c r="F296" s="10">
        <v>0.5</v>
      </c>
      <c r="G296" s="10" t="s">
        <v>1919</v>
      </c>
      <c r="H296" s="10" t="s">
        <v>1920</v>
      </c>
      <c r="I296" s="9" t="s">
        <v>1949</v>
      </c>
    </row>
    <row r="297" spans="2:9" x14ac:dyDescent="0.15">
      <c r="B297" s="10" t="s">
        <v>1783</v>
      </c>
      <c r="C297" s="10" t="s">
        <v>1763</v>
      </c>
      <c r="D297" s="10" t="s">
        <v>1741</v>
      </c>
      <c r="E297" s="10" t="s">
        <v>1818</v>
      </c>
      <c r="F297" s="10">
        <v>1</v>
      </c>
      <c r="G297" s="10" t="s">
        <v>1917</v>
      </c>
      <c r="H297" s="10" t="s">
        <v>1918</v>
      </c>
    </row>
    <row r="298" spans="2:9" x14ac:dyDescent="0.15">
      <c r="B298" s="10" t="s">
        <v>1783</v>
      </c>
      <c r="C298" s="10" t="s">
        <v>1763</v>
      </c>
      <c r="D298" s="10" t="s">
        <v>1741</v>
      </c>
      <c r="E298" s="10" t="s">
        <v>1817</v>
      </c>
      <c r="F298" s="10">
        <v>1</v>
      </c>
      <c r="G298" s="10" t="s">
        <v>1917</v>
      </c>
      <c r="H298" s="10" t="s">
        <v>1918</v>
      </c>
    </row>
    <row r="299" spans="2:9" x14ac:dyDescent="0.15">
      <c r="B299" s="10" t="s">
        <v>1430</v>
      </c>
      <c r="C299" s="10" t="s">
        <v>1767</v>
      </c>
      <c r="D299" s="10" t="s">
        <v>1793</v>
      </c>
      <c r="E299" s="10" t="s">
        <v>1825</v>
      </c>
      <c r="F299" s="10">
        <v>0</v>
      </c>
      <c r="G299" s="10" t="s">
        <v>1922</v>
      </c>
      <c r="H299" s="10" t="s">
        <v>1920</v>
      </c>
      <c r="I299" s="9" t="s">
        <v>1923</v>
      </c>
    </row>
    <row r="300" spans="2:9" x14ac:dyDescent="0.15">
      <c r="B300" s="10" t="s">
        <v>1430</v>
      </c>
      <c r="C300" s="10" t="s">
        <v>1767</v>
      </c>
      <c r="D300" s="10" t="s">
        <v>1793</v>
      </c>
      <c r="E300" s="10" t="s">
        <v>1815</v>
      </c>
      <c r="F300" s="10">
        <v>0</v>
      </c>
      <c r="G300" s="10" t="s">
        <v>1922</v>
      </c>
      <c r="H300" s="10" t="s">
        <v>1920</v>
      </c>
      <c r="I300" s="9" t="s">
        <v>1936</v>
      </c>
    </row>
    <row r="301" spans="2:9" x14ac:dyDescent="0.15">
      <c r="B301" s="10" t="s">
        <v>1430</v>
      </c>
      <c r="C301" s="10" t="s">
        <v>1767</v>
      </c>
      <c r="D301" s="10" t="s">
        <v>1793</v>
      </c>
      <c r="E301" s="10" t="s">
        <v>1819</v>
      </c>
      <c r="F301" s="10">
        <v>0.5</v>
      </c>
      <c r="G301" s="10" t="s">
        <v>1919</v>
      </c>
      <c r="H301" s="10" t="s">
        <v>1920</v>
      </c>
      <c r="I301" s="9" t="s">
        <v>1982</v>
      </c>
    </row>
    <row r="302" spans="2:9" x14ac:dyDescent="0.15">
      <c r="B302" s="10" t="s">
        <v>1430</v>
      </c>
      <c r="C302" s="10" t="s">
        <v>1767</v>
      </c>
      <c r="D302" s="10" t="s">
        <v>1793</v>
      </c>
      <c r="E302" s="10" t="s">
        <v>1818</v>
      </c>
      <c r="F302" s="10">
        <v>1</v>
      </c>
      <c r="G302" s="10" t="s">
        <v>1917</v>
      </c>
      <c r="H302" s="10" t="s">
        <v>1918</v>
      </c>
    </row>
    <row r="303" spans="2:9" x14ac:dyDescent="0.15">
      <c r="B303" s="10" t="s">
        <v>1430</v>
      </c>
      <c r="C303" s="10" t="s">
        <v>1767</v>
      </c>
      <c r="D303" s="10" t="s">
        <v>1793</v>
      </c>
      <c r="E303" s="10" t="s">
        <v>1817</v>
      </c>
      <c r="F303" s="10">
        <v>1</v>
      </c>
      <c r="G303" s="10" t="s">
        <v>1917</v>
      </c>
      <c r="H303" s="10" t="s">
        <v>1918</v>
      </c>
    </row>
    <row r="304" spans="2:9" x14ac:dyDescent="0.15">
      <c r="B304" s="10" t="s">
        <v>698</v>
      </c>
      <c r="C304" s="10" t="s">
        <v>1763</v>
      </c>
      <c r="D304" s="10" t="s">
        <v>1741</v>
      </c>
      <c r="E304" s="10" t="s">
        <v>1825</v>
      </c>
      <c r="F304" s="10">
        <v>0</v>
      </c>
      <c r="G304" s="10" t="s">
        <v>1922</v>
      </c>
      <c r="H304" s="10" t="s">
        <v>1920</v>
      </c>
      <c r="I304" s="9" t="s">
        <v>1923</v>
      </c>
    </row>
    <row r="305" spans="2:9" x14ac:dyDescent="0.15">
      <c r="B305" s="10" t="s">
        <v>698</v>
      </c>
      <c r="C305" s="10" t="s">
        <v>1763</v>
      </c>
      <c r="D305" s="10" t="s">
        <v>1741</v>
      </c>
      <c r="E305" s="10" t="s">
        <v>1815</v>
      </c>
      <c r="F305" s="10">
        <v>0</v>
      </c>
      <c r="G305" s="10" t="s">
        <v>1922</v>
      </c>
      <c r="H305" s="10" t="s">
        <v>1920</v>
      </c>
      <c r="I305" s="9" t="s">
        <v>1954</v>
      </c>
    </row>
    <row r="306" spans="2:9" x14ac:dyDescent="0.15">
      <c r="B306" s="10" t="s">
        <v>698</v>
      </c>
      <c r="C306" s="10" t="s">
        <v>1763</v>
      </c>
      <c r="D306" s="10" t="s">
        <v>1741</v>
      </c>
      <c r="E306" s="10" t="s">
        <v>1819</v>
      </c>
      <c r="F306" s="10">
        <v>0.5</v>
      </c>
      <c r="G306" s="10" t="s">
        <v>1919</v>
      </c>
      <c r="H306" s="10" t="s">
        <v>1920</v>
      </c>
      <c r="I306" s="9" t="s">
        <v>1955</v>
      </c>
    </row>
    <row r="307" spans="2:9" x14ac:dyDescent="0.15">
      <c r="B307" s="10" t="s">
        <v>698</v>
      </c>
      <c r="C307" s="10" t="s">
        <v>1763</v>
      </c>
      <c r="D307" s="10" t="s">
        <v>1741</v>
      </c>
      <c r="E307" s="10" t="s">
        <v>1820</v>
      </c>
      <c r="F307" s="10">
        <v>0.5</v>
      </c>
      <c r="G307" s="10" t="s">
        <v>1919</v>
      </c>
      <c r="H307" s="10" t="s">
        <v>1920</v>
      </c>
      <c r="I307" s="9" t="s">
        <v>1935</v>
      </c>
    </row>
    <row r="308" spans="2:9" x14ac:dyDescent="0.15">
      <c r="B308" s="10" t="s">
        <v>698</v>
      </c>
      <c r="C308" s="10" t="s">
        <v>1763</v>
      </c>
      <c r="D308" s="10" t="s">
        <v>1741</v>
      </c>
      <c r="E308" s="10" t="s">
        <v>1818</v>
      </c>
      <c r="F308" s="10">
        <v>1</v>
      </c>
      <c r="G308" s="10" t="s">
        <v>1917</v>
      </c>
      <c r="H308" s="10" t="s">
        <v>1918</v>
      </c>
    </row>
    <row r="309" spans="2:9" x14ac:dyDescent="0.15">
      <c r="B309" s="10" t="s">
        <v>698</v>
      </c>
      <c r="C309" s="10" t="s">
        <v>1763</v>
      </c>
      <c r="D309" s="10" t="s">
        <v>1741</v>
      </c>
      <c r="E309" s="10" t="s">
        <v>1817</v>
      </c>
      <c r="F309" s="10">
        <v>1</v>
      </c>
      <c r="G309" s="10" t="s">
        <v>1917</v>
      </c>
      <c r="H309" s="10" t="s">
        <v>1918</v>
      </c>
    </row>
    <row r="310" spans="2:9" x14ac:dyDescent="0.15">
      <c r="B310" s="10" t="s">
        <v>1150</v>
      </c>
      <c r="C310" s="10" t="s">
        <v>1770</v>
      </c>
      <c r="D310" s="10" t="s">
        <v>1786</v>
      </c>
      <c r="E310" s="10" t="s">
        <v>1825</v>
      </c>
      <c r="F310" s="10">
        <v>0</v>
      </c>
      <c r="G310" s="10" t="s">
        <v>1922</v>
      </c>
      <c r="H310" s="10" t="s">
        <v>1920</v>
      </c>
      <c r="I310" s="9" t="s">
        <v>1923</v>
      </c>
    </row>
    <row r="311" spans="2:9" x14ac:dyDescent="0.15">
      <c r="B311" s="10" t="s">
        <v>1150</v>
      </c>
      <c r="C311" s="10" t="s">
        <v>1770</v>
      </c>
      <c r="D311" s="10" t="s">
        <v>1786</v>
      </c>
      <c r="E311" s="10" t="s">
        <v>1815</v>
      </c>
      <c r="F311" s="10">
        <v>0</v>
      </c>
      <c r="G311" s="10" t="s">
        <v>1922</v>
      </c>
      <c r="H311" s="10" t="s">
        <v>1920</v>
      </c>
      <c r="I311" s="9" t="s">
        <v>1946</v>
      </c>
    </row>
    <row r="312" spans="2:9" x14ac:dyDescent="0.15">
      <c r="B312" s="10" t="s">
        <v>1150</v>
      </c>
      <c r="C312" s="10" t="s">
        <v>1770</v>
      </c>
      <c r="D312" s="10" t="s">
        <v>1786</v>
      </c>
      <c r="E312" s="10" t="s">
        <v>1819</v>
      </c>
      <c r="F312" s="10">
        <v>0.5</v>
      </c>
      <c r="G312" s="10" t="s">
        <v>1919</v>
      </c>
      <c r="H312" s="10" t="s">
        <v>1920</v>
      </c>
      <c r="I312" s="9" t="s">
        <v>1944</v>
      </c>
    </row>
    <row r="313" spans="2:9" x14ac:dyDescent="0.15">
      <c r="B313" s="10" t="s">
        <v>1150</v>
      </c>
      <c r="C313" s="10" t="s">
        <v>1770</v>
      </c>
      <c r="D313" s="10" t="s">
        <v>1786</v>
      </c>
      <c r="E313" s="10" t="s">
        <v>1817</v>
      </c>
      <c r="F313" s="10">
        <v>1</v>
      </c>
      <c r="G313" s="10" t="s">
        <v>1917</v>
      </c>
      <c r="H313" s="10" t="s">
        <v>1918</v>
      </c>
    </row>
    <row r="314" spans="2:9" x14ac:dyDescent="0.15">
      <c r="B314" s="10" t="s">
        <v>1150</v>
      </c>
      <c r="C314" s="10" t="s">
        <v>1770</v>
      </c>
      <c r="D314" s="10" t="s">
        <v>1786</v>
      </c>
      <c r="E314" s="10" t="s">
        <v>1818</v>
      </c>
      <c r="F314" s="10">
        <v>1</v>
      </c>
      <c r="G314" s="10" t="s">
        <v>1917</v>
      </c>
      <c r="H314" s="10" t="s">
        <v>1918</v>
      </c>
    </row>
    <row r="315" spans="2:9" x14ac:dyDescent="0.15">
      <c r="B315" s="10" t="s">
        <v>1784</v>
      </c>
      <c r="C315" s="10" t="s">
        <v>1763</v>
      </c>
      <c r="D315" s="10" t="s">
        <v>1741</v>
      </c>
      <c r="E315" s="10" t="s">
        <v>1825</v>
      </c>
      <c r="F315" s="10">
        <v>0</v>
      </c>
      <c r="G315" s="10" t="s">
        <v>1922</v>
      </c>
      <c r="H315" s="10" t="s">
        <v>1920</v>
      </c>
      <c r="I315" s="9" t="s">
        <v>1923</v>
      </c>
    </row>
    <row r="316" spans="2:9" x14ac:dyDescent="0.15">
      <c r="B316" s="10" t="s">
        <v>1784</v>
      </c>
      <c r="C316" s="10" t="s">
        <v>1763</v>
      </c>
      <c r="D316" s="10" t="s">
        <v>1741</v>
      </c>
      <c r="E316" s="10" t="s">
        <v>1815</v>
      </c>
      <c r="F316" s="10">
        <v>0</v>
      </c>
      <c r="G316" s="10" t="s">
        <v>1922</v>
      </c>
      <c r="H316" s="10" t="s">
        <v>1920</v>
      </c>
      <c r="I316" s="9" t="s">
        <v>1954</v>
      </c>
    </row>
    <row r="317" spans="2:9" x14ac:dyDescent="0.15">
      <c r="B317" s="10" t="s">
        <v>1784</v>
      </c>
      <c r="C317" s="10" t="s">
        <v>1763</v>
      </c>
      <c r="D317" s="10" t="s">
        <v>1741</v>
      </c>
      <c r="E317" s="10" t="s">
        <v>1819</v>
      </c>
      <c r="F317" s="10">
        <v>0.5</v>
      </c>
      <c r="G317" s="10" t="s">
        <v>1919</v>
      </c>
      <c r="H317" s="10" t="s">
        <v>1920</v>
      </c>
      <c r="I317" s="9" t="s">
        <v>1949</v>
      </c>
    </row>
    <row r="318" spans="2:9" x14ac:dyDescent="0.15">
      <c r="B318" s="10" t="s">
        <v>1784</v>
      </c>
      <c r="C318" s="10" t="s">
        <v>1763</v>
      </c>
      <c r="D318" s="10" t="s">
        <v>1741</v>
      </c>
      <c r="E318" s="10" t="s">
        <v>1818</v>
      </c>
      <c r="F318" s="10">
        <v>1</v>
      </c>
      <c r="G318" s="10" t="s">
        <v>1917</v>
      </c>
      <c r="H318" s="10" t="s">
        <v>1918</v>
      </c>
    </row>
    <row r="319" spans="2:9" x14ac:dyDescent="0.15">
      <c r="B319" s="10" t="s">
        <v>1784</v>
      </c>
      <c r="C319" s="10" t="s">
        <v>1763</v>
      </c>
      <c r="D319" s="10" t="s">
        <v>1741</v>
      </c>
      <c r="E319" s="10" t="s">
        <v>1817</v>
      </c>
      <c r="F319" s="10">
        <v>1</v>
      </c>
      <c r="G319" s="10" t="s">
        <v>1917</v>
      </c>
      <c r="H319" s="10" t="s">
        <v>1918</v>
      </c>
    </row>
    <row r="320" spans="2:9" x14ac:dyDescent="0.15">
      <c r="B320" s="10" t="s">
        <v>1152</v>
      </c>
      <c r="C320" s="10" t="s">
        <v>1763</v>
      </c>
      <c r="D320" s="10" t="s">
        <v>1741</v>
      </c>
      <c r="E320" s="10" t="s">
        <v>1825</v>
      </c>
      <c r="F320" s="10">
        <v>0</v>
      </c>
      <c r="G320" s="10" t="s">
        <v>1922</v>
      </c>
      <c r="H320" s="10" t="s">
        <v>1920</v>
      </c>
      <c r="I320" s="9" t="s">
        <v>1923</v>
      </c>
    </row>
    <row r="321" spans="2:9" x14ac:dyDescent="0.15">
      <c r="B321" s="10" t="s">
        <v>1152</v>
      </c>
      <c r="C321" s="10" t="s">
        <v>1763</v>
      </c>
      <c r="D321" s="10" t="s">
        <v>1741</v>
      </c>
      <c r="E321" s="10" t="s">
        <v>1815</v>
      </c>
      <c r="F321" s="10">
        <v>0</v>
      </c>
      <c r="G321" s="10" t="s">
        <v>1922</v>
      </c>
      <c r="H321" s="10" t="s">
        <v>1920</v>
      </c>
      <c r="I321" s="9" t="s">
        <v>1924</v>
      </c>
    </row>
    <row r="322" spans="2:9" x14ac:dyDescent="0.15">
      <c r="B322" s="10" t="s">
        <v>1152</v>
      </c>
      <c r="C322" s="10" t="s">
        <v>1763</v>
      </c>
      <c r="D322" s="10" t="s">
        <v>1741</v>
      </c>
      <c r="E322" s="10" t="s">
        <v>1819</v>
      </c>
      <c r="F322" s="10">
        <v>0.5</v>
      </c>
      <c r="G322" s="10" t="s">
        <v>1919</v>
      </c>
      <c r="H322" s="10" t="s">
        <v>1920</v>
      </c>
      <c r="I322" s="9" t="s">
        <v>1955</v>
      </c>
    </row>
    <row r="323" spans="2:9" x14ac:dyDescent="0.15">
      <c r="B323" s="10" t="s">
        <v>1152</v>
      </c>
      <c r="C323" s="10" t="s">
        <v>1763</v>
      </c>
      <c r="D323" s="10" t="s">
        <v>1741</v>
      </c>
      <c r="E323" s="10" t="s">
        <v>1817</v>
      </c>
      <c r="F323" s="10">
        <v>1</v>
      </c>
      <c r="G323" s="10" t="s">
        <v>1917</v>
      </c>
      <c r="H323" s="10" t="s">
        <v>1918</v>
      </c>
    </row>
    <row r="324" spans="2:9" x14ac:dyDescent="0.15">
      <c r="B324" s="10" t="s">
        <v>1152</v>
      </c>
      <c r="C324" s="10" t="s">
        <v>1763</v>
      </c>
      <c r="D324" s="10" t="s">
        <v>1741</v>
      </c>
      <c r="E324" s="10" t="s">
        <v>1818</v>
      </c>
      <c r="F324" s="10">
        <v>1</v>
      </c>
      <c r="G324" s="10" t="s">
        <v>1917</v>
      </c>
      <c r="H324" s="10" t="s">
        <v>1918</v>
      </c>
    </row>
    <row r="325" spans="2:9" x14ac:dyDescent="0.15">
      <c r="B325" s="10" t="s">
        <v>696</v>
      </c>
      <c r="C325" s="10" t="s">
        <v>1748</v>
      </c>
      <c r="D325" s="10" t="s">
        <v>1795</v>
      </c>
      <c r="E325" s="10" t="s">
        <v>1825</v>
      </c>
      <c r="F325" s="10">
        <v>0</v>
      </c>
      <c r="G325" s="10" t="s">
        <v>1922</v>
      </c>
      <c r="H325" s="10" t="s">
        <v>1920</v>
      </c>
      <c r="I325" s="9" t="s">
        <v>1959</v>
      </c>
    </row>
    <row r="326" spans="2:9" x14ac:dyDescent="0.15">
      <c r="B326" s="10" t="s">
        <v>696</v>
      </c>
      <c r="C326" s="10" t="s">
        <v>1748</v>
      </c>
      <c r="D326" s="10" t="s">
        <v>1795</v>
      </c>
      <c r="E326" s="10" t="s">
        <v>1815</v>
      </c>
      <c r="F326" s="10">
        <v>0</v>
      </c>
      <c r="G326" s="10" t="s">
        <v>1922</v>
      </c>
      <c r="H326" s="10" t="s">
        <v>1920</v>
      </c>
      <c r="I326" s="9" t="s">
        <v>1932</v>
      </c>
    </row>
    <row r="327" spans="2:9" x14ac:dyDescent="0.15">
      <c r="B327" s="10" t="s">
        <v>696</v>
      </c>
      <c r="C327" s="10" t="s">
        <v>1748</v>
      </c>
      <c r="D327" s="10" t="s">
        <v>1795</v>
      </c>
      <c r="E327" s="10" t="s">
        <v>1820</v>
      </c>
      <c r="F327" s="10">
        <v>0.5</v>
      </c>
      <c r="G327" s="10" t="s">
        <v>1919</v>
      </c>
      <c r="H327" s="10" t="s">
        <v>1920</v>
      </c>
      <c r="I327" s="9" t="s">
        <v>1931</v>
      </c>
    </row>
    <row r="328" spans="2:9" x14ac:dyDescent="0.15">
      <c r="B328" s="10" t="s">
        <v>696</v>
      </c>
      <c r="C328" s="10" t="s">
        <v>1748</v>
      </c>
      <c r="D328" s="10" t="s">
        <v>1795</v>
      </c>
      <c r="E328" s="10" t="s">
        <v>1818</v>
      </c>
      <c r="F328" s="10">
        <v>1</v>
      </c>
      <c r="G328" s="10" t="s">
        <v>1917</v>
      </c>
      <c r="H328" s="10" t="s">
        <v>1918</v>
      </c>
    </row>
    <row r="329" spans="2:9" x14ac:dyDescent="0.15">
      <c r="B329" s="10" t="s">
        <v>696</v>
      </c>
      <c r="C329" s="10" t="s">
        <v>1748</v>
      </c>
      <c r="D329" s="10" t="s">
        <v>1795</v>
      </c>
      <c r="E329" s="10" t="s">
        <v>1817</v>
      </c>
      <c r="F329" s="10">
        <v>1</v>
      </c>
      <c r="G329" s="10" t="s">
        <v>1917</v>
      </c>
      <c r="H329" s="10" t="s">
        <v>1918</v>
      </c>
    </row>
    <row r="330" spans="2:9" x14ac:dyDescent="0.15">
      <c r="B330" s="10" t="s">
        <v>696</v>
      </c>
      <c r="C330" s="10" t="s">
        <v>1748</v>
      </c>
      <c r="D330" s="10" t="s">
        <v>1795</v>
      </c>
      <c r="E330" s="10" t="s">
        <v>1819</v>
      </c>
      <c r="F330" s="10">
        <v>1</v>
      </c>
      <c r="G330" s="10" t="s">
        <v>1917</v>
      </c>
      <c r="H330" s="10" t="s">
        <v>1920</v>
      </c>
      <c r="I330" s="9" t="s">
        <v>1930</v>
      </c>
    </row>
    <row r="331" spans="2:9" x14ac:dyDescent="0.15">
      <c r="B331" s="10" t="s">
        <v>1544</v>
      </c>
      <c r="C331" s="10" t="s">
        <v>1770</v>
      </c>
      <c r="D331" s="10" t="s">
        <v>1787</v>
      </c>
      <c r="E331" s="10" t="s">
        <v>1825</v>
      </c>
      <c r="F331" s="10">
        <v>0</v>
      </c>
      <c r="G331" s="10" t="s">
        <v>1922</v>
      </c>
      <c r="H331" s="10" t="s">
        <v>1920</v>
      </c>
      <c r="I331" s="9" t="s">
        <v>1923</v>
      </c>
    </row>
    <row r="332" spans="2:9" x14ac:dyDescent="0.15">
      <c r="B332" s="10" t="s">
        <v>1544</v>
      </c>
      <c r="C332" s="10" t="s">
        <v>1770</v>
      </c>
      <c r="D332" s="10" t="s">
        <v>1787</v>
      </c>
      <c r="E332" s="10" t="s">
        <v>1815</v>
      </c>
      <c r="F332" s="10">
        <v>0</v>
      </c>
      <c r="G332" s="10" t="s">
        <v>1922</v>
      </c>
      <c r="H332" s="10" t="s">
        <v>1920</v>
      </c>
      <c r="I332" s="9" t="s">
        <v>1981</v>
      </c>
    </row>
    <row r="333" spans="2:9" x14ac:dyDescent="0.15">
      <c r="B333" s="10" t="s">
        <v>1544</v>
      </c>
      <c r="C333" s="10" t="s">
        <v>1770</v>
      </c>
      <c r="D333" s="10" t="s">
        <v>1787</v>
      </c>
      <c r="E333" s="10" t="s">
        <v>1816</v>
      </c>
      <c r="F333" s="10">
        <v>0.5</v>
      </c>
      <c r="G333" s="10" t="s">
        <v>1919</v>
      </c>
      <c r="H333" s="10" t="s">
        <v>1920</v>
      </c>
      <c r="I333" s="9" t="s">
        <v>1924</v>
      </c>
    </row>
    <row r="334" spans="2:9" x14ac:dyDescent="0.15">
      <c r="B334" s="10" t="s">
        <v>1544</v>
      </c>
      <c r="C334" s="10" t="s">
        <v>1770</v>
      </c>
      <c r="D334" s="10" t="s">
        <v>1787</v>
      </c>
      <c r="E334" s="10" t="s">
        <v>1819</v>
      </c>
      <c r="F334" s="10">
        <v>0.5</v>
      </c>
      <c r="G334" s="10" t="s">
        <v>1919</v>
      </c>
      <c r="H334" s="10" t="s">
        <v>1920</v>
      </c>
      <c r="I334" s="9" t="s">
        <v>1980</v>
      </c>
    </row>
    <row r="335" spans="2:9" x14ac:dyDescent="0.15">
      <c r="B335" s="10" t="s">
        <v>1544</v>
      </c>
      <c r="C335" s="10" t="s">
        <v>1770</v>
      </c>
      <c r="D335" s="10" t="s">
        <v>1787</v>
      </c>
      <c r="E335" s="10" t="s">
        <v>1817</v>
      </c>
      <c r="F335" s="10">
        <v>1</v>
      </c>
      <c r="G335" s="10" t="s">
        <v>1917</v>
      </c>
      <c r="H335" s="10" t="s">
        <v>1918</v>
      </c>
    </row>
    <row r="336" spans="2:9" x14ac:dyDescent="0.15">
      <c r="B336" s="10" t="s">
        <v>1544</v>
      </c>
      <c r="C336" s="10" t="s">
        <v>1770</v>
      </c>
      <c r="D336" s="10" t="s">
        <v>1787</v>
      </c>
      <c r="E336" s="10" t="s">
        <v>1818</v>
      </c>
      <c r="F336" s="10">
        <v>1</v>
      </c>
      <c r="G336" s="10" t="s">
        <v>1917</v>
      </c>
      <c r="H336" s="10" t="s">
        <v>1918</v>
      </c>
    </row>
  </sheetData>
  <sortState xmlns:xlrd2="http://schemas.microsoft.com/office/spreadsheetml/2017/richdata2" ref="B2:I406">
    <sortCondition ref="B2:B406"/>
    <sortCondition ref="F2:F40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8C87-8367-436E-80D0-0C8418157CC5}">
  <sheetPr>
    <tabColor rgb="FFFFFF00"/>
  </sheetPr>
  <dimension ref="A1:L39"/>
  <sheetViews>
    <sheetView workbookViewId="0">
      <selection activeCell="L2" sqref="L2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4.2851562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s="32" customFormat="1" x14ac:dyDescent="0.15">
      <c r="A2" s="32" t="s">
        <v>1158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20</v>
      </c>
      <c r="G2" s="14">
        <v>0.03</v>
      </c>
      <c r="H2" s="14">
        <v>6.0000000000000001E-3</v>
      </c>
      <c r="I2" s="190">
        <v>0.06</v>
      </c>
      <c r="J2" s="190">
        <v>0.2</v>
      </c>
      <c r="K2" s="190">
        <v>0.32</v>
      </c>
      <c r="L2" s="14">
        <v>0.68</v>
      </c>
    </row>
    <row r="3" spans="1:12" x14ac:dyDescent="0.15">
      <c r="A3" s="9" t="s">
        <v>1158</v>
      </c>
      <c r="B3" s="9" t="s">
        <v>1759</v>
      </c>
      <c r="C3" s="9" t="s">
        <v>1759</v>
      </c>
      <c r="D3" s="25" t="s">
        <v>374</v>
      </c>
      <c r="E3" s="10">
        <f>F2+1</f>
        <v>21</v>
      </c>
      <c r="F3" s="20">
        <v>40</v>
      </c>
      <c r="I3" s="228"/>
      <c r="J3" s="228"/>
      <c r="K3" s="228"/>
      <c r="L3" s="14"/>
    </row>
    <row r="4" spans="1:12" x14ac:dyDescent="0.15">
      <c r="A4" s="9" t="s">
        <v>1158</v>
      </c>
      <c r="B4" s="9" t="s">
        <v>1759</v>
      </c>
      <c r="C4" s="9" t="s">
        <v>1759</v>
      </c>
      <c r="D4" s="25" t="s">
        <v>375</v>
      </c>
      <c r="E4" s="10">
        <f t="shared" ref="E4:E39" si="0">F3+1</f>
        <v>41</v>
      </c>
      <c r="F4" s="20">
        <v>70</v>
      </c>
      <c r="I4" s="228"/>
      <c r="J4" s="228"/>
      <c r="K4" s="228"/>
      <c r="L4" s="14"/>
    </row>
    <row r="5" spans="1:12" x14ac:dyDescent="0.15">
      <c r="A5" s="9" t="s">
        <v>1158</v>
      </c>
      <c r="B5" s="9" t="s">
        <v>1759</v>
      </c>
      <c r="C5" s="9" t="s">
        <v>1759</v>
      </c>
      <c r="D5" s="25" t="s">
        <v>1159</v>
      </c>
      <c r="E5" s="10">
        <f t="shared" si="0"/>
        <v>71</v>
      </c>
      <c r="F5" s="20">
        <v>90</v>
      </c>
      <c r="I5" s="228"/>
      <c r="J5" s="228"/>
      <c r="K5" s="228"/>
      <c r="L5" s="14"/>
    </row>
    <row r="6" spans="1:12" x14ac:dyDescent="0.15">
      <c r="A6" s="9" t="s">
        <v>1158</v>
      </c>
      <c r="B6" s="9" t="s">
        <v>1759</v>
      </c>
      <c r="C6" s="9" t="s">
        <v>1759</v>
      </c>
      <c r="D6" s="25" t="s">
        <v>1160</v>
      </c>
      <c r="E6" s="10">
        <f t="shared" si="0"/>
        <v>91</v>
      </c>
      <c r="F6" s="20">
        <v>110</v>
      </c>
      <c r="I6" s="228"/>
      <c r="J6" s="228"/>
      <c r="K6" s="228"/>
      <c r="L6" s="14"/>
    </row>
    <row r="7" spans="1:12" x14ac:dyDescent="0.15">
      <c r="A7" s="9" t="s">
        <v>1158</v>
      </c>
      <c r="B7" s="9" t="s">
        <v>1759</v>
      </c>
      <c r="C7" s="9" t="s">
        <v>1759</v>
      </c>
      <c r="D7" s="25" t="s">
        <v>1161</v>
      </c>
      <c r="E7" s="10">
        <f t="shared" si="0"/>
        <v>111</v>
      </c>
      <c r="F7" s="20">
        <v>130</v>
      </c>
      <c r="I7" s="228"/>
      <c r="J7" s="228"/>
      <c r="K7" s="228"/>
      <c r="L7" s="14"/>
    </row>
    <row r="8" spans="1:12" x14ac:dyDescent="0.15">
      <c r="A8" s="9" t="s">
        <v>1158</v>
      </c>
      <c r="B8" s="9" t="s">
        <v>1759</v>
      </c>
      <c r="C8" s="9" t="s">
        <v>1759</v>
      </c>
      <c r="D8" s="25" t="s">
        <v>1162</v>
      </c>
      <c r="E8" s="10">
        <f t="shared" si="0"/>
        <v>131</v>
      </c>
      <c r="F8" s="20">
        <v>150</v>
      </c>
      <c r="I8" s="228"/>
      <c r="J8" s="228"/>
      <c r="K8" s="228"/>
      <c r="L8" s="14"/>
    </row>
    <row r="9" spans="1:12" s="32" customFormat="1" x14ac:dyDescent="0.15">
      <c r="A9" s="32" t="s">
        <v>1158</v>
      </c>
      <c r="B9" s="32" t="s">
        <v>1861</v>
      </c>
      <c r="C9" s="32" t="s">
        <v>1760</v>
      </c>
      <c r="D9" s="77" t="s">
        <v>1163</v>
      </c>
      <c r="E9" s="11">
        <f t="shared" si="0"/>
        <v>151</v>
      </c>
      <c r="F9" s="19">
        <v>180</v>
      </c>
      <c r="G9" s="14">
        <v>0.2</v>
      </c>
      <c r="H9" s="14">
        <v>3.5000000000000003E-2</v>
      </c>
      <c r="I9" s="190">
        <v>0.4</v>
      </c>
      <c r="J9" s="190">
        <v>0.6</v>
      </c>
      <c r="K9" s="190">
        <v>0.48</v>
      </c>
      <c r="L9" s="14">
        <v>0.5</v>
      </c>
    </row>
    <row r="10" spans="1:12" x14ac:dyDescent="0.15">
      <c r="A10" s="9" t="s">
        <v>1158</v>
      </c>
      <c r="B10" s="9" t="s">
        <v>1861</v>
      </c>
      <c r="C10" s="9" t="s">
        <v>1760</v>
      </c>
      <c r="D10" s="25" t="s">
        <v>1164</v>
      </c>
      <c r="E10" s="10">
        <f t="shared" si="0"/>
        <v>181</v>
      </c>
      <c r="F10" s="20">
        <v>220</v>
      </c>
      <c r="I10" s="228"/>
      <c r="J10" s="228"/>
      <c r="K10" s="228"/>
      <c r="L10" s="14"/>
    </row>
    <row r="11" spans="1:12" x14ac:dyDescent="0.15">
      <c r="A11" s="9" t="s">
        <v>1158</v>
      </c>
      <c r="B11" s="9" t="s">
        <v>1861</v>
      </c>
      <c r="C11" s="9" t="s">
        <v>1760</v>
      </c>
      <c r="D11" s="25" t="s">
        <v>1165</v>
      </c>
      <c r="E11" s="10">
        <f t="shared" si="0"/>
        <v>221</v>
      </c>
      <c r="F11" s="20">
        <v>260</v>
      </c>
      <c r="I11" s="228"/>
      <c r="J11" s="228"/>
      <c r="K11" s="228"/>
      <c r="L11" s="14"/>
    </row>
    <row r="12" spans="1:12" x14ac:dyDescent="0.15">
      <c r="A12" s="9" t="s">
        <v>1158</v>
      </c>
      <c r="B12" s="9" t="s">
        <v>1861</v>
      </c>
      <c r="C12" s="9" t="s">
        <v>1760</v>
      </c>
      <c r="D12" s="25" t="s">
        <v>1166</v>
      </c>
      <c r="E12" s="10">
        <f t="shared" si="0"/>
        <v>261</v>
      </c>
      <c r="F12" s="20">
        <v>300</v>
      </c>
      <c r="I12" s="228"/>
      <c r="J12" s="228"/>
      <c r="K12" s="228"/>
      <c r="L12" s="14"/>
    </row>
    <row r="13" spans="1:12" x14ac:dyDescent="0.15">
      <c r="A13" s="9" t="s">
        <v>1158</v>
      </c>
      <c r="B13" s="9" t="s">
        <v>1861</v>
      </c>
      <c r="C13" s="9" t="s">
        <v>1760</v>
      </c>
      <c r="D13" s="25" t="s">
        <v>1167</v>
      </c>
      <c r="E13" s="10">
        <f t="shared" si="0"/>
        <v>301</v>
      </c>
      <c r="F13" s="20">
        <v>350</v>
      </c>
      <c r="I13" s="228"/>
      <c r="J13" s="228"/>
      <c r="K13" s="228"/>
      <c r="L13" s="14"/>
    </row>
    <row r="14" spans="1:12" s="32" customFormat="1" x14ac:dyDescent="0.15">
      <c r="A14" s="32" t="s">
        <v>1158</v>
      </c>
      <c r="B14" s="32" t="s">
        <v>1994</v>
      </c>
      <c r="C14" s="32" t="s">
        <v>1760</v>
      </c>
      <c r="D14" s="77" t="s">
        <v>597</v>
      </c>
      <c r="E14" s="11">
        <f t="shared" si="0"/>
        <v>351</v>
      </c>
      <c r="F14" s="19">
        <v>380</v>
      </c>
      <c r="G14" s="14">
        <v>0.6</v>
      </c>
      <c r="H14" s="14">
        <v>0.1</v>
      </c>
      <c r="I14" s="190">
        <v>1.2</v>
      </c>
      <c r="J14" s="190">
        <v>1.1000000000000001</v>
      </c>
      <c r="K14" s="190">
        <v>0.62</v>
      </c>
      <c r="L14" s="14">
        <v>0.55000000000000004</v>
      </c>
    </row>
    <row r="15" spans="1:12" x14ac:dyDescent="0.15">
      <c r="A15" s="9" t="s">
        <v>1158</v>
      </c>
      <c r="B15" s="9" t="s">
        <v>1994</v>
      </c>
      <c r="C15" s="9" t="s">
        <v>1760</v>
      </c>
      <c r="D15" s="25" t="s">
        <v>1168</v>
      </c>
      <c r="E15" s="10">
        <f t="shared" si="0"/>
        <v>381</v>
      </c>
      <c r="F15" s="20">
        <v>420</v>
      </c>
      <c r="I15" s="228"/>
      <c r="J15" s="228"/>
      <c r="K15" s="228"/>
      <c r="L15" s="14"/>
    </row>
    <row r="16" spans="1:12" x14ac:dyDescent="0.15">
      <c r="A16" s="9" t="s">
        <v>1158</v>
      </c>
      <c r="B16" s="9" t="s">
        <v>1994</v>
      </c>
      <c r="C16" s="9" t="s">
        <v>1760</v>
      </c>
      <c r="D16" s="25" t="s">
        <v>1169</v>
      </c>
      <c r="E16" s="10">
        <f t="shared" si="0"/>
        <v>421</v>
      </c>
      <c r="F16" s="20">
        <v>460</v>
      </c>
      <c r="I16" s="228"/>
      <c r="J16" s="228"/>
      <c r="K16" s="228"/>
      <c r="L16" s="14"/>
    </row>
    <row r="17" spans="1:12" x14ac:dyDescent="0.15">
      <c r="A17" s="9" t="s">
        <v>1158</v>
      </c>
      <c r="B17" s="9" t="s">
        <v>1994</v>
      </c>
      <c r="C17" s="9" t="s">
        <v>1760</v>
      </c>
      <c r="D17" s="25" t="s">
        <v>1170</v>
      </c>
      <c r="E17" s="10">
        <f t="shared" si="0"/>
        <v>461</v>
      </c>
      <c r="F17" s="20">
        <v>500</v>
      </c>
      <c r="I17" s="228"/>
      <c r="J17" s="228"/>
      <c r="K17" s="228"/>
      <c r="L17" s="14"/>
    </row>
    <row r="18" spans="1:12" x14ac:dyDescent="0.15">
      <c r="A18" s="9" t="s">
        <v>1158</v>
      </c>
      <c r="B18" s="9" t="s">
        <v>1994</v>
      </c>
      <c r="C18" s="9" t="s">
        <v>1760</v>
      </c>
      <c r="D18" s="25" t="s">
        <v>1171</v>
      </c>
      <c r="E18" s="10">
        <f t="shared" si="0"/>
        <v>501</v>
      </c>
      <c r="F18" s="20">
        <v>520</v>
      </c>
      <c r="I18" s="228"/>
      <c r="J18" s="228"/>
      <c r="K18" s="228"/>
      <c r="L18" s="14"/>
    </row>
    <row r="19" spans="1:12" s="32" customFormat="1" x14ac:dyDescent="0.15">
      <c r="A19" s="32" t="s">
        <v>1158</v>
      </c>
      <c r="B19" s="32" t="s">
        <v>1850</v>
      </c>
      <c r="C19" s="32" t="s">
        <v>1760</v>
      </c>
      <c r="D19" s="77" t="s">
        <v>512</v>
      </c>
      <c r="E19" s="11">
        <f t="shared" si="0"/>
        <v>521</v>
      </c>
      <c r="F19" s="19">
        <v>540</v>
      </c>
      <c r="G19" s="14">
        <v>0.85</v>
      </c>
      <c r="H19" s="14">
        <v>0.14000000000000001</v>
      </c>
      <c r="I19" s="190">
        <v>1.8</v>
      </c>
      <c r="J19" s="190">
        <v>1.1499999999999999</v>
      </c>
      <c r="K19" s="190">
        <v>0.66</v>
      </c>
      <c r="L19" s="14">
        <v>0.6</v>
      </c>
    </row>
    <row r="20" spans="1:12" x14ac:dyDescent="0.15">
      <c r="A20" s="9" t="s">
        <v>1158</v>
      </c>
      <c r="B20" s="9" t="s">
        <v>1850</v>
      </c>
      <c r="C20" s="9" t="s">
        <v>1760</v>
      </c>
      <c r="D20" s="25" t="s">
        <v>1172</v>
      </c>
      <c r="E20" s="10">
        <f t="shared" si="0"/>
        <v>541</v>
      </c>
      <c r="F20" s="20">
        <v>560</v>
      </c>
      <c r="I20" s="228"/>
      <c r="J20" s="228"/>
      <c r="K20" s="228"/>
      <c r="L20" s="14"/>
    </row>
    <row r="21" spans="1:12" x14ac:dyDescent="0.15">
      <c r="A21" s="9" t="s">
        <v>1158</v>
      </c>
      <c r="B21" s="9" t="s">
        <v>1850</v>
      </c>
      <c r="C21" s="9" t="s">
        <v>1760</v>
      </c>
      <c r="D21" s="25" t="s">
        <v>1173</v>
      </c>
      <c r="E21" s="10">
        <f t="shared" si="0"/>
        <v>561</v>
      </c>
      <c r="F21" s="20">
        <v>580</v>
      </c>
      <c r="I21" s="228"/>
      <c r="J21" s="228"/>
      <c r="K21" s="228"/>
      <c r="L21" s="14"/>
    </row>
    <row r="22" spans="1:12" x14ac:dyDescent="0.15">
      <c r="A22" s="9" t="s">
        <v>1158</v>
      </c>
      <c r="B22" s="9" t="s">
        <v>1850</v>
      </c>
      <c r="C22" s="9" t="s">
        <v>1760</v>
      </c>
      <c r="D22" s="25" t="s">
        <v>1174</v>
      </c>
      <c r="E22" s="10">
        <f t="shared" si="0"/>
        <v>581</v>
      </c>
      <c r="F22" s="20">
        <v>600</v>
      </c>
      <c r="I22" s="228"/>
      <c r="J22" s="228"/>
      <c r="K22" s="228"/>
      <c r="L22" s="14"/>
    </row>
    <row r="23" spans="1:12" s="32" customFormat="1" x14ac:dyDescent="0.15">
      <c r="A23" s="32" t="s">
        <v>1158</v>
      </c>
      <c r="B23" s="32" t="s">
        <v>1858</v>
      </c>
      <c r="C23" s="32" t="s">
        <v>1761</v>
      </c>
      <c r="D23" s="77" t="s">
        <v>1175</v>
      </c>
      <c r="E23" s="11">
        <f t="shared" si="0"/>
        <v>601</v>
      </c>
      <c r="F23" s="19">
        <v>620</v>
      </c>
      <c r="G23" s="14">
        <v>0.55000000000000004</v>
      </c>
      <c r="H23" s="14">
        <v>0.1</v>
      </c>
      <c r="I23" s="190">
        <v>1.2</v>
      </c>
      <c r="J23" s="190">
        <v>0.95</v>
      </c>
      <c r="K23" s="190">
        <v>0.57999999999999996</v>
      </c>
      <c r="L23" s="14">
        <v>0.7</v>
      </c>
    </row>
    <row r="24" spans="1:12" x14ac:dyDescent="0.15">
      <c r="A24" s="9" t="s">
        <v>1158</v>
      </c>
      <c r="B24" s="9" t="s">
        <v>1858</v>
      </c>
      <c r="C24" s="9" t="s">
        <v>1761</v>
      </c>
      <c r="D24" s="25" t="s">
        <v>1176</v>
      </c>
      <c r="E24" s="10">
        <f t="shared" si="0"/>
        <v>621</v>
      </c>
      <c r="F24" s="20">
        <v>640</v>
      </c>
      <c r="I24" s="228"/>
      <c r="J24" s="228"/>
      <c r="K24" s="228"/>
      <c r="L24" s="14"/>
    </row>
    <row r="25" spans="1:12" x14ac:dyDescent="0.15">
      <c r="A25" s="9" t="s">
        <v>1158</v>
      </c>
      <c r="B25" s="9" t="s">
        <v>1858</v>
      </c>
      <c r="C25" s="9" t="s">
        <v>1761</v>
      </c>
      <c r="D25" s="25" t="s">
        <v>1177</v>
      </c>
      <c r="E25" s="10">
        <f t="shared" si="0"/>
        <v>641</v>
      </c>
      <c r="F25" s="20">
        <v>660</v>
      </c>
      <c r="I25" s="228"/>
      <c r="J25" s="228"/>
      <c r="K25" s="228"/>
      <c r="L25" s="14"/>
    </row>
    <row r="26" spans="1:12" x14ac:dyDescent="0.15">
      <c r="A26" s="9" t="s">
        <v>1158</v>
      </c>
      <c r="B26" s="9" t="s">
        <v>1858</v>
      </c>
      <c r="C26" s="9" t="s">
        <v>1761</v>
      </c>
      <c r="D26" s="25" t="s">
        <v>1178</v>
      </c>
      <c r="E26" s="10">
        <f t="shared" si="0"/>
        <v>661</v>
      </c>
      <c r="F26" s="20">
        <v>680</v>
      </c>
      <c r="I26" s="228"/>
      <c r="J26" s="228"/>
      <c r="K26" s="228"/>
      <c r="L26" s="14"/>
    </row>
    <row r="27" spans="1:12" s="32" customFormat="1" x14ac:dyDescent="0.15">
      <c r="A27" s="32" t="s">
        <v>1158</v>
      </c>
      <c r="B27" s="32" t="s">
        <v>1859</v>
      </c>
      <c r="C27" s="32" t="s">
        <v>1761</v>
      </c>
      <c r="D27" s="77" t="s">
        <v>611</v>
      </c>
      <c r="E27" s="11">
        <f t="shared" si="0"/>
        <v>681</v>
      </c>
      <c r="F27" s="19">
        <v>700</v>
      </c>
      <c r="G27" s="14">
        <v>0.4</v>
      </c>
      <c r="H27" s="14">
        <v>7.0000000000000007E-2</v>
      </c>
      <c r="I27" s="190">
        <v>0.9</v>
      </c>
      <c r="J27" s="190">
        <v>0.9</v>
      </c>
      <c r="K27" s="190">
        <v>0.54</v>
      </c>
      <c r="L27" s="14">
        <v>0.75</v>
      </c>
    </row>
    <row r="28" spans="1:12" x14ac:dyDescent="0.15">
      <c r="A28" s="9" t="s">
        <v>1158</v>
      </c>
      <c r="B28" s="9" t="s">
        <v>1859</v>
      </c>
      <c r="C28" s="9" t="s">
        <v>1761</v>
      </c>
      <c r="D28" s="25" t="s">
        <v>1179</v>
      </c>
      <c r="E28" s="10">
        <f t="shared" si="0"/>
        <v>701</v>
      </c>
      <c r="F28" s="20">
        <v>720</v>
      </c>
      <c r="I28" s="228"/>
      <c r="J28" s="228"/>
      <c r="K28" s="228"/>
      <c r="L28" s="14"/>
    </row>
    <row r="29" spans="1:12" x14ac:dyDescent="0.15">
      <c r="A29" s="9" t="s">
        <v>1158</v>
      </c>
      <c r="B29" s="9" t="s">
        <v>1859</v>
      </c>
      <c r="C29" s="9" t="s">
        <v>1761</v>
      </c>
      <c r="D29" s="25" t="s">
        <v>1180</v>
      </c>
      <c r="E29" s="10">
        <f t="shared" si="0"/>
        <v>721</v>
      </c>
      <c r="F29" s="20">
        <v>750</v>
      </c>
      <c r="I29" s="228"/>
      <c r="J29" s="228"/>
      <c r="K29" s="228"/>
      <c r="L29" s="14"/>
    </row>
    <row r="30" spans="1:12" x14ac:dyDescent="0.15">
      <c r="A30" s="9" t="s">
        <v>1158</v>
      </c>
      <c r="B30" s="9" t="s">
        <v>1859</v>
      </c>
      <c r="C30" s="9" t="s">
        <v>1761</v>
      </c>
      <c r="D30" s="25" t="s">
        <v>520</v>
      </c>
      <c r="E30" s="10">
        <f t="shared" si="0"/>
        <v>751</v>
      </c>
      <c r="F30" s="20">
        <v>770</v>
      </c>
      <c r="I30" s="228"/>
      <c r="J30" s="228"/>
      <c r="K30" s="228"/>
      <c r="L30" s="14"/>
    </row>
    <row r="31" spans="1:12" x14ac:dyDescent="0.15">
      <c r="A31" s="9" t="s">
        <v>1158</v>
      </c>
      <c r="B31" s="9" t="s">
        <v>1859</v>
      </c>
      <c r="C31" s="9" t="s">
        <v>1761</v>
      </c>
      <c r="D31" s="25" t="s">
        <v>521</v>
      </c>
      <c r="E31" s="10">
        <f t="shared" si="0"/>
        <v>771</v>
      </c>
      <c r="F31" s="20">
        <v>800</v>
      </c>
      <c r="I31" s="228"/>
      <c r="J31" s="228"/>
      <c r="K31" s="228"/>
      <c r="L31" s="14"/>
    </row>
    <row r="32" spans="1:12" s="32" customFormat="1" x14ac:dyDescent="0.15">
      <c r="A32" s="32" t="s">
        <v>1158</v>
      </c>
      <c r="B32" s="32" t="s">
        <v>1854</v>
      </c>
      <c r="C32" s="32" t="s">
        <v>1761</v>
      </c>
      <c r="D32" s="77" t="s">
        <v>1181</v>
      </c>
      <c r="E32" s="11">
        <f t="shared" si="0"/>
        <v>801</v>
      </c>
      <c r="F32" s="19">
        <v>840</v>
      </c>
      <c r="G32" s="14">
        <v>0.18</v>
      </c>
      <c r="H32" s="14">
        <v>0.04</v>
      </c>
      <c r="I32" s="190">
        <v>0.45</v>
      </c>
      <c r="J32" s="190">
        <v>0.6</v>
      </c>
      <c r="K32" s="190">
        <v>0.46</v>
      </c>
      <c r="L32" s="14">
        <v>0.55000000000000004</v>
      </c>
    </row>
    <row r="33" spans="1:12" x14ac:dyDescent="0.15">
      <c r="A33" s="9" t="s">
        <v>1158</v>
      </c>
      <c r="B33" s="9" t="s">
        <v>1854</v>
      </c>
      <c r="C33" s="9" t="s">
        <v>1761</v>
      </c>
      <c r="D33" s="25" t="s">
        <v>1182</v>
      </c>
      <c r="E33" s="10">
        <f t="shared" si="0"/>
        <v>841</v>
      </c>
      <c r="F33" s="20">
        <v>880</v>
      </c>
      <c r="I33" s="228"/>
      <c r="J33" s="228"/>
      <c r="K33" s="228"/>
      <c r="L33" s="14"/>
    </row>
    <row r="34" spans="1:12" x14ac:dyDescent="0.15">
      <c r="A34" s="9" t="s">
        <v>1158</v>
      </c>
      <c r="B34" s="9" t="s">
        <v>1854</v>
      </c>
      <c r="C34" s="9" t="s">
        <v>1761</v>
      </c>
      <c r="D34" s="25" t="s">
        <v>1183</v>
      </c>
      <c r="E34" s="10">
        <f t="shared" si="0"/>
        <v>881</v>
      </c>
      <c r="F34" s="20">
        <v>920</v>
      </c>
      <c r="I34" s="228"/>
      <c r="J34" s="228"/>
      <c r="K34" s="228"/>
      <c r="L34" s="14"/>
    </row>
    <row r="35" spans="1:12" s="32" customFormat="1" x14ac:dyDescent="0.15">
      <c r="A35" s="32" t="s">
        <v>1158</v>
      </c>
      <c r="B35" s="32" t="s">
        <v>1762</v>
      </c>
      <c r="C35" s="32" t="s">
        <v>1762</v>
      </c>
      <c r="D35" s="77" t="s">
        <v>1184</v>
      </c>
      <c r="E35" s="11">
        <f t="shared" si="0"/>
        <v>921</v>
      </c>
      <c r="F35" s="19">
        <v>970</v>
      </c>
      <c r="G35" s="14">
        <v>0.08</v>
      </c>
      <c r="H35" s="14">
        <v>1.4999999999999999E-2</v>
      </c>
      <c r="I35" s="190">
        <v>0.2</v>
      </c>
      <c r="J35" s="190">
        <v>0.4</v>
      </c>
      <c r="K35" s="190">
        <v>0.36</v>
      </c>
      <c r="L35" s="14">
        <v>0.35</v>
      </c>
    </row>
    <row r="36" spans="1:12" x14ac:dyDescent="0.15">
      <c r="A36" s="9" t="s">
        <v>1158</v>
      </c>
      <c r="B36" s="9" t="s">
        <v>1762</v>
      </c>
      <c r="C36" s="9" t="s">
        <v>1762</v>
      </c>
      <c r="D36" s="25" t="s">
        <v>1185</v>
      </c>
      <c r="E36" s="10">
        <f t="shared" si="0"/>
        <v>971</v>
      </c>
      <c r="F36" s="20">
        <v>1010</v>
      </c>
      <c r="I36" s="228"/>
      <c r="J36" s="228"/>
      <c r="K36" s="228"/>
      <c r="L36" s="14"/>
    </row>
    <row r="37" spans="1:12" x14ac:dyDescent="0.15">
      <c r="A37" s="9" t="s">
        <v>1158</v>
      </c>
      <c r="B37" s="9" t="s">
        <v>1762</v>
      </c>
      <c r="C37" s="9" t="s">
        <v>1762</v>
      </c>
      <c r="D37" s="25" t="s">
        <v>1044</v>
      </c>
      <c r="E37" s="10">
        <f t="shared" si="0"/>
        <v>1011</v>
      </c>
      <c r="F37" s="20">
        <v>1050</v>
      </c>
      <c r="I37" s="228"/>
      <c r="J37" s="228"/>
      <c r="K37" s="228"/>
      <c r="L37" s="14"/>
    </row>
    <row r="38" spans="1:12" s="32" customFormat="1" x14ac:dyDescent="0.15">
      <c r="A38" s="32" t="s">
        <v>1158</v>
      </c>
      <c r="B38" s="32" t="s">
        <v>1855</v>
      </c>
      <c r="C38" s="32" t="s">
        <v>1855</v>
      </c>
      <c r="D38" s="77" t="s">
        <v>636</v>
      </c>
      <c r="E38" s="11">
        <f t="shared" si="0"/>
        <v>1051</v>
      </c>
      <c r="F38" s="19">
        <v>1080</v>
      </c>
      <c r="G38" s="14">
        <v>0.02</v>
      </c>
      <c r="H38" s="14">
        <v>5.0000000000000001E-3</v>
      </c>
      <c r="I38" s="190">
        <v>0.03</v>
      </c>
      <c r="J38" s="190">
        <v>0.2</v>
      </c>
      <c r="K38" s="190">
        <v>0.3</v>
      </c>
      <c r="L38" s="14">
        <v>0.2</v>
      </c>
    </row>
    <row r="39" spans="1:12" x14ac:dyDescent="0.15">
      <c r="A39" s="9" t="s">
        <v>1158</v>
      </c>
      <c r="B39" s="9" t="s">
        <v>1855</v>
      </c>
      <c r="C39" s="9" t="s">
        <v>1855</v>
      </c>
      <c r="D39" s="25" t="s">
        <v>456</v>
      </c>
      <c r="E39" s="10">
        <f t="shared" si="0"/>
        <v>1081</v>
      </c>
      <c r="F39" s="20">
        <v>1100</v>
      </c>
      <c r="I39" s="228"/>
      <c r="J39" s="228"/>
      <c r="K39" s="228"/>
      <c r="L39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BEB9-F742-4A51-8F51-DF46DB0C04D2}">
  <sheetPr>
    <tabColor rgb="FFFFFF00"/>
  </sheetPr>
  <dimension ref="A1:L54"/>
  <sheetViews>
    <sheetView workbookViewId="0">
      <selection activeCell="D49" sqref="D49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32" customFormat="1" x14ac:dyDescent="0.15">
      <c r="A2" s="32" t="s">
        <v>0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10</v>
      </c>
      <c r="G2" s="14">
        <v>0.41</v>
      </c>
      <c r="H2" s="14">
        <v>0.15</v>
      </c>
      <c r="I2" s="190">
        <v>0.1</v>
      </c>
      <c r="J2" s="190">
        <v>0.2</v>
      </c>
      <c r="K2" s="190">
        <v>0.3</v>
      </c>
      <c r="L2" s="14">
        <v>0.55000000000000004</v>
      </c>
    </row>
    <row r="3" spans="1:12" x14ac:dyDescent="0.15">
      <c r="A3" s="9" t="s">
        <v>0</v>
      </c>
      <c r="B3" s="9" t="s">
        <v>1759</v>
      </c>
      <c r="C3" s="9" t="s">
        <v>1759</v>
      </c>
      <c r="D3" s="25" t="s">
        <v>374</v>
      </c>
      <c r="E3" s="10">
        <f>F2+1</f>
        <v>11</v>
      </c>
      <c r="F3" s="20">
        <v>25</v>
      </c>
      <c r="I3" s="228"/>
      <c r="J3" s="190"/>
      <c r="K3" s="190"/>
      <c r="L3" s="14"/>
    </row>
    <row r="4" spans="1:12" x14ac:dyDescent="0.15">
      <c r="A4" s="9" t="s">
        <v>0</v>
      </c>
      <c r="B4" s="9" t="s">
        <v>1759</v>
      </c>
      <c r="C4" s="9" t="s">
        <v>1759</v>
      </c>
      <c r="D4" s="25" t="s">
        <v>375</v>
      </c>
      <c r="E4" s="10">
        <f t="shared" ref="E4:E54" si="0">F3+1</f>
        <v>26</v>
      </c>
      <c r="F4" s="20">
        <v>50</v>
      </c>
      <c r="I4" s="228"/>
      <c r="J4" s="190"/>
      <c r="K4" s="190"/>
      <c r="L4" s="14"/>
    </row>
    <row r="5" spans="1:12" x14ac:dyDescent="0.15">
      <c r="A5" s="9" t="s">
        <v>0</v>
      </c>
      <c r="B5" s="9" t="s">
        <v>1759</v>
      </c>
      <c r="C5" s="9" t="s">
        <v>1759</v>
      </c>
      <c r="D5" s="25" t="s">
        <v>414</v>
      </c>
      <c r="E5" s="10">
        <f t="shared" si="0"/>
        <v>51</v>
      </c>
      <c r="F5" s="20">
        <v>75</v>
      </c>
      <c r="I5" s="228"/>
      <c r="J5" s="190"/>
      <c r="K5" s="190"/>
      <c r="L5" s="14"/>
    </row>
    <row r="6" spans="1:12" x14ac:dyDescent="0.15">
      <c r="A6" s="9" t="s">
        <v>0</v>
      </c>
      <c r="B6" s="9" t="s">
        <v>1759</v>
      </c>
      <c r="C6" s="9" t="s">
        <v>1759</v>
      </c>
      <c r="D6" s="25" t="s">
        <v>415</v>
      </c>
      <c r="E6" s="10">
        <f t="shared" si="0"/>
        <v>76</v>
      </c>
      <c r="F6" s="20">
        <v>95</v>
      </c>
      <c r="I6" s="228"/>
      <c r="J6" s="190"/>
      <c r="K6" s="190"/>
      <c r="L6" s="14"/>
    </row>
    <row r="7" spans="1:12" x14ac:dyDescent="0.15">
      <c r="A7" s="9" t="s">
        <v>0</v>
      </c>
      <c r="B7" s="9" t="s">
        <v>1759</v>
      </c>
      <c r="C7" s="9" t="s">
        <v>1759</v>
      </c>
      <c r="D7" s="25" t="s">
        <v>416</v>
      </c>
      <c r="E7" s="10">
        <f t="shared" si="0"/>
        <v>96</v>
      </c>
      <c r="F7" s="20">
        <v>105</v>
      </c>
      <c r="I7" s="228"/>
      <c r="J7" s="190"/>
      <c r="K7" s="190"/>
      <c r="L7" s="14"/>
    </row>
    <row r="8" spans="1:12" x14ac:dyDescent="0.15">
      <c r="A8" s="9" t="s">
        <v>0</v>
      </c>
      <c r="B8" s="9" t="s">
        <v>1759</v>
      </c>
      <c r="C8" s="9" t="s">
        <v>1759</v>
      </c>
      <c r="D8" s="25" t="s">
        <v>417</v>
      </c>
      <c r="E8" s="10">
        <f t="shared" si="0"/>
        <v>106</v>
      </c>
      <c r="F8" s="20">
        <v>120</v>
      </c>
      <c r="I8" s="228"/>
      <c r="J8" s="190"/>
      <c r="K8" s="190"/>
      <c r="L8" s="14"/>
    </row>
    <row r="9" spans="1:12" s="32" customFormat="1" x14ac:dyDescent="0.15">
      <c r="A9" s="32" t="s">
        <v>0</v>
      </c>
      <c r="B9" s="32" t="s">
        <v>1861</v>
      </c>
      <c r="C9" s="32" t="s">
        <v>1760</v>
      </c>
      <c r="D9" s="77" t="s">
        <v>534</v>
      </c>
      <c r="E9" s="11">
        <f t="shared" si="0"/>
        <v>121</v>
      </c>
      <c r="F9" s="19">
        <v>160</v>
      </c>
      <c r="G9" s="14">
        <v>1.38</v>
      </c>
      <c r="H9" s="14">
        <v>0.44</v>
      </c>
      <c r="I9" s="190">
        <v>0.44</v>
      </c>
      <c r="J9" s="190">
        <v>0.48</v>
      </c>
      <c r="K9" s="190">
        <v>0.5</v>
      </c>
      <c r="L9" s="14">
        <v>0.35</v>
      </c>
    </row>
    <row r="10" spans="1:12" x14ac:dyDescent="0.15">
      <c r="A10" s="9" t="s">
        <v>0</v>
      </c>
      <c r="B10" s="9" t="s">
        <v>1861</v>
      </c>
      <c r="C10" s="9" t="s">
        <v>1760</v>
      </c>
      <c r="D10" s="25" t="s">
        <v>535</v>
      </c>
      <c r="E10" s="10">
        <f t="shared" si="0"/>
        <v>161</v>
      </c>
      <c r="F10" s="20">
        <v>200</v>
      </c>
      <c r="I10" s="228"/>
      <c r="J10" s="190"/>
      <c r="K10" s="190"/>
      <c r="L10" s="14"/>
    </row>
    <row r="11" spans="1:12" x14ac:dyDescent="0.15">
      <c r="A11" s="9" t="s">
        <v>0</v>
      </c>
      <c r="B11" s="9" t="s">
        <v>1861</v>
      </c>
      <c r="C11" s="9" t="s">
        <v>1760</v>
      </c>
      <c r="D11" s="25" t="s">
        <v>536</v>
      </c>
      <c r="E11" s="10">
        <f t="shared" si="0"/>
        <v>201</v>
      </c>
      <c r="F11" s="20">
        <v>240</v>
      </c>
      <c r="I11" s="228"/>
      <c r="J11" s="190"/>
      <c r="K11" s="190"/>
      <c r="L11" s="14"/>
    </row>
    <row r="12" spans="1:12" x14ac:dyDescent="0.15">
      <c r="A12" s="9" t="s">
        <v>0</v>
      </c>
      <c r="B12" s="9" t="s">
        <v>1861</v>
      </c>
      <c r="C12" s="9" t="s">
        <v>1760</v>
      </c>
      <c r="D12" s="25" t="s">
        <v>537</v>
      </c>
      <c r="E12" s="10">
        <f t="shared" si="0"/>
        <v>241</v>
      </c>
      <c r="F12" s="20">
        <v>300</v>
      </c>
      <c r="I12" s="228"/>
      <c r="J12" s="190"/>
      <c r="K12" s="190"/>
      <c r="L12" s="14"/>
    </row>
    <row r="13" spans="1:12" x14ac:dyDescent="0.15">
      <c r="A13" s="9" t="s">
        <v>0</v>
      </c>
      <c r="B13" s="9" t="s">
        <v>1861</v>
      </c>
      <c r="C13" s="9" t="s">
        <v>1760</v>
      </c>
      <c r="D13" s="25" t="s">
        <v>538</v>
      </c>
      <c r="E13" s="10">
        <f t="shared" si="0"/>
        <v>301</v>
      </c>
      <c r="F13" s="20">
        <v>420</v>
      </c>
      <c r="I13" s="228"/>
      <c r="J13" s="190"/>
      <c r="K13" s="190"/>
      <c r="L13" s="14"/>
    </row>
    <row r="14" spans="1:12" s="32" customFormat="1" x14ac:dyDescent="0.15">
      <c r="A14" s="32" t="s">
        <v>0</v>
      </c>
      <c r="B14" s="32" t="s">
        <v>1849</v>
      </c>
      <c r="C14" s="32" t="s">
        <v>1760</v>
      </c>
      <c r="D14" s="77" t="s">
        <v>539</v>
      </c>
      <c r="E14" s="11">
        <f t="shared" si="0"/>
        <v>421</v>
      </c>
      <c r="F14" s="19">
        <v>440</v>
      </c>
      <c r="G14" s="14">
        <v>1.94</v>
      </c>
      <c r="H14" s="14">
        <v>0.59</v>
      </c>
      <c r="I14" s="190">
        <v>0.71</v>
      </c>
      <c r="J14" s="190">
        <v>0.83</v>
      </c>
      <c r="K14" s="190">
        <v>0.5</v>
      </c>
      <c r="L14" s="14">
        <v>0.45</v>
      </c>
    </row>
    <row r="15" spans="1:12" x14ac:dyDescent="0.15">
      <c r="A15" s="9" t="s">
        <v>0</v>
      </c>
      <c r="B15" s="9" t="s">
        <v>1849</v>
      </c>
      <c r="C15" s="9" t="s">
        <v>1760</v>
      </c>
      <c r="D15" s="25" t="s">
        <v>540</v>
      </c>
      <c r="E15" s="10">
        <f t="shared" si="0"/>
        <v>441</v>
      </c>
      <c r="F15" s="20">
        <v>500</v>
      </c>
      <c r="I15" s="228"/>
      <c r="J15" s="190"/>
      <c r="K15" s="190"/>
      <c r="L15" s="14"/>
    </row>
    <row r="16" spans="1:12" x14ac:dyDescent="0.15">
      <c r="A16" s="9" t="s">
        <v>0</v>
      </c>
      <c r="B16" s="9" t="s">
        <v>1849</v>
      </c>
      <c r="C16" s="9" t="s">
        <v>1760</v>
      </c>
      <c r="D16" s="25" t="s">
        <v>575</v>
      </c>
      <c r="E16" s="10">
        <f t="shared" si="0"/>
        <v>501</v>
      </c>
      <c r="F16" s="20">
        <v>560</v>
      </c>
      <c r="I16" s="228"/>
      <c r="J16" s="190"/>
      <c r="K16" s="190"/>
      <c r="L16" s="14"/>
    </row>
    <row r="17" spans="1:12" x14ac:dyDescent="0.15">
      <c r="A17" s="9" t="s">
        <v>0</v>
      </c>
      <c r="B17" s="9" t="s">
        <v>1849</v>
      </c>
      <c r="C17" s="9" t="s">
        <v>1760</v>
      </c>
      <c r="D17" s="25" t="s">
        <v>576</v>
      </c>
      <c r="E17" s="10">
        <f t="shared" si="0"/>
        <v>561</v>
      </c>
      <c r="F17" s="20">
        <v>620</v>
      </c>
      <c r="I17" s="228"/>
      <c r="J17" s="190"/>
      <c r="K17" s="190"/>
      <c r="L17" s="14"/>
    </row>
    <row r="18" spans="1:12" x14ac:dyDescent="0.15">
      <c r="A18" s="9" t="s">
        <v>0</v>
      </c>
      <c r="B18" s="9" t="s">
        <v>1849</v>
      </c>
      <c r="C18" s="9" t="s">
        <v>1760</v>
      </c>
      <c r="D18" s="25" t="s">
        <v>543</v>
      </c>
      <c r="E18" s="10">
        <f t="shared" si="0"/>
        <v>621</v>
      </c>
      <c r="F18" s="20">
        <v>700</v>
      </c>
      <c r="I18" s="228"/>
      <c r="J18" s="190"/>
      <c r="K18" s="190"/>
      <c r="L18" s="14"/>
    </row>
    <row r="19" spans="1:12" s="32" customFormat="1" x14ac:dyDescent="0.15">
      <c r="A19" s="32" t="s">
        <v>0</v>
      </c>
      <c r="B19" s="32" t="s">
        <v>1890</v>
      </c>
      <c r="C19" s="32" t="s">
        <v>1760</v>
      </c>
      <c r="D19" s="77" t="s">
        <v>512</v>
      </c>
      <c r="E19" s="11">
        <f t="shared" si="0"/>
        <v>701</v>
      </c>
      <c r="F19" s="19">
        <v>740</v>
      </c>
      <c r="G19" s="14">
        <v>3.4</v>
      </c>
      <c r="H19" s="14">
        <v>0.59</v>
      </c>
      <c r="I19" s="190">
        <v>1.41</v>
      </c>
      <c r="J19" s="190">
        <v>1</v>
      </c>
      <c r="K19" s="190">
        <v>0.5</v>
      </c>
      <c r="L19" s="14">
        <v>0.5</v>
      </c>
    </row>
    <row r="20" spans="1:12" x14ac:dyDescent="0.15">
      <c r="A20" s="9" t="s">
        <v>0</v>
      </c>
      <c r="B20" s="9" t="s">
        <v>1890</v>
      </c>
      <c r="C20" s="9" t="s">
        <v>1760</v>
      </c>
      <c r="D20" s="25" t="s">
        <v>390</v>
      </c>
      <c r="E20" s="10">
        <f t="shared" si="0"/>
        <v>741</v>
      </c>
      <c r="F20" s="20">
        <v>780</v>
      </c>
      <c r="I20" s="228"/>
      <c r="J20" s="190"/>
      <c r="K20" s="190"/>
      <c r="L20" s="14"/>
    </row>
    <row r="21" spans="1:12" x14ac:dyDescent="0.15">
      <c r="A21" s="9" t="s">
        <v>0</v>
      </c>
      <c r="B21" s="9" t="s">
        <v>1890</v>
      </c>
      <c r="C21" s="9" t="s">
        <v>1760</v>
      </c>
      <c r="D21" s="25" t="s">
        <v>577</v>
      </c>
      <c r="E21" s="10">
        <f t="shared" si="0"/>
        <v>781</v>
      </c>
      <c r="F21" s="20">
        <v>820</v>
      </c>
      <c r="I21" s="228"/>
      <c r="J21" s="190"/>
      <c r="K21" s="190"/>
      <c r="L21" s="14"/>
    </row>
    <row r="22" spans="1:12" x14ac:dyDescent="0.15">
      <c r="A22" s="9" t="s">
        <v>0</v>
      </c>
      <c r="B22" s="9" t="s">
        <v>1890</v>
      </c>
      <c r="C22" s="9" t="s">
        <v>1760</v>
      </c>
      <c r="D22" s="25" t="s">
        <v>578</v>
      </c>
      <c r="E22" s="10">
        <f t="shared" si="0"/>
        <v>821</v>
      </c>
      <c r="F22" s="20">
        <v>860</v>
      </c>
      <c r="I22" s="228"/>
      <c r="J22" s="190"/>
      <c r="K22" s="190"/>
      <c r="L22" s="14"/>
    </row>
    <row r="23" spans="1:12" x14ac:dyDescent="0.15">
      <c r="A23" s="9" t="s">
        <v>0</v>
      </c>
      <c r="B23" s="9" t="s">
        <v>1890</v>
      </c>
      <c r="C23" s="9" t="s">
        <v>1760</v>
      </c>
      <c r="D23" s="25" t="s">
        <v>544</v>
      </c>
      <c r="E23" s="10">
        <f t="shared" si="0"/>
        <v>861</v>
      </c>
      <c r="F23" s="20">
        <v>920</v>
      </c>
      <c r="I23" s="228"/>
      <c r="J23" s="190"/>
      <c r="K23" s="190"/>
      <c r="L23" s="14"/>
    </row>
    <row r="24" spans="1:12" x14ac:dyDescent="0.15">
      <c r="A24" s="9" t="s">
        <v>0</v>
      </c>
      <c r="B24" s="9" t="s">
        <v>1890</v>
      </c>
      <c r="C24" s="9" t="s">
        <v>1760</v>
      </c>
      <c r="D24" s="25" t="s">
        <v>394</v>
      </c>
      <c r="E24" s="10">
        <f t="shared" si="0"/>
        <v>921</v>
      </c>
      <c r="F24" s="20">
        <v>980</v>
      </c>
      <c r="I24" s="228"/>
      <c r="J24" s="190"/>
      <c r="K24" s="190"/>
      <c r="L24" s="14"/>
    </row>
    <row r="25" spans="1:12" s="32" customFormat="1" x14ac:dyDescent="0.15">
      <c r="A25" s="32" t="s">
        <v>0</v>
      </c>
      <c r="B25" s="32" t="s">
        <v>1851</v>
      </c>
      <c r="C25" s="32" t="s">
        <v>1760</v>
      </c>
      <c r="D25" s="77" t="s">
        <v>545</v>
      </c>
      <c r="E25" s="11">
        <f t="shared" si="0"/>
        <v>981</v>
      </c>
      <c r="F25" s="19">
        <v>1010</v>
      </c>
      <c r="G25" s="14">
        <v>1.47</v>
      </c>
      <c r="H25" s="14">
        <v>0.44</v>
      </c>
      <c r="I25" s="190">
        <v>1.33</v>
      </c>
      <c r="J25" s="190">
        <v>1.08</v>
      </c>
      <c r="K25" s="190">
        <v>0.55000000000000004</v>
      </c>
      <c r="L25" s="14">
        <v>0.65</v>
      </c>
    </row>
    <row r="26" spans="1:12" x14ac:dyDescent="0.15">
      <c r="A26" s="9" t="s">
        <v>0</v>
      </c>
      <c r="B26" s="9" t="s">
        <v>1851</v>
      </c>
      <c r="C26" s="9" t="s">
        <v>1760</v>
      </c>
      <c r="D26" s="25" t="s">
        <v>546</v>
      </c>
      <c r="E26" s="10">
        <f t="shared" si="0"/>
        <v>1011</v>
      </c>
      <c r="F26" s="20">
        <v>1040</v>
      </c>
      <c r="I26" s="228"/>
      <c r="J26" s="190"/>
      <c r="K26" s="190"/>
      <c r="L26" s="14"/>
    </row>
    <row r="27" spans="1:12" x14ac:dyDescent="0.15">
      <c r="A27" s="9" t="s">
        <v>0</v>
      </c>
      <c r="B27" s="9" t="s">
        <v>1851</v>
      </c>
      <c r="C27" s="9" t="s">
        <v>1760</v>
      </c>
      <c r="D27" s="25" t="s">
        <v>547</v>
      </c>
      <c r="E27" s="10">
        <f t="shared" si="0"/>
        <v>1041</v>
      </c>
      <c r="F27" s="20">
        <v>1070</v>
      </c>
      <c r="I27" s="228"/>
      <c r="J27" s="190"/>
      <c r="K27" s="190"/>
      <c r="L27" s="14"/>
    </row>
    <row r="28" spans="1:12" x14ac:dyDescent="0.15">
      <c r="A28" s="9" t="s">
        <v>0</v>
      </c>
      <c r="B28" s="9" t="s">
        <v>1851</v>
      </c>
      <c r="C28" s="9" t="s">
        <v>1760</v>
      </c>
      <c r="D28" s="25" t="s">
        <v>579</v>
      </c>
      <c r="E28" s="10">
        <f t="shared" si="0"/>
        <v>1071</v>
      </c>
      <c r="F28" s="20">
        <v>1100</v>
      </c>
      <c r="I28" s="228"/>
      <c r="J28" s="190"/>
      <c r="K28" s="190"/>
      <c r="L28" s="14"/>
    </row>
    <row r="29" spans="1:12" x14ac:dyDescent="0.15">
      <c r="A29" s="9" t="s">
        <v>0</v>
      </c>
      <c r="B29" s="9" t="s">
        <v>1851</v>
      </c>
      <c r="C29" s="9" t="s">
        <v>1760</v>
      </c>
      <c r="D29" s="25" t="s">
        <v>580</v>
      </c>
      <c r="E29" s="10">
        <f t="shared" si="0"/>
        <v>1101</v>
      </c>
      <c r="F29" s="20">
        <v>1120</v>
      </c>
      <c r="I29" s="228"/>
      <c r="J29" s="190"/>
      <c r="K29" s="190"/>
      <c r="L29" s="14"/>
    </row>
    <row r="30" spans="1:12" s="32" customFormat="1" x14ac:dyDescent="0.15">
      <c r="A30" s="32" t="s">
        <v>0</v>
      </c>
      <c r="B30" s="32" t="s">
        <v>1893</v>
      </c>
      <c r="C30" s="32" t="s">
        <v>1761</v>
      </c>
      <c r="D30" s="77" t="s">
        <v>550</v>
      </c>
      <c r="E30" s="11">
        <f t="shared" si="0"/>
        <v>1121</v>
      </c>
      <c r="F30" s="19">
        <v>1150</v>
      </c>
      <c r="G30" s="14">
        <v>1.1000000000000001</v>
      </c>
      <c r="H30" s="14">
        <v>0.27</v>
      </c>
      <c r="I30" s="190">
        <v>1</v>
      </c>
      <c r="J30" s="190">
        <v>1.08</v>
      </c>
      <c r="K30" s="190">
        <v>0.6</v>
      </c>
      <c r="L30" s="14">
        <v>0.7</v>
      </c>
    </row>
    <row r="31" spans="1:12" x14ac:dyDescent="0.15">
      <c r="A31" s="9" t="s">
        <v>0</v>
      </c>
      <c r="B31" s="9" t="s">
        <v>1893</v>
      </c>
      <c r="C31" s="9" t="s">
        <v>1761</v>
      </c>
      <c r="D31" s="25" t="s">
        <v>551</v>
      </c>
      <c r="E31" s="10">
        <f t="shared" si="0"/>
        <v>1151</v>
      </c>
      <c r="F31" s="20">
        <v>1180</v>
      </c>
      <c r="I31" s="228"/>
      <c r="J31" s="190"/>
      <c r="K31" s="190"/>
      <c r="L31" s="14"/>
    </row>
    <row r="32" spans="1:12" x14ac:dyDescent="0.15">
      <c r="A32" s="9" t="s">
        <v>0</v>
      </c>
      <c r="B32" s="9" t="s">
        <v>1893</v>
      </c>
      <c r="C32" s="9" t="s">
        <v>1761</v>
      </c>
      <c r="D32" s="25" t="s">
        <v>552</v>
      </c>
      <c r="E32" s="10">
        <f t="shared" si="0"/>
        <v>1181</v>
      </c>
      <c r="F32" s="20">
        <v>1210</v>
      </c>
      <c r="I32" s="228"/>
      <c r="J32" s="190"/>
      <c r="K32" s="190"/>
      <c r="L32" s="14"/>
    </row>
    <row r="33" spans="1:12" x14ac:dyDescent="0.15">
      <c r="A33" s="9" t="s">
        <v>0</v>
      </c>
      <c r="B33" s="9" t="s">
        <v>1893</v>
      </c>
      <c r="C33" s="9" t="s">
        <v>1761</v>
      </c>
      <c r="D33" s="25" t="s">
        <v>553</v>
      </c>
      <c r="E33" s="10">
        <f t="shared" si="0"/>
        <v>1211</v>
      </c>
      <c r="F33" s="20">
        <v>1240</v>
      </c>
      <c r="I33" s="228"/>
      <c r="J33" s="190"/>
      <c r="K33" s="190"/>
      <c r="L33" s="14"/>
    </row>
    <row r="34" spans="1:12" x14ac:dyDescent="0.15">
      <c r="A34" s="9" t="s">
        <v>0</v>
      </c>
      <c r="B34" s="9" t="s">
        <v>1893</v>
      </c>
      <c r="C34" s="9" t="s">
        <v>1761</v>
      </c>
      <c r="D34" s="25" t="s">
        <v>554</v>
      </c>
      <c r="E34" s="10">
        <f t="shared" si="0"/>
        <v>1241</v>
      </c>
      <c r="F34" s="20">
        <v>1260</v>
      </c>
      <c r="I34" s="228"/>
      <c r="J34" s="190"/>
      <c r="K34" s="190"/>
      <c r="L34" s="14"/>
    </row>
    <row r="35" spans="1:12" x14ac:dyDescent="0.15">
      <c r="A35" s="9" t="s">
        <v>0</v>
      </c>
      <c r="B35" s="9" t="s">
        <v>1893</v>
      </c>
      <c r="C35" s="9" t="s">
        <v>1761</v>
      </c>
      <c r="D35" s="25" t="s">
        <v>555</v>
      </c>
      <c r="E35" s="10">
        <f t="shared" si="0"/>
        <v>1261</v>
      </c>
      <c r="F35" s="20">
        <v>1280</v>
      </c>
      <c r="I35" s="228"/>
      <c r="J35" s="190"/>
      <c r="K35" s="190"/>
      <c r="L35" s="14"/>
    </row>
    <row r="36" spans="1:12" x14ac:dyDescent="0.15">
      <c r="A36" s="9" t="s">
        <v>0</v>
      </c>
      <c r="B36" s="9" t="s">
        <v>1893</v>
      </c>
      <c r="C36" s="9" t="s">
        <v>1761</v>
      </c>
      <c r="D36" s="25" t="s">
        <v>556</v>
      </c>
      <c r="E36" s="10">
        <f t="shared" si="0"/>
        <v>1281</v>
      </c>
      <c r="F36" s="20">
        <v>1300</v>
      </c>
      <c r="I36" s="228"/>
      <c r="J36" s="190"/>
      <c r="K36" s="190"/>
      <c r="L36" s="14"/>
    </row>
    <row r="37" spans="1:12" x14ac:dyDescent="0.15">
      <c r="A37" s="9" t="s">
        <v>0</v>
      </c>
      <c r="B37" s="9" t="s">
        <v>1893</v>
      </c>
      <c r="C37" s="9" t="s">
        <v>1761</v>
      </c>
      <c r="D37" s="25" t="s">
        <v>557</v>
      </c>
      <c r="E37" s="10">
        <f t="shared" si="0"/>
        <v>1301</v>
      </c>
      <c r="F37" s="20">
        <v>1310</v>
      </c>
      <c r="I37" s="228"/>
      <c r="J37" s="190"/>
      <c r="K37" s="190"/>
      <c r="L37" s="14"/>
    </row>
    <row r="38" spans="1:12" x14ac:dyDescent="0.15">
      <c r="A38" s="9" t="s">
        <v>0</v>
      </c>
      <c r="B38" s="9" t="s">
        <v>1893</v>
      </c>
      <c r="C38" s="9" t="s">
        <v>1761</v>
      </c>
      <c r="D38" s="25" t="s">
        <v>558</v>
      </c>
      <c r="E38" s="10">
        <f t="shared" si="0"/>
        <v>1311</v>
      </c>
      <c r="F38" s="20">
        <v>1320</v>
      </c>
      <c r="I38" s="228"/>
      <c r="J38" s="190"/>
      <c r="K38" s="190"/>
      <c r="L38" s="14"/>
    </row>
    <row r="39" spans="1:12" s="32" customFormat="1" x14ac:dyDescent="0.15">
      <c r="A39" s="32" t="s">
        <v>0</v>
      </c>
      <c r="B39" s="32" t="s">
        <v>1894</v>
      </c>
      <c r="C39" s="32" t="s">
        <v>1761</v>
      </c>
      <c r="D39" s="77" t="s">
        <v>559</v>
      </c>
      <c r="E39" s="11">
        <f t="shared" si="0"/>
        <v>1321</v>
      </c>
      <c r="F39" s="19">
        <v>1340</v>
      </c>
      <c r="G39" s="14">
        <v>1.1599999999999999</v>
      </c>
      <c r="H39" s="14">
        <v>0.2</v>
      </c>
      <c r="I39" s="190">
        <v>0.64</v>
      </c>
      <c r="J39" s="190">
        <v>1.03</v>
      </c>
      <c r="K39" s="190">
        <v>0.6</v>
      </c>
      <c r="L39" s="14">
        <v>0.75</v>
      </c>
    </row>
    <row r="40" spans="1:12" x14ac:dyDescent="0.15">
      <c r="A40" s="9" t="s">
        <v>0</v>
      </c>
      <c r="B40" s="9" t="s">
        <v>1894</v>
      </c>
      <c r="C40" s="9" t="s">
        <v>1761</v>
      </c>
      <c r="D40" s="25" t="s">
        <v>560</v>
      </c>
      <c r="E40" s="10">
        <f t="shared" si="0"/>
        <v>1341</v>
      </c>
      <c r="F40" s="20">
        <v>1400</v>
      </c>
      <c r="I40" s="228"/>
      <c r="J40" s="190"/>
      <c r="K40" s="190"/>
      <c r="L40" s="14"/>
    </row>
    <row r="41" spans="1:12" x14ac:dyDescent="0.15">
      <c r="A41" s="9" t="s">
        <v>0</v>
      </c>
      <c r="B41" s="9" t="s">
        <v>1894</v>
      </c>
      <c r="C41" s="9" t="s">
        <v>1761</v>
      </c>
      <c r="D41" s="25" t="s">
        <v>561</v>
      </c>
      <c r="E41" s="10">
        <f t="shared" si="0"/>
        <v>1401</v>
      </c>
      <c r="F41" s="20">
        <v>1480</v>
      </c>
      <c r="I41" s="228"/>
      <c r="J41" s="190"/>
      <c r="K41" s="190"/>
      <c r="L41" s="14"/>
    </row>
    <row r="42" spans="1:12" s="32" customFormat="1" x14ac:dyDescent="0.15">
      <c r="A42" s="32" t="s">
        <v>0</v>
      </c>
      <c r="B42" s="32" t="s">
        <v>1886</v>
      </c>
      <c r="C42" s="32" t="s">
        <v>1761</v>
      </c>
      <c r="D42" s="77" t="s">
        <v>562</v>
      </c>
      <c r="E42" s="11">
        <f t="shared" si="0"/>
        <v>1481</v>
      </c>
      <c r="F42" s="19">
        <v>1520</v>
      </c>
      <c r="G42" s="14">
        <v>0.28000000000000003</v>
      </c>
      <c r="H42" s="14">
        <v>7.0000000000000007E-2</v>
      </c>
      <c r="I42" s="190">
        <v>0.18</v>
      </c>
      <c r="J42" s="190">
        <v>0.93</v>
      </c>
      <c r="K42" s="190">
        <v>0.55000000000000004</v>
      </c>
      <c r="L42" s="14">
        <v>0.45</v>
      </c>
    </row>
    <row r="43" spans="1:12" x14ac:dyDescent="0.15">
      <c r="A43" s="9" t="s">
        <v>0</v>
      </c>
      <c r="B43" s="9" t="s">
        <v>1886</v>
      </c>
      <c r="C43" s="9" t="s">
        <v>1761</v>
      </c>
      <c r="D43" s="25" t="s">
        <v>563</v>
      </c>
      <c r="E43" s="10">
        <f t="shared" si="0"/>
        <v>1521</v>
      </c>
      <c r="F43" s="20">
        <v>1560</v>
      </c>
      <c r="I43" s="228"/>
      <c r="J43" s="190"/>
      <c r="K43" s="190"/>
      <c r="L43" s="14"/>
    </row>
    <row r="44" spans="1:12" x14ac:dyDescent="0.15">
      <c r="A44" s="9" t="s">
        <v>0</v>
      </c>
      <c r="B44" s="9" t="s">
        <v>1886</v>
      </c>
      <c r="C44" s="9" t="s">
        <v>1761</v>
      </c>
      <c r="D44" s="25" t="s">
        <v>564</v>
      </c>
      <c r="E44" s="10">
        <f t="shared" si="0"/>
        <v>1561</v>
      </c>
      <c r="F44" s="20">
        <v>1600</v>
      </c>
      <c r="I44" s="228"/>
      <c r="J44" s="190"/>
      <c r="K44" s="190"/>
      <c r="L44" s="14"/>
    </row>
    <row r="45" spans="1:12" x14ac:dyDescent="0.15">
      <c r="A45" s="9" t="s">
        <v>0</v>
      </c>
      <c r="B45" s="9" t="s">
        <v>1886</v>
      </c>
      <c r="C45" s="9" t="s">
        <v>1761</v>
      </c>
      <c r="D45" s="25" t="s">
        <v>565</v>
      </c>
      <c r="E45" s="10">
        <f t="shared" si="0"/>
        <v>1601</v>
      </c>
      <c r="F45" s="20">
        <v>1640</v>
      </c>
      <c r="I45" s="228"/>
      <c r="J45" s="190"/>
      <c r="K45" s="190"/>
      <c r="L45" s="14"/>
    </row>
    <row r="46" spans="1:12" x14ac:dyDescent="0.15">
      <c r="A46" s="9" t="s">
        <v>0</v>
      </c>
      <c r="B46" s="9" t="s">
        <v>1886</v>
      </c>
      <c r="C46" s="9" t="s">
        <v>1761</v>
      </c>
      <c r="D46" s="25" t="s">
        <v>581</v>
      </c>
      <c r="E46" s="10">
        <f t="shared" si="0"/>
        <v>1641</v>
      </c>
      <c r="F46" s="20">
        <v>1780</v>
      </c>
      <c r="I46" s="228"/>
      <c r="J46" s="190"/>
      <c r="K46" s="190"/>
      <c r="L46" s="14"/>
    </row>
    <row r="47" spans="1:12" s="32" customFormat="1" x14ac:dyDescent="0.15">
      <c r="A47" s="32" t="s">
        <v>0</v>
      </c>
      <c r="B47" s="32" t="s">
        <v>1762</v>
      </c>
      <c r="C47" s="32" t="s">
        <v>1762</v>
      </c>
      <c r="D47" s="77" t="s">
        <v>567</v>
      </c>
      <c r="E47" s="11">
        <f t="shared" si="0"/>
        <v>1781</v>
      </c>
      <c r="F47" s="19">
        <v>1820</v>
      </c>
      <c r="G47" s="14">
        <v>0.16</v>
      </c>
      <c r="H47" s="14">
        <v>0.02</v>
      </c>
      <c r="I47" s="190">
        <v>0.06</v>
      </c>
      <c r="J47" s="190">
        <v>0.65</v>
      </c>
      <c r="K47" s="190">
        <v>0.5</v>
      </c>
      <c r="L47" s="14">
        <v>0.25</v>
      </c>
    </row>
    <row r="48" spans="1:12" x14ac:dyDescent="0.15">
      <c r="A48" s="9" t="s">
        <v>0</v>
      </c>
      <c r="B48" s="9" t="s">
        <v>1762</v>
      </c>
      <c r="C48" s="9" t="s">
        <v>1762</v>
      </c>
      <c r="D48" s="25" t="s">
        <v>582</v>
      </c>
      <c r="E48" s="10">
        <f t="shared" si="0"/>
        <v>1821</v>
      </c>
      <c r="F48" s="20">
        <v>1860</v>
      </c>
      <c r="I48" s="228"/>
      <c r="J48" s="190"/>
      <c r="K48" s="190"/>
      <c r="L48" s="14"/>
    </row>
    <row r="49" spans="1:12" x14ac:dyDescent="0.15">
      <c r="A49" s="9" t="s">
        <v>0</v>
      </c>
      <c r="B49" s="9" t="s">
        <v>1762</v>
      </c>
      <c r="C49" s="9" t="s">
        <v>1762</v>
      </c>
      <c r="D49" s="25" t="s">
        <v>569</v>
      </c>
      <c r="E49" s="10">
        <f t="shared" si="0"/>
        <v>1861</v>
      </c>
      <c r="F49" s="20">
        <v>1960</v>
      </c>
      <c r="I49" s="228"/>
      <c r="J49" s="190"/>
      <c r="K49" s="190"/>
      <c r="L49" s="14"/>
    </row>
    <row r="50" spans="1:12" x14ac:dyDescent="0.15">
      <c r="A50" s="9" t="s">
        <v>0</v>
      </c>
      <c r="B50" s="9" t="s">
        <v>1762</v>
      </c>
      <c r="C50" s="9" t="s">
        <v>1762</v>
      </c>
      <c r="D50" s="25" t="s">
        <v>570</v>
      </c>
      <c r="E50" s="10">
        <f t="shared" si="0"/>
        <v>1961</v>
      </c>
      <c r="F50" s="20">
        <v>2100</v>
      </c>
      <c r="I50" s="228"/>
      <c r="J50" s="190"/>
      <c r="K50" s="190"/>
      <c r="L50" s="14"/>
    </row>
    <row r="51" spans="1:12" s="32" customFormat="1" x14ac:dyDescent="0.15">
      <c r="A51" s="32" t="s">
        <v>0</v>
      </c>
      <c r="B51" s="32" t="s">
        <v>1903</v>
      </c>
      <c r="C51" s="32" t="s">
        <v>1903</v>
      </c>
      <c r="D51" s="77" t="s">
        <v>571</v>
      </c>
      <c r="E51" s="11">
        <f t="shared" si="0"/>
        <v>2101</v>
      </c>
      <c r="F51" s="19">
        <v>2200</v>
      </c>
      <c r="G51" s="14">
        <v>0.05</v>
      </c>
      <c r="H51" s="14">
        <v>0.01</v>
      </c>
      <c r="I51" s="190">
        <v>0.02</v>
      </c>
      <c r="J51" s="190">
        <v>0.3</v>
      </c>
      <c r="K51" s="190">
        <v>0.45</v>
      </c>
      <c r="L51" s="14">
        <v>0.12</v>
      </c>
    </row>
    <row r="52" spans="1:12" x14ac:dyDescent="0.15">
      <c r="A52" s="9" t="s">
        <v>0</v>
      </c>
      <c r="B52" s="9" t="s">
        <v>1903</v>
      </c>
      <c r="C52" s="9" t="s">
        <v>1903</v>
      </c>
      <c r="D52" s="25" t="s">
        <v>572</v>
      </c>
      <c r="E52" s="10">
        <f t="shared" si="0"/>
        <v>2201</v>
      </c>
      <c r="F52" s="20">
        <v>2250</v>
      </c>
      <c r="I52" s="228"/>
      <c r="J52" s="190"/>
      <c r="K52" s="190"/>
      <c r="L52" s="14"/>
    </row>
    <row r="53" spans="1:12" x14ac:dyDescent="0.15">
      <c r="A53" s="9" t="s">
        <v>0</v>
      </c>
      <c r="B53" s="9" t="s">
        <v>1903</v>
      </c>
      <c r="C53" s="9" t="s">
        <v>1903</v>
      </c>
      <c r="D53" s="25" t="s">
        <v>573</v>
      </c>
      <c r="E53" s="10">
        <f t="shared" si="0"/>
        <v>2251</v>
      </c>
      <c r="F53" s="20">
        <v>2350</v>
      </c>
      <c r="I53" s="228"/>
      <c r="J53" s="190"/>
      <c r="K53" s="190"/>
      <c r="L53" s="13"/>
    </row>
    <row r="54" spans="1:12" x14ac:dyDescent="0.15">
      <c r="A54" s="9" t="s">
        <v>0</v>
      </c>
      <c r="B54" s="9" t="s">
        <v>1903</v>
      </c>
      <c r="C54" s="9" t="s">
        <v>1903</v>
      </c>
      <c r="D54" s="25" t="s">
        <v>574</v>
      </c>
      <c r="E54" s="10">
        <f t="shared" si="0"/>
        <v>2351</v>
      </c>
      <c r="F54" s="20">
        <v>2400</v>
      </c>
      <c r="I54" s="228"/>
      <c r="J54" s="190"/>
      <c r="K54" s="190"/>
      <c r="L54" s="1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0E23-0F8F-4C5C-875A-43A9D1B1E143}">
  <sheetPr>
    <tabColor rgb="FFFFFF00"/>
  </sheetPr>
  <dimension ref="A1:L37"/>
  <sheetViews>
    <sheetView workbookViewId="0">
      <selection activeCell="L35" sqref="L35"/>
    </sheetView>
  </sheetViews>
  <sheetFormatPr defaultRowHeight="10.5" x14ac:dyDescent="0.15"/>
  <cols>
    <col min="1" max="1" width="11" style="98" bestFit="1" customWidth="1"/>
    <col min="2" max="2" width="22" style="98" bestFit="1" customWidth="1"/>
    <col min="3" max="3" width="11.85546875" style="98" bestFit="1" customWidth="1"/>
    <col min="4" max="4" width="63.710937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10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10</v>
      </c>
      <c r="G2" s="101">
        <v>0.05</v>
      </c>
      <c r="H2" s="101">
        <v>0.01</v>
      </c>
      <c r="I2" s="186">
        <v>0.05</v>
      </c>
      <c r="J2" s="186">
        <v>0.3</v>
      </c>
      <c r="K2" s="186">
        <v>0.5</v>
      </c>
      <c r="L2" s="101">
        <v>0.68</v>
      </c>
    </row>
    <row r="3" spans="1:12" x14ac:dyDescent="0.15">
      <c r="A3" s="98" t="s">
        <v>10</v>
      </c>
      <c r="B3" s="98" t="s">
        <v>1759</v>
      </c>
      <c r="C3" s="98" t="s">
        <v>1759</v>
      </c>
      <c r="D3" s="179" t="s">
        <v>374</v>
      </c>
      <c r="E3" s="12">
        <f>F2+1</f>
        <v>11</v>
      </c>
      <c r="F3" s="184">
        <v>30</v>
      </c>
      <c r="G3" s="102"/>
      <c r="H3" s="102"/>
      <c r="I3" s="187"/>
      <c r="J3" s="186"/>
      <c r="K3" s="186"/>
      <c r="L3" s="101"/>
    </row>
    <row r="4" spans="1:12" x14ac:dyDescent="0.15">
      <c r="A4" s="98" t="s">
        <v>10</v>
      </c>
      <c r="B4" s="98" t="s">
        <v>1759</v>
      </c>
      <c r="C4" s="98" t="s">
        <v>1759</v>
      </c>
      <c r="D4" s="179" t="s">
        <v>375</v>
      </c>
      <c r="E4" s="12">
        <f t="shared" ref="E4:E37" si="0">F3+1</f>
        <v>31</v>
      </c>
      <c r="F4" s="184">
        <v>60</v>
      </c>
      <c r="I4" s="186"/>
      <c r="J4" s="186"/>
      <c r="K4" s="186"/>
      <c r="L4" s="101"/>
    </row>
    <row r="5" spans="1:12" x14ac:dyDescent="0.15">
      <c r="A5" s="98" t="s">
        <v>10</v>
      </c>
      <c r="B5" s="98" t="s">
        <v>1759</v>
      </c>
      <c r="C5" s="98" t="s">
        <v>1759</v>
      </c>
      <c r="D5" s="179" t="s">
        <v>414</v>
      </c>
      <c r="E5" s="12">
        <f t="shared" si="0"/>
        <v>61</v>
      </c>
      <c r="F5" s="184">
        <v>95</v>
      </c>
      <c r="I5" s="186"/>
      <c r="J5" s="186"/>
      <c r="K5" s="186"/>
      <c r="L5" s="101"/>
    </row>
    <row r="6" spans="1:12" x14ac:dyDescent="0.15">
      <c r="A6" s="98" t="s">
        <v>10</v>
      </c>
      <c r="B6" s="98" t="s">
        <v>1759</v>
      </c>
      <c r="C6" s="98" t="s">
        <v>1759</v>
      </c>
      <c r="D6" s="179" t="s">
        <v>377</v>
      </c>
      <c r="E6" s="12">
        <f t="shared" si="0"/>
        <v>96</v>
      </c>
      <c r="F6" s="184">
        <v>115</v>
      </c>
      <c r="I6" s="186"/>
      <c r="J6" s="186"/>
      <c r="K6" s="186"/>
      <c r="L6" s="101"/>
    </row>
    <row r="7" spans="1:12" x14ac:dyDescent="0.15">
      <c r="A7" s="98" t="s">
        <v>10</v>
      </c>
      <c r="B7" s="98" t="s">
        <v>1759</v>
      </c>
      <c r="C7" s="98" t="s">
        <v>1759</v>
      </c>
      <c r="D7" s="179" t="s">
        <v>457</v>
      </c>
      <c r="E7" s="12">
        <f t="shared" si="0"/>
        <v>116</v>
      </c>
      <c r="F7" s="184">
        <v>130</v>
      </c>
      <c r="I7" s="186"/>
      <c r="J7" s="186"/>
      <c r="K7" s="186"/>
      <c r="L7" s="101"/>
    </row>
    <row r="8" spans="1:12" s="100" customFormat="1" x14ac:dyDescent="0.15">
      <c r="A8" s="100" t="s">
        <v>10</v>
      </c>
      <c r="B8" s="100" t="s">
        <v>1861</v>
      </c>
      <c r="C8" s="100" t="s">
        <v>1760</v>
      </c>
      <c r="D8" s="177" t="s">
        <v>380</v>
      </c>
      <c r="E8" s="216">
        <f t="shared" si="0"/>
        <v>131</v>
      </c>
      <c r="F8" s="217">
        <v>160</v>
      </c>
      <c r="G8" s="101">
        <v>1</v>
      </c>
      <c r="H8" s="101">
        <v>0.2</v>
      </c>
      <c r="I8" s="186">
        <v>1</v>
      </c>
      <c r="J8" s="186">
        <v>0.6</v>
      </c>
      <c r="K8" s="186">
        <v>0.6</v>
      </c>
      <c r="L8" s="101">
        <v>0.52</v>
      </c>
    </row>
    <row r="9" spans="1:12" x14ac:dyDescent="0.15">
      <c r="A9" s="98" t="s">
        <v>10</v>
      </c>
      <c r="B9" s="98" t="s">
        <v>1861</v>
      </c>
      <c r="C9" s="98" t="s">
        <v>1760</v>
      </c>
      <c r="D9" s="179" t="s">
        <v>484</v>
      </c>
      <c r="E9" s="12">
        <f t="shared" si="0"/>
        <v>161</v>
      </c>
      <c r="F9" s="184">
        <v>200</v>
      </c>
      <c r="G9" s="102"/>
      <c r="H9" s="102"/>
      <c r="I9" s="187"/>
      <c r="J9" s="186"/>
      <c r="K9" s="186"/>
      <c r="L9" s="101"/>
    </row>
    <row r="10" spans="1:12" x14ac:dyDescent="0.15">
      <c r="A10" s="98" t="s">
        <v>10</v>
      </c>
      <c r="B10" s="98" t="s">
        <v>1861</v>
      </c>
      <c r="C10" s="98" t="s">
        <v>1760</v>
      </c>
      <c r="D10" s="179" t="s">
        <v>485</v>
      </c>
      <c r="E10" s="12">
        <f t="shared" si="0"/>
        <v>201</v>
      </c>
      <c r="F10" s="184">
        <v>240</v>
      </c>
      <c r="I10" s="186"/>
      <c r="J10" s="186"/>
      <c r="K10" s="186"/>
      <c r="L10" s="101"/>
    </row>
    <row r="11" spans="1:12" x14ac:dyDescent="0.15">
      <c r="A11" s="98" t="s">
        <v>10</v>
      </c>
      <c r="B11" s="98" t="s">
        <v>1861</v>
      </c>
      <c r="C11" s="98" t="s">
        <v>1760</v>
      </c>
      <c r="D11" s="179" t="s">
        <v>486</v>
      </c>
      <c r="E11" s="12">
        <f t="shared" si="0"/>
        <v>241</v>
      </c>
      <c r="F11" s="184">
        <v>280</v>
      </c>
      <c r="I11" s="186"/>
      <c r="J11" s="186"/>
      <c r="K11" s="186"/>
      <c r="L11" s="101"/>
    </row>
    <row r="12" spans="1:12" x14ac:dyDescent="0.15">
      <c r="A12" s="98" t="s">
        <v>10</v>
      </c>
      <c r="B12" s="98" t="s">
        <v>1861</v>
      </c>
      <c r="C12" s="98" t="s">
        <v>1760</v>
      </c>
      <c r="D12" s="179" t="s">
        <v>487</v>
      </c>
      <c r="E12" s="12">
        <f t="shared" si="0"/>
        <v>281</v>
      </c>
      <c r="F12" s="184">
        <v>320</v>
      </c>
      <c r="I12" s="186"/>
      <c r="J12" s="186"/>
      <c r="K12" s="186"/>
      <c r="L12" s="101"/>
    </row>
    <row r="13" spans="1:12" s="100" customFormat="1" x14ac:dyDescent="0.15">
      <c r="A13" s="100" t="s">
        <v>10</v>
      </c>
      <c r="B13" s="100" t="s">
        <v>1857</v>
      </c>
      <c r="C13" s="100" t="s">
        <v>1760</v>
      </c>
      <c r="D13" s="177" t="s">
        <v>488</v>
      </c>
      <c r="E13" s="216">
        <f t="shared" si="0"/>
        <v>321</v>
      </c>
      <c r="F13" s="217">
        <v>360</v>
      </c>
      <c r="G13" s="101">
        <v>1.5</v>
      </c>
      <c r="H13" s="101">
        <v>0.3</v>
      </c>
      <c r="I13" s="186">
        <v>1.5</v>
      </c>
      <c r="J13" s="186">
        <v>0.8</v>
      </c>
      <c r="K13" s="186">
        <v>0.6</v>
      </c>
      <c r="L13" s="101">
        <v>0.6</v>
      </c>
    </row>
    <row r="14" spans="1:12" x14ac:dyDescent="0.15">
      <c r="A14" s="98" t="s">
        <v>10</v>
      </c>
      <c r="B14" s="98" t="s">
        <v>1857</v>
      </c>
      <c r="C14" s="98" t="s">
        <v>1760</v>
      </c>
      <c r="D14" s="179" t="s">
        <v>489</v>
      </c>
      <c r="E14" s="12">
        <f t="shared" si="0"/>
        <v>361</v>
      </c>
      <c r="F14" s="184">
        <v>395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10</v>
      </c>
      <c r="B15" s="98" t="s">
        <v>1857</v>
      </c>
      <c r="C15" s="98" t="s">
        <v>1760</v>
      </c>
      <c r="D15" s="179" t="s">
        <v>638</v>
      </c>
      <c r="E15" s="12">
        <f t="shared" si="0"/>
        <v>396</v>
      </c>
      <c r="F15" s="184">
        <v>430</v>
      </c>
      <c r="I15" s="186"/>
      <c r="J15" s="186"/>
      <c r="K15" s="186"/>
      <c r="L15" s="101"/>
    </row>
    <row r="16" spans="1:12" s="100" customFormat="1" x14ac:dyDescent="0.15">
      <c r="A16" s="100" t="s">
        <v>10</v>
      </c>
      <c r="B16" s="100" t="s">
        <v>1858</v>
      </c>
      <c r="C16" s="100" t="s">
        <v>1761</v>
      </c>
      <c r="D16" s="177" t="s">
        <v>491</v>
      </c>
      <c r="E16" s="216">
        <f t="shared" si="0"/>
        <v>431</v>
      </c>
      <c r="F16" s="217">
        <v>465</v>
      </c>
      <c r="G16" s="101">
        <v>2</v>
      </c>
      <c r="H16" s="101">
        <v>0.4</v>
      </c>
      <c r="I16" s="186">
        <v>2</v>
      </c>
      <c r="J16" s="186">
        <v>1</v>
      </c>
      <c r="K16" s="186">
        <v>0.6</v>
      </c>
      <c r="L16" s="101">
        <v>0.72</v>
      </c>
    </row>
    <row r="17" spans="1:12" x14ac:dyDescent="0.15">
      <c r="A17" s="98" t="s">
        <v>10</v>
      </c>
      <c r="B17" s="98" t="s">
        <v>1858</v>
      </c>
      <c r="C17" s="98" t="s">
        <v>1761</v>
      </c>
      <c r="D17" s="179" t="s">
        <v>492</v>
      </c>
      <c r="E17" s="12">
        <f t="shared" si="0"/>
        <v>466</v>
      </c>
      <c r="F17" s="184">
        <v>495</v>
      </c>
      <c r="G17" s="102"/>
      <c r="H17" s="102"/>
      <c r="I17" s="187"/>
      <c r="J17" s="186"/>
      <c r="K17" s="186"/>
      <c r="L17" s="101"/>
    </row>
    <row r="18" spans="1:12" x14ac:dyDescent="0.15">
      <c r="A18" s="98" t="s">
        <v>10</v>
      </c>
      <c r="B18" s="98" t="s">
        <v>1858</v>
      </c>
      <c r="C18" s="98" t="s">
        <v>1761</v>
      </c>
      <c r="D18" s="179" t="s">
        <v>493</v>
      </c>
      <c r="E18" s="12">
        <f t="shared" si="0"/>
        <v>496</v>
      </c>
      <c r="F18" s="184">
        <v>520</v>
      </c>
      <c r="I18" s="186"/>
      <c r="J18" s="186"/>
      <c r="K18" s="186"/>
      <c r="L18" s="101"/>
    </row>
    <row r="19" spans="1:12" s="100" customFormat="1" x14ac:dyDescent="0.15">
      <c r="A19" s="100" t="s">
        <v>10</v>
      </c>
      <c r="B19" s="100" t="s">
        <v>1859</v>
      </c>
      <c r="C19" s="100" t="s">
        <v>1761</v>
      </c>
      <c r="D19" s="177" t="s">
        <v>495</v>
      </c>
      <c r="E19" s="216">
        <f t="shared" si="0"/>
        <v>521</v>
      </c>
      <c r="F19" s="217">
        <v>560</v>
      </c>
      <c r="G19" s="101">
        <v>2.5</v>
      </c>
      <c r="H19" s="101">
        <v>0.5</v>
      </c>
      <c r="I19" s="186">
        <v>2.5</v>
      </c>
      <c r="J19" s="186">
        <v>1.1000000000000001</v>
      </c>
      <c r="K19" s="186">
        <v>0.7</v>
      </c>
      <c r="L19" s="101">
        <v>0.82</v>
      </c>
    </row>
    <row r="20" spans="1:12" x14ac:dyDescent="0.15">
      <c r="A20" s="98" t="s">
        <v>10</v>
      </c>
      <c r="B20" s="98" t="s">
        <v>1859</v>
      </c>
      <c r="C20" s="98" t="s">
        <v>1761</v>
      </c>
      <c r="D20" s="179" t="s">
        <v>496</v>
      </c>
      <c r="E20" s="12">
        <f t="shared" si="0"/>
        <v>561</v>
      </c>
      <c r="F20" s="184">
        <v>595</v>
      </c>
      <c r="G20" s="102"/>
      <c r="H20" s="102"/>
      <c r="I20" s="187"/>
      <c r="J20" s="186"/>
      <c r="K20" s="186"/>
      <c r="L20" s="101"/>
    </row>
    <row r="21" spans="1:12" x14ac:dyDescent="0.15">
      <c r="A21" s="98" t="s">
        <v>10</v>
      </c>
      <c r="B21" s="98" t="s">
        <v>1859</v>
      </c>
      <c r="C21" s="98" t="s">
        <v>1761</v>
      </c>
      <c r="D21" s="179" t="s">
        <v>497</v>
      </c>
      <c r="E21" s="12">
        <f t="shared" si="0"/>
        <v>596</v>
      </c>
      <c r="F21" s="184">
        <v>615</v>
      </c>
      <c r="I21" s="186"/>
      <c r="J21" s="186"/>
      <c r="K21" s="186"/>
      <c r="L21" s="101"/>
    </row>
    <row r="22" spans="1:12" x14ac:dyDescent="0.15">
      <c r="A22" s="98" t="s">
        <v>10</v>
      </c>
      <c r="B22" s="98" t="s">
        <v>1859</v>
      </c>
      <c r="C22" s="98" t="s">
        <v>1761</v>
      </c>
      <c r="D22" s="179" t="s">
        <v>639</v>
      </c>
      <c r="E22" s="12">
        <f t="shared" si="0"/>
        <v>616</v>
      </c>
      <c r="F22" s="184">
        <v>640</v>
      </c>
      <c r="I22" s="186"/>
      <c r="J22" s="186"/>
      <c r="K22" s="186"/>
      <c r="L22" s="101"/>
    </row>
    <row r="23" spans="1:12" s="100" customFormat="1" x14ac:dyDescent="0.15">
      <c r="A23" s="100" t="s">
        <v>10</v>
      </c>
      <c r="B23" s="100" t="s">
        <v>1886</v>
      </c>
      <c r="C23" s="100" t="s">
        <v>1761</v>
      </c>
      <c r="D23" s="177" t="s">
        <v>499</v>
      </c>
      <c r="E23" s="216">
        <f t="shared" si="0"/>
        <v>641</v>
      </c>
      <c r="F23" s="217">
        <v>730</v>
      </c>
      <c r="G23" s="101">
        <v>2</v>
      </c>
      <c r="H23" s="101">
        <v>0.4</v>
      </c>
      <c r="I23" s="186">
        <v>2</v>
      </c>
      <c r="J23" s="186">
        <v>1.1499999999999999</v>
      </c>
      <c r="K23" s="186">
        <v>0.7</v>
      </c>
      <c r="L23" s="101">
        <v>0.7</v>
      </c>
    </row>
    <row r="24" spans="1:12" x14ac:dyDescent="0.15">
      <c r="A24" s="98" t="s">
        <v>10</v>
      </c>
      <c r="B24" s="98" t="s">
        <v>1886</v>
      </c>
      <c r="C24" s="98" t="s">
        <v>1761</v>
      </c>
      <c r="D24" s="179" t="s">
        <v>500</v>
      </c>
      <c r="E24" s="12">
        <f t="shared" si="0"/>
        <v>731</v>
      </c>
      <c r="F24" s="184">
        <v>820</v>
      </c>
      <c r="G24" s="102"/>
      <c r="H24" s="102"/>
      <c r="I24" s="187"/>
      <c r="J24" s="186"/>
      <c r="K24" s="186"/>
      <c r="L24" s="101"/>
    </row>
    <row r="25" spans="1:12" x14ac:dyDescent="0.15">
      <c r="A25" s="98" t="s">
        <v>10</v>
      </c>
      <c r="B25" s="98" t="s">
        <v>1886</v>
      </c>
      <c r="C25" s="98" t="s">
        <v>1761</v>
      </c>
      <c r="D25" s="179" t="s">
        <v>501</v>
      </c>
      <c r="E25" s="12">
        <f t="shared" si="0"/>
        <v>821</v>
      </c>
      <c r="F25" s="184">
        <v>900</v>
      </c>
      <c r="I25" s="186"/>
      <c r="J25" s="186"/>
      <c r="K25" s="186"/>
      <c r="L25" s="101"/>
    </row>
    <row r="26" spans="1:12" x14ac:dyDescent="0.15">
      <c r="A26" s="98" t="s">
        <v>10</v>
      </c>
      <c r="B26" s="98" t="s">
        <v>1886</v>
      </c>
      <c r="C26" s="98" t="s">
        <v>1761</v>
      </c>
      <c r="D26" s="179" t="s">
        <v>640</v>
      </c>
      <c r="E26" s="12">
        <f t="shared" si="0"/>
        <v>901</v>
      </c>
      <c r="F26" s="184">
        <v>960</v>
      </c>
      <c r="I26" s="186"/>
      <c r="J26" s="186"/>
      <c r="K26" s="186"/>
      <c r="L26" s="101"/>
    </row>
    <row r="27" spans="1:12" s="100" customFormat="1" x14ac:dyDescent="0.15">
      <c r="A27" s="100" t="s">
        <v>10</v>
      </c>
      <c r="B27" s="100" t="s">
        <v>1860</v>
      </c>
      <c r="C27" s="100" t="s">
        <v>1762</v>
      </c>
      <c r="D27" s="177" t="s">
        <v>641</v>
      </c>
      <c r="E27" s="216">
        <f t="shared" si="0"/>
        <v>961</v>
      </c>
      <c r="F27" s="217">
        <v>1005</v>
      </c>
      <c r="G27" s="101">
        <v>1</v>
      </c>
      <c r="H27" s="101">
        <v>0.2</v>
      </c>
      <c r="I27" s="186">
        <v>1</v>
      </c>
      <c r="J27" s="186">
        <v>0.8</v>
      </c>
      <c r="K27" s="186">
        <v>0.5</v>
      </c>
      <c r="L27" s="101">
        <v>0.45</v>
      </c>
    </row>
    <row r="28" spans="1:12" x14ac:dyDescent="0.15">
      <c r="A28" s="98" t="s">
        <v>10</v>
      </c>
      <c r="B28" s="98" t="s">
        <v>1860</v>
      </c>
      <c r="C28" s="98" t="s">
        <v>1762</v>
      </c>
      <c r="D28" s="179" t="s">
        <v>642</v>
      </c>
      <c r="E28" s="12">
        <f t="shared" si="0"/>
        <v>1006</v>
      </c>
      <c r="F28" s="184">
        <v>1045</v>
      </c>
      <c r="G28" s="102"/>
      <c r="H28" s="102"/>
      <c r="I28" s="187"/>
      <c r="J28" s="186"/>
      <c r="K28" s="186"/>
      <c r="L28" s="101"/>
    </row>
    <row r="29" spans="1:12" x14ac:dyDescent="0.15">
      <c r="A29" s="98" t="s">
        <v>10</v>
      </c>
      <c r="B29" s="98" t="s">
        <v>1860</v>
      </c>
      <c r="C29" s="98" t="s">
        <v>1762</v>
      </c>
      <c r="D29" s="179" t="s">
        <v>643</v>
      </c>
      <c r="E29" s="12">
        <f t="shared" si="0"/>
        <v>1046</v>
      </c>
      <c r="F29" s="184">
        <v>1080</v>
      </c>
      <c r="I29" s="186"/>
      <c r="J29" s="186"/>
      <c r="K29" s="186"/>
      <c r="L29" s="101"/>
    </row>
    <row r="30" spans="1:12" x14ac:dyDescent="0.15">
      <c r="A30" s="98" t="s">
        <v>10</v>
      </c>
      <c r="B30" s="98" t="s">
        <v>1860</v>
      </c>
      <c r="C30" s="98" t="s">
        <v>1762</v>
      </c>
      <c r="D30" s="179" t="s">
        <v>477</v>
      </c>
      <c r="E30" s="12">
        <f t="shared" si="0"/>
        <v>1081</v>
      </c>
      <c r="F30" s="184">
        <v>1110</v>
      </c>
      <c r="I30" s="186"/>
      <c r="J30" s="186"/>
      <c r="K30" s="186"/>
      <c r="L30" s="101"/>
    </row>
    <row r="31" spans="1:12" x14ac:dyDescent="0.15">
      <c r="A31" s="98" t="s">
        <v>10</v>
      </c>
      <c r="B31" s="98" t="s">
        <v>1860</v>
      </c>
      <c r="C31" s="98" t="s">
        <v>1762</v>
      </c>
      <c r="D31" s="179" t="s">
        <v>478</v>
      </c>
      <c r="E31" s="12">
        <f t="shared" si="0"/>
        <v>1111</v>
      </c>
      <c r="F31" s="184">
        <v>1135</v>
      </c>
      <c r="I31" s="186"/>
      <c r="J31" s="186"/>
      <c r="K31" s="186"/>
      <c r="L31" s="101"/>
    </row>
    <row r="32" spans="1:12" x14ac:dyDescent="0.15">
      <c r="A32" s="98" t="s">
        <v>10</v>
      </c>
      <c r="B32" s="98" t="s">
        <v>1860</v>
      </c>
      <c r="C32" s="98" t="s">
        <v>1762</v>
      </c>
      <c r="D32" s="179" t="s">
        <v>479</v>
      </c>
      <c r="E32" s="12">
        <f t="shared" si="0"/>
        <v>1136</v>
      </c>
      <c r="F32" s="184">
        <v>1155</v>
      </c>
      <c r="I32" s="186"/>
      <c r="J32" s="186"/>
      <c r="K32" s="186"/>
      <c r="L32" s="101"/>
    </row>
    <row r="33" spans="1:12" x14ac:dyDescent="0.15">
      <c r="A33" s="98" t="s">
        <v>10</v>
      </c>
      <c r="B33" s="98" t="s">
        <v>1860</v>
      </c>
      <c r="C33" s="98" t="s">
        <v>1762</v>
      </c>
      <c r="D33" s="179" t="s">
        <v>480</v>
      </c>
      <c r="E33" s="12">
        <f t="shared" si="0"/>
        <v>1156</v>
      </c>
      <c r="F33" s="184">
        <v>1170</v>
      </c>
      <c r="I33" s="186"/>
      <c r="J33" s="186"/>
      <c r="K33" s="186"/>
      <c r="L33" s="101"/>
    </row>
    <row r="34" spans="1:12" x14ac:dyDescent="0.15">
      <c r="A34" s="98" t="s">
        <v>10</v>
      </c>
      <c r="B34" s="98" t="s">
        <v>1860</v>
      </c>
      <c r="C34" s="98" t="s">
        <v>1762</v>
      </c>
      <c r="D34" s="179" t="s">
        <v>481</v>
      </c>
      <c r="E34" s="12">
        <f t="shared" si="0"/>
        <v>1171</v>
      </c>
      <c r="F34" s="184">
        <v>1185</v>
      </c>
      <c r="I34" s="186"/>
      <c r="J34" s="186"/>
      <c r="K34" s="186"/>
      <c r="L34" s="101"/>
    </row>
    <row r="35" spans="1:12" x14ac:dyDescent="0.15">
      <c r="A35" s="98" t="s">
        <v>10</v>
      </c>
      <c r="B35" s="98" t="s">
        <v>1860</v>
      </c>
      <c r="C35" s="98" t="s">
        <v>1762</v>
      </c>
      <c r="D35" s="179" t="s">
        <v>503</v>
      </c>
      <c r="E35" s="12">
        <f t="shared" si="0"/>
        <v>1186</v>
      </c>
      <c r="F35" s="184">
        <v>1200</v>
      </c>
      <c r="I35" s="186"/>
      <c r="J35" s="186"/>
      <c r="K35" s="186"/>
      <c r="L35" s="101"/>
    </row>
    <row r="36" spans="1:12" s="100" customFormat="1" x14ac:dyDescent="0.15">
      <c r="A36" s="100" t="s">
        <v>10</v>
      </c>
      <c r="B36" s="100" t="s">
        <v>1855</v>
      </c>
      <c r="C36" s="100" t="s">
        <v>1855</v>
      </c>
      <c r="D36" s="177" t="s">
        <v>483</v>
      </c>
      <c r="E36" s="216">
        <f t="shared" si="0"/>
        <v>1201</v>
      </c>
      <c r="F36" s="217">
        <v>1280</v>
      </c>
      <c r="G36" s="101">
        <v>0.5</v>
      </c>
      <c r="H36" s="101">
        <v>0.1</v>
      </c>
      <c r="I36" s="186">
        <v>0.5</v>
      </c>
      <c r="J36" s="186">
        <v>0.5</v>
      </c>
      <c r="K36" s="186">
        <v>0.4</v>
      </c>
      <c r="L36" s="101">
        <v>0.22</v>
      </c>
    </row>
    <row r="37" spans="1:12" x14ac:dyDescent="0.15">
      <c r="A37" s="98" t="s">
        <v>10</v>
      </c>
      <c r="B37" s="98" t="s">
        <v>1855</v>
      </c>
      <c r="C37" s="98" t="s">
        <v>1855</v>
      </c>
      <c r="D37" s="179" t="s">
        <v>504</v>
      </c>
      <c r="E37" s="12">
        <f t="shared" si="0"/>
        <v>1281</v>
      </c>
      <c r="F37" s="184">
        <v>1350</v>
      </c>
      <c r="I37" s="186"/>
      <c r="J37" s="186"/>
      <c r="K37" s="186"/>
      <c r="L37" s="10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81B0-4FF4-4217-829F-19FF09543412}">
  <sheetPr>
    <tabColor rgb="FFFFFF00"/>
  </sheetPr>
  <dimension ref="A1:L38"/>
  <sheetViews>
    <sheetView workbookViewId="0">
      <selection activeCell="N26" sqref="N26"/>
    </sheetView>
  </sheetViews>
  <sheetFormatPr defaultRowHeight="10.5" x14ac:dyDescent="0.15"/>
  <cols>
    <col min="1" max="1" width="10.28515625" style="98" bestFit="1" customWidth="1"/>
    <col min="2" max="2" width="22" style="98" bestFit="1" customWidth="1"/>
    <col min="3" max="3" width="11.85546875" style="98" bestFit="1" customWidth="1"/>
    <col min="4" max="4" width="52.5703125" style="98" bestFit="1" customWidth="1"/>
    <col min="5" max="5" width="9.5703125" style="98" bestFit="1" customWidth="1"/>
    <col min="6" max="6" width="8.28515625" style="98" bestFit="1" customWidth="1"/>
    <col min="7" max="9" width="12.85546875" style="102" bestFit="1" customWidth="1"/>
    <col min="10" max="10" width="14.42578125" style="102" bestFit="1" customWidth="1"/>
    <col min="11" max="11" width="10.7109375" style="102" bestFit="1" customWidth="1"/>
    <col min="12" max="12" width="14.5703125" style="98" bestFit="1" customWidth="1"/>
    <col min="13" max="16384" width="9.140625" style="98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100" customFormat="1" x14ac:dyDescent="0.15">
      <c r="A2" s="100" t="s">
        <v>19</v>
      </c>
      <c r="B2" s="100" t="s">
        <v>1759</v>
      </c>
      <c r="C2" s="100" t="s">
        <v>1759</v>
      </c>
      <c r="D2" s="245" t="s">
        <v>373</v>
      </c>
      <c r="E2" s="216">
        <v>0</v>
      </c>
      <c r="F2" s="217">
        <v>15</v>
      </c>
      <c r="G2" s="101">
        <v>0.08</v>
      </c>
      <c r="H2" s="101">
        <v>0.01</v>
      </c>
      <c r="I2" s="186">
        <v>0.1</v>
      </c>
      <c r="J2" s="186">
        <v>0.3</v>
      </c>
      <c r="K2" s="186">
        <v>0.35</v>
      </c>
      <c r="L2" s="101">
        <v>0.72</v>
      </c>
    </row>
    <row r="3" spans="1:12" x14ac:dyDescent="0.15">
      <c r="A3" s="98" t="s">
        <v>19</v>
      </c>
      <c r="B3" s="98" t="s">
        <v>1759</v>
      </c>
      <c r="C3" s="98" t="s">
        <v>1759</v>
      </c>
      <c r="D3" s="246" t="s">
        <v>374</v>
      </c>
      <c r="E3" s="12">
        <f>F2+1</f>
        <v>16</v>
      </c>
      <c r="F3" s="184">
        <v>30</v>
      </c>
      <c r="I3" s="187"/>
      <c r="J3" s="187"/>
      <c r="K3" s="187"/>
      <c r="L3" s="101"/>
    </row>
    <row r="4" spans="1:12" x14ac:dyDescent="0.15">
      <c r="A4" s="98" t="s">
        <v>19</v>
      </c>
      <c r="B4" s="98" t="s">
        <v>1759</v>
      </c>
      <c r="C4" s="98" t="s">
        <v>1759</v>
      </c>
      <c r="D4" s="246" t="s">
        <v>375</v>
      </c>
      <c r="E4" s="12">
        <f t="shared" ref="E4:E38" si="0">F3+1</f>
        <v>31</v>
      </c>
      <c r="F4" s="184">
        <v>60</v>
      </c>
      <c r="I4" s="187"/>
      <c r="J4" s="187"/>
      <c r="K4" s="187"/>
      <c r="L4" s="101"/>
    </row>
    <row r="5" spans="1:12" x14ac:dyDescent="0.15">
      <c r="A5" s="98" t="s">
        <v>19</v>
      </c>
      <c r="B5" s="98" t="s">
        <v>1759</v>
      </c>
      <c r="C5" s="98" t="s">
        <v>1759</v>
      </c>
      <c r="D5" s="246" t="s">
        <v>414</v>
      </c>
      <c r="E5" s="12">
        <f t="shared" si="0"/>
        <v>61</v>
      </c>
      <c r="F5" s="184">
        <v>90</v>
      </c>
      <c r="I5" s="187"/>
      <c r="J5" s="187"/>
      <c r="K5" s="187"/>
      <c r="L5" s="101"/>
    </row>
    <row r="6" spans="1:12" x14ac:dyDescent="0.15">
      <c r="A6" s="98" t="s">
        <v>19</v>
      </c>
      <c r="B6" s="98" t="s">
        <v>1759</v>
      </c>
      <c r="C6" s="98" t="s">
        <v>1759</v>
      </c>
      <c r="D6" s="246" t="s">
        <v>377</v>
      </c>
      <c r="E6" s="12">
        <f t="shared" si="0"/>
        <v>91</v>
      </c>
      <c r="F6" s="184">
        <v>110</v>
      </c>
      <c r="I6" s="187"/>
      <c r="J6" s="187"/>
      <c r="K6" s="187"/>
      <c r="L6" s="101"/>
    </row>
    <row r="7" spans="1:12" x14ac:dyDescent="0.15">
      <c r="A7" s="98" t="s">
        <v>19</v>
      </c>
      <c r="B7" s="98" t="s">
        <v>1759</v>
      </c>
      <c r="C7" s="98" t="s">
        <v>1759</v>
      </c>
      <c r="D7" s="246" t="s">
        <v>457</v>
      </c>
      <c r="E7" s="12">
        <f t="shared" si="0"/>
        <v>111</v>
      </c>
      <c r="F7" s="184">
        <v>120</v>
      </c>
      <c r="I7" s="187"/>
      <c r="J7" s="187"/>
      <c r="K7" s="187"/>
      <c r="L7" s="101"/>
    </row>
    <row r="8" spans="1:12" s="100" customFormat="1" x14ac:dyDescent="0.15">
      <c r="A8" s="100" t="s">
        <v>19</v>
      </c>
      <c r="B8" s="100" t="s">
        <v>1861</v>
      </c>
      <c r="C8" s="100" t="s">
        <v>1760</v>
      </c>
      <c r="D8" s="245" t="s">
        <v>380</v>
      </c>
      <c r="E8" s="216">
        <f t="shared" si="0"/>
        <v>121</v>
      </c>
      <c r="F8" s="217">
        <v>160</v>
      </c>
      <c r="G8" s="101">
        <v>0.6</v>
      </c>
      <c r="H8" s="101">
        <v>0.08</v>
      </c>
      <c r="I8" s="186">
        <v>0.7</v>
      </c>
      <c r="J8" s="186">
        <v>0.65</v>
      </c>
      <c r="K8" s="186">
        <v>0.55000000000000004</v>
      </c>
      <c r="L8" s="101">
        <v>0.55000000000000004</v>
      </c>
    </row>
    <row r="9" spans="1:12" x14ac:dyDescent="0.15">
      <c r="A9" s="98" t="s">
        <v>19</v>
      </c>
      <c r="B9" s="98" t="s">
        <v>1861</v>
      </c>
      <c r="C9" s="98" t="s">
        <v>1760</v>
      </c>
      <c r="D9" s="246" t="s">
        <v>458</v>
      </c>
      <c r="E9" s="12">
        <f t="shared" si="0"/>
        <v>161</v>
      </c>
      <c r="F9" s="184">
        <v>200</v>
      </c>
      <c r="I9" s="187"/>
      <c r="J9" s="187"/>
      <c r="K9" s="187"/>
      <c r="L9" s="101"/>
    </row>
    <row r="10" spans="1:12" x14ac:dyDescent="0.15">
      <c r="A10" s="98" t="s">
        <v>19</v>
      </c>
      <c r="B10" s="98" t="s">
        <v>1861</v>
      </c>
      <c r="C10" s="98" t="s">
        <v>1760</v>
      </c>
      <c r="D10" s="246" t="s">
        <v>459</v>
      </c>
      <c r="E10" s="12">
        <f t="shared" si="0"/>
        <v>201</v>
      </c>
      <c r="F10" s="184">
        <v>240</v>
      </c>
      <c r="I10" s="187"/>
      <c r="J10" s="187"/>
      <c r="K10" s="187"/>
      <c r="L10" s="101"/>
    </row>
    <row r="11" spans="1:12" x14ac:dyDescent="0.15">
      <c r="A11" s="98" t="s">
        <v>19</v>
      </c>
      <c r="B11" s="98" t="s">
        <v>1861</v>
      </c>
      <c r="C11" s="98" t="s">
        <v>1760</v>
      </c>
      <c r="D11" s="246" t="s">
        <v>460</v>
      </c>
      <c r="E11" s="12">
        <f t="shared" si="0"/>
        <v>241</v>
      </c>
      <c r="F11" s="184">
        <v>300</v>
      </c>
      <c r="I11" s="187"/>
      <c r="J11" s="187"/>
      <c r="K11" s="187"/>
      <c r="L11" s="101"/>
    </row>
    <row r="12" spans="1:12" x14ac:dyDescent="0.15">
      <c r="A12" s="98" t="s">
        <v>19</v>
      </c>
      <c r="B12" s="98" t="s">
        <v>1861</v>
      </c>
      <c r="C12" s="98" t="s">
        <v>1760</v>
      </c>
      <c r="D12" s="246" t="s">
        <v>589</v>
      </c>
      <c r="E12" s="12">
        <f t="shared" si="0"/>
        <v>301</v>
      </c>
      <c r="F12" s="184">
        <v>380</v>
      </c>
      <c r="I12" s="187"/>
      <c r="J12" s="187"/>
      <c r="K12" s="187"/>
      <c r="L12" s="101"/>
    </row>
    <row r="13" spans="1:12" s="100" customFormat="1" x14ac:dyDescent="0.15">
      <c r="A13" s="100" t="s">
        <v>19</v>
      </c>
      <c r="B13" s="100" t="s">
        <v>1857</v>
      </c>
      <c r="C13" s="100" t="s">
        <v>1760</v>
      </c>
      <c r="D13" s="245" t="s">
        <v>461</v>
      </c>
      <c r="E13" s="216">
        <f t="shared" si="0"/>
        <v>381</v>
      </c>
      <c r="F13" s="217">
        <v>420</v>
      </c>
      <c r="G13" s="101">
        <v>0.95</v>
      </c>
      <c r="H13" s="101">
        <v>0.15</v>
      </c>
      <c r="I13" s="186">
        <v>1.2</v>
      </c>
      <c r="J13" s="186">
        <v>0.8</v>
      </c>
      <c r="K13" s="186">
        <v>0.62</v>
      </c>
      <c r="L13" s="101">
        <v>0.62</v>
      </c>
    </row>
    <row r="14" spans="1:12" x14ac:dyDescent="0.15">
      <c r="A14" s="98" t="s">
        <v>19</v>
      </c>
      <c r="B14" s="98" t="s">
        <v>1857</v>
      </c>
      <c r="C14" s="98" t="s">
        <v>1760</v>
      </c>
      <c r="D14" s="246" t="s">
        <v>462</v>
      </c>
      <c r="E14" s="12">
        <f t="shared" si="0"/>
        <v>421</v>
      </c>
      <c r="F14" s="184">
        <v>485</v>
      </c>
      <c r="I14" s="187"/>
      <c r="J14" s="187"/>
      <c r="K14" s="187"/>
      <c r="L14" s="101"/>
    </row>
    <row r="15" spans="1:12" x14ac:dyDescent="0.15">
      <c r="A15" s="98" t="s">
        <v>19</v>
      </c>
      <c r="B15" s="98" t="s">
        <v>1857</v>
      </c>
      <c r="C15" s="98" t="s">
        <v>1760</v>
      </c>
      <c r="D15" s="246" t="s">
        <v>463</v>
      </c>
      <c r="E15" s="12">
        <f t="shared" si="0"/>
        <v>486</v>
      </c>
      <c r="F15" s="184">
        <v>550</v>
      </c>
      <c r="I15" s="187"/>
      <c r="J15" s="187"/>
      <c r="K15" s="187"/>
      <c r="L15" s="101"/>
    </row>
    <row r="16" spans="1:12" s="100" customFormat="1" x14ac:dyDescent="0.15">
      <c r="A16" s="100" t="s">
        <v>19</v>
      </c>
      <c r="B16" s="100" t="s">
        <v>1858</v>
      </c>
      <c r="C16" s="100" t="s">
        <v>1761</v>
      </c>
      <c r="D16" s="245" t="s">
        <v>465</v>
      </c>
      <c r="E16" s="216">
        <f t="shared" si="0"/>
        <v>551</v>
      </c>
      <c r="F16" s="217">
        <v>590</v>
      </c>
      <c r="G16" s="101">
        <v>1.7</v>
      </c>
      <c r="H16" s="101">
        <v>0.32</v>
      </c>
      <c r="I16" s="186">
        <v>2</v>
      </c>
      <c r="J16" s="186">
        <v>1.05</v>
      </c>
      <c r="K16" s="186">
        <v>0.66</v>
      </c>
      <c r="L16" s="101">
        <v>0.7</v>
      </c>
    </row>
    <row r="17" spans="1:12" x14ac:dyDescent="0.15">
      <c r="A17" s="98" t="s">
        <v>19</v>
      </c>
      <c r="B17" s="98" t="s">
        <v>1858</v>
      </c>
      <c r="C17" s="98" t="s">
        <v>1761</v>
      </c>
      <c r="D17" s="246" t="s">
        <v>466</v>
      </c>
      <c r="E17" s="12">
        <f t="shared" si="0"/>
        <v>591</v>
      </c>
      <c r="F17" s="184">
        <v>660</v>
      </c>
      <c r="I17" s="187"/>
      <c r="J17" s="187"/>
      <c r="K17" s="187"/>
      <c r="L17" s="101"/>
    </row>
    <row r="18" spans="1:12" x14ac:dyDescent="0.15">
      <c r="A18" s="98" t="s">
        <v>19</v>
      </c>
      <c r="B18" s="98" t="s">
        <v>1858</v>
      </c>
      <c r="C18" s="98" t="s">
        <v>1761</v>
      </c>
      <c r="D18" s="246" t="s">
        <v>505</v>
      </c>
      <c r="E18" s="12">
        <f t="shared" si="0"/>
        <v>661</v>
      </c>
      <c r="F18" s="184">
        <v>700</v>
      </c>
      <c r="I18" s="187"/>
      <c r="J18" s="187"/>
      <c r="K18" s="187"/>
      <c r="L18" s="101"/>
    </row>
    <row r="19" spans="1:12" x14ac:dyDescent="0.15">
      <c r="A19" s="98" t="s">
        <v>19</v>
      </c>
      <c r="B19" s="98" t="s">
        <v>1858</v>
      </c>
      <c r="C19" s="98" t="s">
        <v>1761</v>
      </c>
      <c r="D19" s="246" t="s">
        <v>506</v>
      </c>
      <c r="E19" s="12">
        <f t="shared" si="0"/>
        <v>701</v>
      </c>
      <c r="F19" s="184">
        <v>720</v>
      </c>
      <c r="I19" s="187"/>
      <c r="J19" s="187"/>
      <c r="K19" s="187"/>
      <c r="L19" s="101"/>
    </row>
    <row r="20" spans="1:12" s="100" customFormat="1" x14ac:dyDescent="0.15">
      <c r="A20" s="100" t="s">
        <v>19</v>
      </c>
      <c r="B20" s="100" t="s">
        <v>1859</v>
      </c>
      <c r="C20" s="100" t="s">
        <v>1761</v>
      </c>
      <c r="D20" s="245" t="s">
        <v>468</v>
      </c>
      <c r="E20" s="216">
        <f t="shared" si="0"/>
        <v>721</v>
      </c>
      <c r="F20" s="217">
        <v>780</v>
      </c>
      <c r="G20" s="101">
        <v>1.45</v>
      </c>
      <c r="H20" s="101">
        <v>0.28000000000000003</v>
      </c>
      <c r="I20" s="186">
        <v>1.75</v>
      </c>
      <c r="J20" s="186">
        <v>1.1000000000000001</v>
      </c>
      <c r="K20" s="186">
        <v>0.62</v>
      </c>
      <c r="L20" s="101">
        <v>0.82</v>
      </c>
    </row>
    <row r="21" spans="1:12" x14ac:dyDescent="0.15">
      <c r="A21" s="98" t="s">
        <v>19</v>
      </c>
      <c r="B21" s="98" t="s">
        <v>1859</v>
      </c>
      <c r="C21" s="98" t="s">
        <v>1761</v>
      </c>
      <c r="D21" s="246" t="s">
        <v>469</v>
      </c>
      <c r="E21" s="12">
        <f t="shared" si="0"/>
        <v>781</v>
      </c>
      <c r="F21" s="184">
        <v>830</v>
      </c>
      <c r="I21" s="187"/>
      <c r="J21" s="187"/>
      <c r="K21" s="187"/>
      <c r="L21" s="101"/>
    </row>
    <row r="22" spans="1:12" x14ac:dyDescent="0.15">
      <c r="A22" s="98" t="s">
        <v>19</v>
      </c>
      <c r="B22" s="98" t="s">
        <v>1859</v>
      </c>
      <c r="C22" s="98" t="s">
        <v>1761</v>
      </c>
      <c r="D22" s="246" t="s">
        <v>470</v>
      </c>
      <c r="E22" s="12">
        <f t="shared" si="0"/>
        <v>831</v>
      </c>
      <c r="F22" s="184">
        <v>880</v>
      </c>
      <c r="I22" s="187"/>
      <c r="J22" s="187"/>
      <c r="K22" s="187"/>
      <c r="L22" s="101"/>
    </row>
    <row r="23" spans="1:12" x14ac:dyDescent="0.15">
      <c r="A23" s="98" t="s">
        <v>19</v>
      </c>
      <c r="B23" s="98" t="s">
        <v>1859</v>
      </c>
      <c r="C23" s="98" t="s">
        <v>1761</v>
      </c>
      <c r="D23" s="246" t="s">
        <v>590</v>
      </c>
      <c r="E23" s="12">
        <f t="shared" si="0"/>
        <v>881</v>
      </c>
      <c r="F23" s="184">
        <v>900</v>
      </c>
      <c r="I23" s="187"/>
      <c r="J23" s="187"/>
      <c r="K23" s="187"/>
      <c r="L23" s="101"/>
    </row>
    <row r="24" spans="1:12" s="100" customFormat="1" x14ac:dyDescent="0.15">
      <c r="A24" s="100" t="s">
        <v>19</v>
      </c>
      <c r="B24" s="100" t="s">
        <v>1854</v>
      </c>
      <c r="C24" s="100" t="s">
        <v>1761</v>
      </c>
      <c r="D24" s="245" t="s">
        <v>471</v>
      </c>
      <c r="E24" s="216">
        <f t="shared" si="0"/>
        <v>901</v>
      </c>
      <c r="F24" s="217">
        <v>1020</v>
      </c>
      <c r="G24" s="101">
        <v>1.1000000000000001</v>
      </c>
      <c r="H24" s="101">
        <v>0.18</v>
      </c>
      <c r="I24" s="186">
        <v>1.6</v>
      </c>
      <c r="J24" s="186">
        <v>0.95</v>
      </c>
      <c r="K24" s="186">
        <v>0.57999999999999996</v>
      </c>
      <c r="L24" s="101">
        <v>0.68</v>
      </c>
    </row>
    <row r="25" spans="1:12" x14ac:dyDescent="0.15">
      <c r="A25" s="98" t="s">
        <v>19</v>
      </c>
      <c r="B25" s="98" t="s">
        <v>1854</v>
      </c>
      <c r="C25" s="98" t="s">
        <v>1761</v>
      </c>
      <c r="D25" s="246" t="s">
        <v>472</v>
      </c>
      <c r="E25" s="12">
        <f t="shared" si="0"/>
        <v>1021</v>
      </c>
      <c r="F25" s="184">
        <v>1085</v>
      </c>
      <c r="I25" s="187"/>
      <c r="J25" s="187"/>
      <c r="K25" s="187"/>
      <c r="L25" s="101"/>
    </row>
    <row r="26" spans="1:12" x14ac:dyDescent="0.15">
      <c r="A26" s="98" t="s">
        <v>19</v>
      </c>
      <c r="B26" s="98" t="s">
        <v>1854</v>
      </c>
      <c r="C26" s="98" t="s">
        <v>1761</v>
      </c>
      <c r="D26" s="246" t="s">
        <v>473</v>
      </c>
      <c r="E26" s="12">
        <f t="shared" si="0"/>
        <v>1086</v>
      </c>
      <c r="F26" s="184">
        <v>1120</v>
      </c>
      <c r="I26" s="187"/>
      <c r="J26" s="187"/>
      <c r="K26" s="187"/>
      <c r="L26" s="101"/>
    </row>
    <row r="27" spans="1:12" x14ac:dyDescent="0.15">
      <c r="A27" s="98" t="s">
        <v>19</v>
      </c>
      <c r="B27" s="98" t="s">
        <v>1854</v>
      </c>
      <c r="C27" s="98" t="s">
        <v>1761</v>
      </c>
      <c r="D27" s="246" t="s">
        <v>591</v>
      </c>
      <c r="E27" s="12">
        <f t="shared" si="0"/>
        <v>1121</v>
      </c>
      <c r="F27" s="184">
        <v>1150</v>
      </c>
      <c r="I27" s="187"/>
      <c r="J27" s="187"/>
      <c r="K27" s="187"/>
      <c r="L27" s="101"/>
    </row>
    <row r="28" spans="1:12" s="100" customFormat="1" x14ac:dyDescent="0.15">
      <c r="A28" s="100" t="s">
        <v>19</v>
      </c>
      <c r="B28" s="100" t="s">
        <v>1860</v>
      </c>
      <c r="C28" s="100" t="s">
        <v>1762</v>
      </c>
      <c r="D28" s="245" t="s">
        <v>474</v>
      </c>
      <c r="E28" s="216">
        <f t="shared" si="0"/>
        <v>1151</v>
      </c>
      <c r="F28" s="217">
        <v>1190</v>
      </c>
      <c r="G28" s="101">
        <v>0.45</v>
      </c>
      <c r="H28" s="101">
        <v>0.06</v>
      </c>
      <c r="I28" s="186">
        <v>0.6</v>
      </c>
      <c r="J28" s="186">
        <v>0.7</v>
      </c>
      <c r="K28" s="186">
        <v>0.5</v>
      </c>
      <c r="L28" s="101">
        <v>0.45</v>
      </c>
    </row>
    <row r="29" spans="1:12" x14ac:dyDescent="0.15">
      <c r="A29" s="98" t="s">
        <v>19</v>
      </c>
      <c r="B29" s="98" t="s">
        <v>1860</v>
      </c>
      <c r="C29" s="98" t="s">
        <v>1762</v>
      </c>
      <c r="D29" s="246" t="s">
        <v>475</v>
      </c>
      <c r="E29" s="12">
        <f t="shared" si="0"/>
        <v>1191</v>
      </c>
      <c r="F29" s="184">
        <v>1230</v>
      </c>
      <c r="I29" s="187"/>
      <c r="J29" s="187"/>
      <c r="K29" s="187"/>
      <c r="L29" s="101"/>
    </row>
    <row r="30" spans="1:12" x14ac:dyDescent="0.15">
      <c r="A30" s="98" t="s">
        <v>19</v>
      </c>
      <c r="B30" s="98" t="s">
        <v>1860</v>
      </c>
      <c r="C30" s="98" t="s">
        <v>1762</v>
      </c>
      <c r="D30" s="246" t="s">
        <v>476</v>
      </c>
      <c r="E30" s="12">
        <f t="shared" si="0"/>
        <v>1231</v>
      </c>
      <c r="F30" s="184">
        <v>1270</v>
      </c>
      <c r="I30" s="187"/>
      <c r="J30" s="187"/>
      <c r="K30" s="187"/>
      <c r="L30" s="101"/>
    </row>
    <row r="31" spans="1:12" x14ac:dyDescent="0.15">
      <c r="A31" s="98" t="s">
        <v>19</v>
      </c>
      <c r="B31" s="98" t="s">
        <v>1860</v>
      </c>
      <c r="C31" s="98" t="s">
        <v>1762</v>
      </c>
      <c r="D31" s="246" t="s">
        <v>477</v>
      </c>
      <c r="E31" s="12">
        <f t="shared" si="0"/>
        <v>1271</v>
      </c>
      <c r="F31" s="184">
        <v>1310</v>
      </c>
      <c r="I31" s="187"/>
      <c r="J31" s="187"/>
      <c r="K31" s="187"/>
      <c r="L31" s="101"/>
    </row>
    <row r="32" spans="1:12" x14ac:dyDescent="0.15">
      <c r="A32" s="98" t="s">
        <v>19</v>
      </c>
      <c r="B32" s="98" t="s">
        <v>1860</v>
      </c>
      <c r="C32" s="98" t="s">
        <v>1762</v>
      </c>
      <c r="D32" s="246" t="s">
        <v>478</v>
      </c>
      <c r="E32" s="12">
        <f t="shared" si="0"/>
        <v>1311</v>
      </c>
      <c r="F32" s="184">
        <v>1350</v>
      </c>
      <c r="I32" s="187"/>
      <c r="J32" s="187"/>
      <c r="K32" s="187"/>
      <c r="L32" s="101"/>
    </row>
    <row r="33" spans="1:12" x14ac:dyDescent="0.15">
      <c r="A33" s="98" t="s">
        <v>19</v>
      </c>
      <c r="B33" s="98" t="s">
        <v>1860</v>
      </c>
      <c r="C33" s="98" t="s">
        <v>1762</v>
      </c>
      <c r="D33" s="246" t="s">
        <v>479</v>
      </c>
      <c r="E33" s="12">
        <f t="shared" si="0"/>
        <v>1351</v>
      </c>
      <c r="F33" s="184">
        <v>1390</v>
      </c>
      <c r="I33" s="187"/>
      <c r="J33" s="187"/>
      <c r="K33" s="187"/>
      <c r="L33" s="101"/>
    </row>
    <row r="34" spans="1:12" x14ac:dyDescent="0.15">
      <c r="A34" s="98" t="s">
        <v>19</v>
      </c>
      <c r="B34" s="98" t="s">
        <v>1860</v>
      </c>
      <c r="C34" s="98" t="s">
        <v>1762</v>
      </c>
      <c r="D34" s="246" t="s">
        <v>480</v>
      </c>
      <c r="E34" s="12">
        <f t="shared" si="0"/>
        <v>1391</v>
      </c>
      <c r="F34" s="184">
        <v>1430</v>
      </c>
      <c r="I34" s="187"/>
      <c r="J34" s="187"/>
      <c r="K34" s="187"/>
      <c r="L34" s="101"/>
    </row>
    <row r="35" spans="1:12" x14ac:dyDescent="0.15">
      <c r="A35" s="98" t="s">
        <v>19</v>
      </c>
      <c r="B35" s="98" t="s">
        <v>1860</v>
      </c>
      <c r="C35" s="98" t="s">
        <v>1762</v>
      </c>
      <c r="D35" s="246" t="s">
        <v>481</v>
      </c>
      <c r="E35" s="12">
        <f t="shared" si="0"/>
        <v>1431</v>
      </c>
      <c r="F35" s="184">
        <v>1470</v>
      </c>
      <c r="I35" s="187"/>
      <c r="J35" s="187"/>
      <c r="K35" s="187"/>
      <c r="L35" s="101"/>
    </row>
    <row r="36" spans="1:12" x14ac:dyDescent="0.15">
      <c r="A36" s="98" t="s">
        <v>19</v>
      </c>
      <c r="B36" s="98" t="s">
        <v>1860</v>
      </c>
      <c r="C36" s="98" t="s">
        <v>1762</v>
      </c>
      <c r="D36" s="246" t="s">
        <v>482</v>
      </c>
      <c r="E36" s="12">
        <f t="shared" si="0"/>
        <v>1471</v>
      </c>
      <c r="F36" s="184">
        <v>1500</v>
      </c>
      <c r="I36" s="187"/>
      <c r="J36" s="187"/>
      <c r="K36" s="187"/>
      <c r="L36" s="101"/>
    </row>
    <row r="37" spans="1:12" s="100" customFormat="1" x14ac:dyDescent="0.15">
      <c r="A37" s="100" t="s">
        <v>19</v>
      </c>
      <c r="B37" s="100" t="s">
        <v>1855</v>
      </c>
      <c r="C37" s="100" t="s">
        <v>1855</v>
      </c>
      <c r="D37" s="245" t="s">
        <v>483</v>
      </c>
      <c r="E37" s="216">
        <f t="shared" si="0"/>
        <v>1501</v>
      </c>
      <c r="F37" s="217">
        <v>1600</v>
      </c>
      <c r="G37" s="101">
        <v>0.12</v>
      </c>
      <c r="H37" s="101">
        <v>0.02</v>
      </c>
      <c r="I37" s="186">
        <v>0.12</v>
      </c>
      <c r="J37" s="186">
        <v>0.45</v>
      </c>
      <c r="K37" s="186">
        <v>0.4</v>
      </c>
      <c r="L37" s="101">
        <v>0.2</v>
      </c>
    </row>
    <row r="38" spans="1:12" x14ac:dyDescent="0.15">
      <c r="A38" s="98" t="s">
        <v>19</v>
      </c>
      <c r="B38" s="98" t="s">
        <v>1855</v>
      </c>
      <c r="C38" s="98" t="s">
        <v>1855</v>
      </c>
      <c r="D38" s="246" t="s">
        <v>456</v>
      </c>
      <c r="E38" s="12">
        <f t="shared" si="0"/>
        <v>1601</v>
      </c>
      <c r="F38" s="184">
        <v>1800</v>
      </c>
      <c r="I38" s="187"/>
      <c r="J38" s="187"/>
      <c r="K38" s="187"/>
      <c r="L38" s="10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B675-C877-45FA-BEF6-33D86D0E84CC}">
  <sheetPr>
    <tabColor rgb="FFFFFF00"/>
  </sheetPr>
  <dimension ref="A1:L65"/>
  <sheetViews>
    <sheetView workbookViewId="0">
      <selection activeCell="G15" sqref="G15"/>
    </sheetView>
  </sheetViews>
  <sheetFormatPr defaultRowHeight="10.5" x14ac:dyDescent="0.15"/>
  <cols>
    <col min="1" max="1" width="10.28515625" style="98" bestFit="1" customWidth="1"/>
    <col min="2" max="2" width="43.7109375" style="98" bestFit="1" customWidth="1"/>
    <col min="3" max="3" width="11.85546875" style="98" bestFit="1" customWidth="1"/>
    <col min="4" max="4" width="65.85546875" style="98" bestFit="1" customWidth="1"/>
    <col min="5" max="5" width="9.5703125" style="12" bestFit="1" customWidth="1"/>
    <col min="6" max="6" width="8.28515625" style="12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100" customFormat="1" x14ac:dyDescent="0.15">
      <c r="A2" s="100" t="s">
        <v>37</v>
      </c>
      <c r="B2" s="100" t="s">
        <v>1759</v>
      </c>
      <c r="C2" s="100" t="s">
        <v>1759</v>
      </c>
      <c r="D2" s="245" t="s">
        <v>940</v>
      </c>
      <c r="E2" s="216">
        <v>0</v>
      </c>
      <c r="F2" s="217">
        <v>10</v>
      </c>
      <c r="G2" s="101">
        <v>0.05</v>
      </c>
      <c r="H2" s="101">
        <v>0.01</v>
      </c>
      <c r="I2" s="186">
        <v>0.05</v>
      </c>
      <c r="J2" s="186">
        <v>0.15</v>
      </c>
      <c r="K2" s="186">
        <v>0.5</v>
      </c>
      <c r="L2" s="101">
        <v>0.78</v>
      </c>
    </row>
    <row r="3" spans="1:12" x14ac:dyDescent="0.15">
      <c r="A3" s="98" t="s">
        <v>37</v>
      </c>
      <c r="B3" s="98" t="s">
        <v>1759</v>
      </c>
      <c r="C3" s="98" t="s">
        <v>1759</v>
      </c>
      <c r="D3" s="246" t="s">
        <v>374</v>
      </c>
      <c r="E3" s="12">
        <f>F2+1</f>
        <v>11</v>
      </c>
      <c r="F3" s="184">
        <v>30</v>
      </c>
      <c r="G3" s="102"/>
      <c r="H3" s="102"/>
      <c r="I3" s="187"/>
      <c r="J3" s="186"/>
      <c r="K3" s="186"/>
      <c r="L3" s="101"/>
    </row>
    <row r="4" spans="1:12" x14ac:dyDescent="0.15">
      <c r="A4" s="98" t="s">
        <v>37</v>
      </c>
      <c r="B4" s="98" t="s">
        <v>1759</v>
      </c>
      <c r="C4" s="98" t="s">
        <v>1759</v>
      </c>
      <c r="D4" s="246" t="s">
        <v>375</v>
      </c>
      <c r="E4" s="12">
        <f t="shared" ref="E4:E65" si="0">F3+1</f>
        <v>31</v>
      </c>
      <c r="F4" s="184">
        <v>60</v>
      </c>
      <c r="I4" s="186"/>
      <c r="J4" s="186"/>
      <c r="K4" s="186"/>
      <c r="L4" s="101"/>
    </row>
    <row r="5" spans="1:12" x14ac:dyDescent="0.15">
      <c r="A5" s="98" t="s">
        <v>37</v>
      </c>
      <c r="B5" s="98" t="s">
        <v>1759</v>
      </c>
      <c r="C5" s="98" t="s">
        <v>1759</v>
      </c>
      <c r="D5" s="246" t="s">
        <v>414</v>
      </c>
      <c r="E5" s="12">
        <f t="shared" si="0"/>
        <v>61</v>
      </c>
      <c r="F5" s="184">
        <v>90</v>
      </c>
      <c r="I5" s="186"/>
      <c r="J5" s="186"/>
      <c r="K5" s="186"/>
      <c r="L5" s="101"/>
    </row>
    <row r="6" spans="1:12" x14ac:dyDescent="0.15">
      <c r="A6" s="98" t="s">
        <v>37</v>
      </c>
      <c r="B6" s="98" t="s">
        <v>1759</v>
      </c>
      <c r="C6" s="98" t="s">
        <v>1759</v>
      </c>
      <c r="D6" s="246" t="s">
        <v>644</v>
      </c>
      <c r="E6" s="12">
        <f t="shared" si="0"/>
        <v>91</v>
      </c>
      <c r="F6" s="184">
        <v>120</v>
      </c>
      <c r="I6" s="186"/>
      <c r="J6" s="186"/>
      <c r="K6" s="186"/>
      <c r="L6" s="101"/>
    </row>
    <row r="7" spans="1:12" x14ac:dyDescent="0.15">
      <c r="A7" s="98" t="s">
        <v>37</v>
      </c>
      <c r="B7" s="98" t="s">
        <v>1759</v>
      </c>
      <c r="C7" s="98" t="s">
        <v>1759</v>
      </c>
      <c r="D7" s="246" t="s">
        <v>645</v>
      </c>
      <c r="E7" s="12">
        <f t="shared" si="0"/>
        <v>121</v>
      </c>
      <c r="F7" s="184">
        <v>150</v>
      </c>
      <c r="I7" s="186"/>
      <c r="J7" s="186"/>
      <c r="K7" s="186"/>
      <c r="L7" s="101"/>
    </row>
    <row r="8" spans="1:12" s="100" customFormat="1" x14ac:dyDescent="0.15">
      <c r="A8" s="100" t="s">
        <v>37</v>
      </c>
      <c r="B8" s="100" t="s">
        <v>1861</v>
      </c>
      <c r="C8" s="100" t="s">
        <v>1760</v>
      </c>
      <c r="D8" s="245" t="s">
        <v>380</v>
      </c>
      <c r="E8" s="216">
        <f t="shared" si="0"/>
        <v>151</v>
      </c>
      <c r="F8" s="217">
        <v>190</v>
      </c>
      <c r="G8" s="101">
        <v>1.5</v>
      </c>
      <c r="H8" s="101">
        <v>3</v>
      </c>
      <c r="I8" s="186">
        <v>2</v>
      </c>
      <c r="J8" s="186">
        <v>0.4</v>
      </c>
      <c r="K8" s="186">
        <v>0.6</v>
      </c>
      <c r="L8" s="101">
        <v>0.57999999999999996</v>
      </c>
    </row>
    <row r="9" spans="1:12" x14ac:dyDescent="0.15">
      <c r="A9" s="98" t="s">
        <v>37</v>
      </c>
      <c r="B9" s="98" t="s">
        <v>1861</v>
      </c>
      <c r="C9" s="98" t="s">
        <v>1760</v>
      </c>
      <c r="D9" s="246" t="s">
        <v>646</v>
      </c>
      <c r="E9" s="12">
        <f t="shared" si="0"/>
        <v>191</v>
      </c>
      <c r="F9" s="184">
        <v>230</v>
      </c>
      <c r="G9" s="102"/>
      <c r="H9" s="102"/>
      <c r="I9" s="187"/>
      <c r="J9" s="186"/>
      <c r="K9" s="186"/>
      <c r="L9" s="101"/>
    </row>
    <row r="10" spans="1:12" x14ac:dyDescent="0.15">
      <c r="A10" s="98" t="s">
        <v>37</v>
      </c>
      <c r="B10" s="98" t="s">
        <v>1861</v>
      </c>
      <c r="C10" s="98" t="s">
        <v>1760</v>
      </c>
      <c r="D10" s="246" t="s">
        <v>647</v>
      </c>
      <c r="E10" s="12">
        <f t="shared" si="0"/>
        <v>231</v>
      </c>
      <c r="F10" s="184">
        <v>270</v>
      </c>
      <c r="I10" s="186"/>
      <c r="J10" s="186"/>
      <c r="K10" s="186"/>
      <c r="L10" s="101"/>
    </row>
    <row r="11" spans="1:12" x14ac:dyDescent="0.15">
      <c r="A11" s="98" t="s">
        <v>37</v>
      </c>
      <c r="B11" s="98" t="s">
        <v>1861</v>
      </c>
      <c r="C11" s="98" t="s">
        <v>1760</v>
      </c>
      <c r="D11" s="246" t="s">
        <v>648</v>
      </c>
      <c r="E11" s="12">
        <f t="shared" si="0"/>
        <v>271</v>
      </c>
      <c r="F11" s="184">
        <v>310</v>
      </c>
      <c r="I11" s="186"/>
      <c r="J11" s="186"/>
      <c r="K11" s="186"/>
      <c r="L11" s="101"/>
    </row>
    <row r="12" spans="1:12" x14ac:dyDescent="0.15">
      <c r="A12" s="98" t="s">
        <v>37</v>
      </c>
      <c r="B12" s="98" t="s">
        <v>1861</v>
      </c>
      <c r="C12" s="98" t="s">
        <v>1760</v>
      </c>
      <c r="D12" s="246" t="s">
        <v>649</v>
      </c>
      <c r="E12" s="12">
        <f t="shared" si="0"/>
        <v>311</v>
      </c>
      <c r="F12" s="184">
        <v>500</v>
      </c>
      <c r="I12" s="186"/>
      <c r="J12" s="186"/>
      <c r="K12" s="186"/>
      <c r="L12" s="101"/>
    </row>
    <row r="13" spans="1:12" s="100" customFormat="1" x14ac:dyDescent="0.15">
      <c r="A13" s="100" t="s">
        <v>37</v>
      </c>
      <c r="B13" s="100" t="s">
        <v>1857</v>
      </c>
      <c r="C13" s="100" t="s">
        <v>1760</v>
      </c>
      <c r="D13" s="245" t="s">
        <v>650</v>
      </c>
      <c r="E13" s="216">
        <f t="shared" si="0"/>
        <v>501</v>
      </c>
      <c r="F13" s="217">
        <v>540</v>
      </c>
      <c r="G13" s="101">
        <v>2.5</v>
      </c>
      <c r="H13" s="101">
        <v>0.5</v>
      </c>
      <c r="I13" s="186">
        <v>3</v>
      </c>
      <c r="J13" s="186">
        <v>0.6</v>
      </c>
      <c r="K13" s="186">
        <v>0.6</v>
      </c>
      <c r="L13" s="101">
        <v>0.65</v>
      </c>
    </row>
    <row r="14" spans="1:12" x14ac:dyDescent="0.15">
      <c r="A14" s="98" t="s">
        <v>37</v>
      </c>
      <c r="B14" s="98" t="s">
        <v>1857</v>
      </c>
      <c r="C14" s="98" t="s">
        <v>1760</v>
      </c>
      <c r="D14" s="246" t="s">
        <v>423</v>
      </c>
      <c r="E14" s="12">
        <f t="shared" si="0"/>
        <v>541</v>
      </c>
      <c r="F14" s="184">
        <v>580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37</v>
      </c>
      <c r="B15" s="98" t="s">
        <v>1857</v>
      </c>
      <c r="C15" s="98" t="s">
        <v>1760</v>
      </c>
      <c r="D15" s="246" t="s">
        <v>424</v>
      </c>
      <c r="E15" s="12">
        <f t="shared" si="0"/>
        <v>581</v>
      </c>
      <c r="F15" s="184">
        <v>620</v>
      </c>
      <c r="I15" s="186"/>
      <c r="J15" s="186"/>
      <c r="K15" s="186"/>
      <c r="L15" s="101"/>
    </row>
    <row r="16" spans="1:12" x14ac:dyDescent="0.15">
      <c r="A16" s="98" t="s">
        <v>37</v>
      </c>
      <c r="B16" s="98" t="s">
        <v>1857</v>
      </c>
      <c r="C16" s="98" t="s">
        <v>1760</v>
      </c>
      <c r="D16" s="246" t="s">
        <v>651</v>
      </c>
      <c r="E16" s="12">
        <f t="shared" si="0"/>
        <v>621</v>
      </c>
      <c r="F16" s="184">
        <v>680</v>
      </c>
      <c r="I16" s="186"/>
      <c r="J16" s="186"/>
      <c r="K16" s="186"/>
      <c r="L16" s="101"/>
    </row>
    <row r="17" spans="1:12" s="100" customFormat="1" x14ac:dyDescent="0.15">
      <c r="A17" s="100" t="s">
        <v>37</v>
      </c>
      <c r="B17" s="100" t="s">
        <v>1906</v>
      </c>
      <c r="C17" s="100" t="s">
        <v>1760</v>
      </c>
      <c r="D17" s="245" t="s">
        <v>652</v>
      </c>
      <c r="E17" s="216">
        <f t="shared" si="0"/>
        <v>681</v>
      </c>
      <c r="F17" s="217">
        <v>720</v>
      </c>
      <c r="G17" s="101">
        <v>3</v>
      </c>
      <c r="H17" s="101">
        <v>0.6</v>
      </c>
      <c r="I17" s="186">
        <v>3.5</v>
      </c>
      <c r="J17" s="186">
        <v>0.85</v>
      </c>
      <c r="K17" s="186">
        <v>0.65</v>
      </c>
      <c r="L17" s="101">
        <v>0.7</v>
      </c>
    </row>
    <row r="18" spans="1:12" x14ac:dyDescent="0.15">
      <c r="A18" s="98" t="s">
        <v>37</v>
      </c>
      <c r="B18" s="98" t="s">
        <v>1906</v>
      </c>
      <c r="C18" s="98" t="s">
        <v>1760</v>
      </c>
      <c r="D18" s="246" t="s">
        <v>653</v>
      </c>
      <c r="E18" s="12">
        <f t="shared" si="0"/>
        <v>721</v>
      </c>
      <c r="F18" s="184">
        <v>760</v>
      </c>
      <c r="G18" s="102"/>
      <c r="H18" s="102"/>
      <c r="I18" s="187"/>
      <c r="J18" s="186"/>
      <c r="K18" s="186"/>
      <c r="L18" s="101"/>
    </row>
    <row r="19" spans="1:12" x14ac:dyDescent="0.15">
      <c r="A19" s="98" t="s">
        <v>37</v>
      </c>
      <c r="B19" s="98" t="s">
        <v>1906</v>
      </c>
      <c r="C19" s="98" t="s">
        <v>1760</v>
      </c>
      <c r="D19" s="246" t="s">
        <v>654</v>
      </c>
      <c r="E19" s="12">
        <f t="shared" si="0"/>
        <v>761</v>
      </c>
      <c r="F19" s="184">
        <v>800</v>
      </c>
      <c r="I19" s="186"/>
      <c r="J19" s="186"/>
      <c r="K19" s="186"/>
      <c r="L19" s="101"/>
    </row>
    <row r="20" spans="1:12" x14ac:dyDescent="0.15">
      <c r="A20" s="98" t="s">
        <v>37</v>
      </c>
      <c r="B20" s="98" t="s">
        <v>1906</v>
      </c>
      <c r="C20" s="98" t="s">
        <v>1760</v>
      </c>
      <c r="D20" s="246" t="s">
        <v>655</v>
      </c>
      <c r="E20" s="12">
        <f t="shared" si="0"/>
        <v>801</v>
      </c>
      <c r="F20" s="184">
        <v>840</v>
      </c>
      <c r="I20" s="186"/>
      <c r="J20" s="186"/>
      <c r="K20" s="186"/>
      <c r="L20" s="101"/>
    </row>
    <row r="21" spans="1:12" x14ac:dyDescent="0.15">
      <c r="A21" s="98" t="s">
        <v>37</v>
      </c>
      <c r="B21" s="98" t="s">
        <v>1906</v>
      </c>
      <c r="C21" s="98" t="s">
        <v>1760</v>
      </c>
      <c r="D21" s="246" t="s">
        <v>656</v>
      </c>
      <c r="E21" s="12">
        <f t="shared" si="0"/>
        <v>841</v>
      </c>
      <c r="F21" s="184">
        <v>880</v>
      </c>
      <c r="I21" s="186"/>
      <c r="J21" s="186"/>
      <c r="K21" s="186"/>
      <c r="L21" s="101"/>
    </row>
    <row r="22" spans="1:12" x14ac:dyDescent="0.15">
      <c r="A22" s="98" t="s">
        <v>37</v>
      </c>
      <c r="B22" s="98" t="s">
        <v>1906</v>
      </c>
      <c r="C22" s="98" t="s">
        <v>1760</v>
      </c>
      <c r="D22" s="246" t="s">
        <v>657</v>
      </c>
      <c r="E22" s="12">
        <f t="shared" si="0"/>
        <v>881</v>
      </c>
      <c r="F22" s="184">
        <v>920</v>
      </c>
      <c r="I22" s="186"/>
      <c r="J22" s="186"/>
      <c r="K22" s="186"/>
      <c r="L22" s="101"/>
    </row>
    <row r="23" spans="1:12" x14ac:dyDescent="0.15">
      <c r="A23" s="98" t="s">
        <v>37</v>
      </c>
      <c r="B23" s="98" t="s">
        <v>1906</v>
      </c>
      <c r="C23" s="98" t="s">
        <v>1760</v>
      </c>
      <c r="D23" s="246" t="s">
        <v>658</v>
      </c>
      <c r="E23" s="12">
        <f t="shared" si="0"/>
        <v>921</v>
      </c>
      <c r="F23" s="184">
        <v>960</v>
      </c>
      <c r="I23" s="186"/>
      <c r="J23" s="186"/>
      <c r="K23" s="186"/>
      <c r="L23" s="101"/>
    </row>
    <row r="24" spans="1:12" x14ac:dyDescent="0.15">
      <c r="A24" s="98" t="s">
        <v>37</v>
      </c>
      <c r="B24" s="98" t="s">
        <v>1906</v>
      </c>
      <c r="C24" s="98" t="s">
        <v>1760</v>
      </c>
      <c r="D24" s="246" t="s">
        <v>659</v>
      </c>
      <c r="E24" s="12">
        <f t="shared" si="0"/>
        <v>961</v>
      </c>
      <c r="F24" s="184">
        <v>1000</v>
      </c>
      <c r="I24" s="186"/>
      <c r="J24" s="186"/>
      <c r="K24" s="186"/>
      <c r="L24" s="101"/>
    </row>
    <row r="25" spans="1:12" x14ac:dyDescent="0.15">
      <c r="A25" s="98" t="s">
        <v>37</v>
      </c>
      <c r="B25" s="98" t="s">
        <v>1906</v>
      </c>
      <c r="C25" s="98" t="s">
        <v>1760</v>
      </c>
      <c r="D25" s="246" t="s">
        <v>660</v>
      </c>
      <c r="E25" s="12">
        <f t="shared" si="0"/>
        <v>1001</v>
      </c>
      <c r="F25" s="184">
        <v>1060</v>
      </c>
      <c r="I25" s="186"/>
      <c r="J25" s="186"/>
      <c r="K25" s="186"/>
      <c r="L25" s="101"/>
    </row>
    <row r="26" spans="1:12" s="100" customFormat="1" x14ac:dyDescent="0.15">
      <c r="A26" s="100" t="s">
        <v>37</v>
      </c>
      <c r="B26" s="100" t="s">
        <v>1888</v>
      </c>
      <c r="C26" s="100" t="s">
        <v>1760</v>
      </c>
      <c r="D26" s="245" t="s">
        <v>661</v>
      </c>
      <c r="E26" s="216">
        <f t="shared" si="0"/>
        <v>1061</v>
      </c>
      <c r="F26" s="217">
        <v>1140</v>
      </c>
      <c r="G26" s="101">
        <v>3.5</v>
      </c>
      <c r="H26" s="101">
        <v>0.7</v>
      </c>
      <c r="I26" s="186">
        <v>4</v>
      </c>
      <c r="J26" s="186">
        <v>1.1000000000000001</v>
      </c>
      <c r="K26" s="186">
        <v>0.65</v>
      </c>
      <c r="L26" s="101">
        <v>0.85</v>
      </c>
    </row>
    <row r="27" spans="1:12" x14ac:dyDescent="0.15">
      <c r="A27" s="98" t="s">
        <v>37</v>
      </c>
      <c r="B27" s="98" t="s">
        <v>1888</v>
      </c>
      <c r="C27" s="98" t="s">
        <v>1760</v>
      </c>
      <c r="D27" s="246" t="s">
        <v>662</v>
      </c>
      <c r="E27" s="12">
        <f t="shared" si="0"/>
        <v>1141</v>
      </c>
      <c r="F27" s="184">
        <v>1220</v>
      </c>
      <c r="G27" s="102"/>
      <c r="H27" s="102"/>
      <c r="I27" s="187"/>
      <c r="J27" s="186"/>
      <c r="K27" s="186"/>
      <c r="L27" s="101"/>
    </row>
    <row r="28" spans="1:12" x14ac:dyDescent="0.15">
      <c r="A28" s="98" t="s">
        <v>37</v>
      </c>
      <c r="B28" s="98" t="s">
        <v>1888</v>
      </c>
      <c r="C28" s="98" t="s">
        <v>1760</v>
      </c>
      <c r="D28" s="246" t="s">
        <v>663</v>
      </c>
      <c r="E28" s="12">
        <f t="shared" si="0"/>
        <v>1221</v>
      </c>
      <c r="F28" s="184">
        <v>1300</v>
      </c>
      <c r="I28" s="186"/>
      <c r="J28" s="186"/>
      <c r="K28" s="186"/>
      <c r="L28" s="101"/>
    </row>
    <row r="29" spans="1:12" x14ac:dyDescent="0.15">
      <c r="A29" s="98" t="s">
        <v>37</v>
      </c>
      <c r="B29" s="98" t="s">
        <v>1888</v>
      </c>
      <c r="C29" s="98" t="s">
        <v>1760</v>
      </c>
      <c r="D29" s="246" t="s">
        <v>664</v>
      </c>
      <c r="E29" s="12">
        <f t="shared" si="0"/>
        <v>1301</v>
      </c>
      <c r="F29" s="184">
        <v>1380</v>
      </c>
      <c r="I29" s="186"/>
      <c r="J29" s="186"/>
      <c r="K29" s="186"/>
      <c r="L29" s="101"/>
    </row>
    <row r="30" spans="1:12" x14ac:dyDescent="0.15">
      <c r="A30" s="98" t="s">
        <v>37</v>
      </c>
      <c r="B30" s="98" t="s">
        <v>1888</v>
      </c>
      <c r="C30" s="98" t="s">
        <v>1760</v>
      </c>
      <c r="D30" s="246" t="s">
        <v>665</v>
      </c>
      <c r="E30" s="12">
        <f t="shared" si="0"/>
        <v>1381</v>
      </c>
      <c r="F30" s="184">
        <v>1460</v>
      </c>
      <c r="I30" s="186"/>
      <c r="J30" s="186"/>
      <c r="K30" s="186"/>
      <c r="L30" s="101"/>
    </row>
    <row r="31" spans="1:12" x14ac:dyDescent="0.15">
      <c r="A31" s="98" t="s">
        <v>37</v>
      </c>
      <c r="B31" s="98" t="s">
        <v>1888</v>
      </c>
      <c r="C31" s="98" t="s">
        <v>1760</v>
      </c>
      <c r="D31" s="246" t="s">
        <v>666</v>
      </c>
      <c r="E31" s="12">
        <f t="shared" si="0"/>
        <v>1461</v>
      </c>
      <c r="F31" s="184">
        <v>1540</v>
      </c>
      <c r="I31" s="186"/>
      <c r="J31" s="186"/>
      <c r="K31" s="186"/>
      <c r="L31" s="101"/>
    </row>
    <row r="32" spans="1:12" x14ac:dyDescent="0.15">
      <c r="A32" s="98" t="s">
        <v>37</v>
      </c>
      <c r="B32" s="98" t="s">
        <v>1888</v>
      </c>
      <c r="C32" s="98" t="s">
        <v>1760</v>
      </c>
      <c r="D32" s="246" t="s">
        <v>667</v>
      </c>
      <c r="E32" s="12">
        <f t="shared" si="0"/>
        <v>1541</v>
      </c>
      <c r="F32" s="184">
        <v>1620</v>
      </c>
      <c r="I32" s="186"/>
      <c r="J32" s="186"/>
      <c r="K32" s="186"/>
      <c r="L32" s="101"/>
    </row>
    <row r="33" spans="1:12" s="100" customFormat="1" x14ac:dyDescent="0.15">
      <c r="A33" s="100" t="s">
        <v>37</v>
      </c>
      <c r="B33" s="100" t="s">
        <v>1858</v>
      </c>
      <c r="C33" s="100" t="s">
        <v>1761</v>
      </c>
      <c r="D33" s="245" t="s">
        <v>668</v>
      </c>
      <c r="E33" s="216">
        <f t="shared" si="0"/>
        <v>1621</v>
      </c>
      <c r="F33" s="217">
        <v>1700</v>
      </c>
      <c r="G33" s="101">
        <v>2.5</v>
      </c>
      <c r="H33" s="101">
        <v>0.5</v>
      </c>
      <c r="I33" s="186">
        <v>3</v>
      </c>
      <c r="J33" s="186">
        <v>1</v>
      </c>
      <c r="K33" s="186">
        <v>0.6</v>
      </c>
      <c r="L33" s="101">
        <v>0.75</v>
      </c>
    </row>
    <row r="34" spans="1:12" x14ac:dyDescent="0.15">
      <c r="A34" s="98" t="s">
        <v>37</v>
      </c>
      <c r="B34" s="98" t="s">
        <v>1858</v>
      </c>
      <c r="C34" s="98" t="s">
        <v>1761</v>
      </c>
      <c r="D34" s="246" t="s">
        <v>669</v>
      </c>
      <c r="E34" s="12">
        <f t="shared" si="0"/>
        <v>1701</v>
      </c>
      <c r="F34" s="184">
        <v>1760</v>
      </c>
      <c r="G34" s="102"/>
      <c r="H34" s="102"/>
      <c r="I34" s="187"/>
      <c r="J34" s="186"/>
      <c r="K34" s="186"/>
      <c r="L34" s="101"/>
    </row>
    <row r="35" spans="1:12" x14ac:dyDescent="0.15">
      <c r="A35" s="98" t="s">
        <v>37</v>
      </c>
      <c r="B35" s="98" t="s">
        <v>1858</v>
      </c>
      <c r="C35" s="98" t="s">
        <v>1761</v>
      </c>
      <c r="D35" s="246" t="s">
        <v>670</v>
      </c>
      <c r="E35" s="12">
        <f t="shared" si="0"/>
        <v>1761</v>
      </c>
      <c r="F35" s="184">
        <v>1820</v>
      </c>
      <c r="I35" s="186"/>
      <c r="J35" s="186"/>
      <c r="K35" s="186"/>
      <c r="L35" s="101"/>
    </row>
    <row r="36" spans="1:12" s="100" customFormat="1" x14ac:dyDescent="0.15">
      <c r="A36" s="100" t="s">
        <v>37</v>
      </c>
      <c r="B36" s="100" t="s">
        <v>1859</v>
      </c>
      <c r="C36" s="100" t="s">
        <v>1761</v>
      </c>
      <c r="D36" s="245" t="s">
        <v>671</v>
      </c>
      <c r="E36" s="216">
        <f t="shared" si="0"/>
        <v>1821</v>
      </c>
      <c r="F36" s="217">
        <v>1860</v>
      </c>
      <c r="G36" s="101">
        <v>2</v>
      </c>
      <c r="H36" s="101">
        <v>0.4</v>
      </c>
      <c r="I36" s="186">
        <v>2.5</v>
      </c>
      <c r="J36" s="186">
        <v>0.9</v>
      </c>
      <c r="K36" s="186">
        <v>0.6</v>
      </c>
      <c r="L36" s="101">
        <v>0.68</v>
      </c>
    </row>
    <row r="37" spans="1:12" x14ac:dyDescent="0.15">
      <c r="A37" s="98" t="s">
        <v>37</v>
      </c>
      <c r="B37" s="98" t="s">
        <v>1859</v>
      </c>
      <c r="C37" s="98" t="s">
        <v>1761</v>
      </c>
      <c r="D37" s="246" t="s">
        <v>430</v>
      </c>
      <c r="E37" s="12">
        <f t="shared" si="0"/>
        <v>1861</v>
      </c>
      <c r="F37" s="184">
        <v>1900</v>
      </c>
      <c r="G37" s="102"/>
      <c r="H37" s="102"/>
      <c r="I37" s="187"/>
      <c r="J37" s="186"/>
      <c r="K37" s="186"/>
      <c r="L37" s="101"/>
    </row>
    <row r="38" spans="1:12" x14ac:dyDescent="0.15">
      <c r="A38" s="98" t="s">
        <v>37</v>
      </c>
      <c r="B38" s="98" t="s">
        <v>1859</v>
      </c>
      <c r="C38" s="98" t="s">
        <v>1761</v>
      </c>
      <c r="D38" s="246" t="s">
        <v>431</v>
      </c>
      <c r="E38" s="12">
        <f t="shared" si="0"/>
        <v>1901</v>
      </c>
      <c r="F38" s="184">
        <v>1940</v>
      </c>
      <c r="I38" s="186"/>
      <c r="J38" s="186"/>
      <c r="K38" s="186"/>
      <c r="L38" s="101"/>
    </row>
    <row r="39" spans="1:12" x14ac:dyDescent="0.15">
      <c r="A39" s="98" t="s">
        <v>37</v>
      </c>
      <c r="B39" s="98" t="s">
        <v>1859</v>
      </c>
      <c r="C39" s="98" t="s">
        <v>1761</v>
      </c>
      <c r="D39" s="246" t="s">
        <v>432</v>
      </c>
      <c r="E39" s="12">
        <f t="shared" si="0"/>
        <v>1941</v>
      </c>
      <c r="F39" s="184">
        <v>1980</v>
      </c>
      <c r="I39" s="186"/>
      <c r="J39" s="186"/>
      <c r="K39" s="186"/>
      <c r="L39" s="101"/>
    </row>
    <row r="40" spans="1:12" x14ac:dyDescent="0.15">
      <c r="A40" s="98" t="s">
        <v>37</v>
      </c>
      <c r="B40" s="98" t="s">
        <v>1859</v>
      </c>
      <c r="C40" s="98" t="s">
        <v>1761</v>
      </c>
      <c r="D40" s="246" t="s">
        <v>433</v>
      </c>
      <c r="E40" s="12">
        <f t="shared" si="0"/>
        <v>1981</v>
      </c>
      <c r="F40" s="184">
        <v>2020</v>
      </c>
      <c r="I40" s="186"/>
      <c r="J40" s="186"/>
      <c r="K40" s="186"/>
      <c r="L40" s="101"/>
    </row>
    <row r="41" spans="1:12" x14ac:dyDescent="0.15">
      <c r="A41" s="98" t="s">
        <v>37</v>
      </c>
      <c r="B41" s="98" t="s">
        <v>1859</v>
      </c>
      <c r="C41" s="98" t="s">
        <v>1761</v>
      </c>
      <c r="D41" s="246" t="s">
        <v>434</v>
      </c>
      <c r="E41" s="12">
        <f t="shared" si="0"/>
        <v>2021</v>
      </c>
      <c r="F41" s="184">
        <v>2060</v>
      </c>
      <c r="I41" s="186"/>
      <c r="J41" s="186"/>
      <c r="K41" s="186"/>
      <c r="L41" s="101"/>
    </row>
    <row r="42" spans="1:12" x14ac:dyDescent="0.15">
      <c r="A42" s="98" t="s">
        <v>37</v>
      </c>
      <c r="B42" s="98" t="s">
        <v>1859</v>
      </c>
      <c r="C42" s="98" t="s">
        <v>1761</v>
      </c>
      <c r="D42" s="246" t="s">
        <v>435</v>
      </c>
      <c r="E42" s="12">
        <f t="shared" si="0"/>
        <v>2061</v>
      </c>
      <c r="F42" s="184">
        <v>2100</v>
      </c>
      <c r="I42" s="186"/>
      <c r="J42" s="186"/>
      <c r="K42" s="186"/>
      <c r="L42" s="101"/>
    </row>
    <row r="43" spans="1:12" x14ac:dyDescent="0.15">
      <c r="A43" s="98" t="s">
        <v>37</v>
      </c>
      <c r="B43" s="98" t="s">
        <v>1859</v>
      </c>
      <c r="C43" s="98" t="s">
        <v>1761</v>
      </c>
      <c r="D43" s="246" t="s">
        <v>521</v>
      </c>
      <c r="E43" s="12">
        <f t="shared" si="0"/>
        <v>2101</v>
      </c>
      <c r="F43" s="184">
        <v>2140</v>
      </c>
      <c r="I43" s="186"/>
      <c r="J43" s="186"/>
      <c r="K43" s="186"/>
      <c r="L43" s="101"/>
    </row>
    <row r="44" spans="1:12" s="100" customFormat="1" x14ac:dyDescent="0.15">
      <c r="A44" s="100" t="s">
        <v>37</v>
      </c>
      <c r="B44" s="100" t="s">
        <v>1886</v>
      </c>
      <c r="C44" s="100" t="s">
        <v>1761</v>
      </c>
      <c r="D44" s="245" t="s">
        <v>672</v>
      </c>
      <c r="E44" s="216">
        <f t="shared" si="0"/>
        <v>2141</v>
      </c>
      <c r="F44" s="217">
        <v>2180</v>
      </c>
      <c r="G44" s="101">
        <v>1.5</v>
      </c>
      <c r="H44" s="101">
        <v>0.3</v>
      </c>
      <c r="I44" s="186">
        <v>2</v>
      </c>
      <c r="J44" s="186">
        <v>0.8</v>
      </c>
      <c r="K44" s="186">
        <v>0.55000000000000004</v>
      </c>
      <c r="L44" s="101">
        <v>0.52</v>
      </c>
    </row>
    <row r="45" spans="1:12" x14ac:dyDescent="0.15">
      <c r="A45" s="98" t="s">
        <v>37</v>
      </c>
      <c r="B45" s="98" t="s">
        <v>1886</v>
      </c>
      <c r="C45" s="98" t="s">
        <v>1761</v>
      </c>
      <c r="D45" s="246" t="s">
        <v>673</v>
      </c>
      <c r="E45" s="12">
        <f t="shared" si="0"/>
        <v>2181</v>
      </c>
      <c r="F45" s="184">
        <v>2220</v>
      </c>
      <c r="G45" s="102"/>
      <c r="H45" s="102"/>
      <c r="I45" s="187"/>
      <c r="J45" s="186"/>
      <c r="K45" s="186"/>
      <c r="L45" s="101"/>
    </row>
    <row r="46" spans="1:12" x14ac:dyDescent="0.15">
      <c r="A46" s="98" t="s">
        <v>37</v>
      </c>
      <c r="B46" s="98" t="s">
        <v>1886</v>
      </c>
      <c r="C46" s="98" t="s">
        <v>1761</v>
      </c>
      <c r="D46" s="246" t="s">
        <v>674</v>
      </c>
      <c r="E46" s="12">
        <f t="shared" si="0"/>
        <v>2221</v>
      </c>
      <c r="F46" s="184">
        <v>2260</v>
      </c>
      <c r="I46" s="186"/>
      <c r="J46" s="186"/>
      <c r="K46" s="186"/>
      <c r="L46" s="101"/>
    </row>
    <row r="47" spans="1:12" x14ac:dyDescent="0.15">
      <c r="A47" s="98" t="s">
        <v>37</v>
      </c>
      <c r="B47" s="98" t="s">
        <v>1886</v>
      </c>
      <c r="C47" s="98" t="s">
        <v>1761</v>
      </c>
      <c r="D47" s="246" t="s">
        <v>675</v>
      </c>
      <c r="E47" s="12">
        <f t="shared" si="0"/>
        <v>2261</v>
      </c>
      <c r="F47" s="184">
        <v>2300</v>
      </c>
      <c r="I47" s="186"/>
      <c r="J47" s="186"/>
      <c r="K47" s="186"/>
      <c r="L47" s="101"/>
    </row>
    <row r="48" spans="1:12" x14ac:dyDescent="0.15">
      <c r="A48" s="98" t="s">
        <v>37</v>
      </c>
      <c r="B48" s="98" t="s">
        <v>1886</v>
      </c>
      <c r="C48" s="98" t="s">
        <v>1761</v>
      </c>
      <c r="D48" s="246" t="s">
        <v>676</v>
      </c>
      <c r="E48" s="12">
        <f t="shared" si="0"/>
        <v>2301</v>
      </c>
      <c r="F48" s="184">
        <v>2340</v>
      </c>
      <c r="I48" s="186"/>
      <c r="J48" s="186"/>
      <c r="K48" s="186"/>
      <c r="L48" s="101"/>
    </row>
    <row r="49" spans="1:12" x14ac:dyDescent="0.15">
      <c r="A49" s="98" t="s">
        <v>37</v>
      </c>
      <c r="B49" s="98" t="s">
        <v>1886</v>
      </c>
      <c r="C49" s="98" t="s">
        <v>1761</v>
      </c>
      <c r="D49" s="246" t="s">
        <v>677</v>
      </c>
      <c r="E49" s="12">
        <f t="shared" si="0"/>
        <v>2341</v>
      </c>
      <c r="F49" s="184">
        <v>2380</v>
      </c>
      <c r="I49" s="186"/>
      <c r="J49" s="186"/>
      <c r="K49" s="186"/>
      <c r="L49" s="101"/>
    </row>
    <row r="50" spans="1:12" x14ac:dyDescent="0.15">
      <c r="A50" s="98" t="s">
        <v>37</v>
      </c>
      <c r="B50" s="98" t="s">
        <v>1886</v>
      </c>
      <c r="C50" s="98" t="s">
        <v>1761</v>
      </c>
      <c r="D50" s="246" t="s">
        <v>678</v>
      </c>
      <c r="E50" s="12">
        <f t="shared" si="0"/>
        <v>2381</v>
      </c>
      <c r="F50" s="184">
        <v>2420</v>
      </c>
      <c r="I50" s="186"/>
      <c r="J50" s="186"/>
      <c r="K50" s="186"/>
      <c r="L50" s="101"/>
    </row>
    <row r="51" spans="1:12" x14ac:dyDescent="0.15">
      <c r="A51" s="98" t="s">
        <v>37</v>
      </c>
      <c r="B51" s="98" t="s">
        <v>1886</v>
      </c>
      <c r="C51" s="98" t="s">
        <v>1761</v>
      </c>
      <c r="D51" s="246" t="s">
        <v>679</v>
      </c>
      <c r="E51" s="12">
        <f t="shared" si="0"/>
        <v>2421</v>
      </c>
      <c r="F51" s="184">
        <v>2460</v>
      </c>
      <c r="I51" s="186"/>
      <c r="J51" s="186"/>
      <c r="K51" s="186"/>
      <c r="L51" s="101"/>
    </row>
    <row r="52" spans="1:12" x14ac:dyDescent="0.15">
      <c r="A52" s="98" t="s">
        <v>37</v>
      </c>
      <c r="B52" s="98" t="s">
        <v>1886</v>
      </c>
      <c r="C52" s="98" t="s">
        <v>1761</v>
      </c>
      <c r="D52" s="246" t="s">
        <v>680</v>
      </c>
      <c r="E52" s="12">
        <f t="shared" si="0"/>
        <v>2461</v>
      </c>
      <c r="F52" s="184">
        <v>2500</v>
      </c>
      <c r="I52" s="186"/>
      <c r="J52" s="186"/>
      <c r="K52" s="186"/>
      <c r="L52" s="101"/>
    </row>
    <row r="53" spans="1:12" s="100" customFormat="1" x14ac:dyDescent="0.15">
      <c r="A53" s="100" t="s">
        <v>37</v>
      </c>
      <c r="B53" s="100" t="s">
        <v>1860</v>
      </c>
      <c r="C53" s="100" t="s">
        <v>1762</v>
      </c>
      <c r="D53" s="245" t="s">
        <v>681</v>
      </c>
      <c r="E53" s="216">
        <f t="shared" si="0"/>
        <v>2501</v>
      </c>
      <c r="F53" s="217">
        <v>2540</v>
      </c>
      <c r="G53" s="101">
        <v>1</v>
      </c>
      <c r="H53" s="101">
        <v>0.2</v>
      </c>
      <c r="I53" s="186">
        <v>1.5</v>
      </c>
      <c r="J53" s="186">
        <v>0.6</v>
      </c>
      <c r="K53" s="186">
        <v>0.5</v>
      </c>
      <c r="L53" s="101">
        <v>0.35</v>
      </c>
    </row>
    <row r="54" spans="1:12" x14ac:dyDescent="0.15">
      <c r="A54" s="98" t="s">
        <v>37</v>
      </c>
      <c r="B54" s="98" t="s">
        <v>1860</v>
      </c>
      <c r="C54" s="98" t="s">
        <v>1762</v>
      </c>
      <c r="D54" s="246" t="s">
        <v>682</v>
      </c>
      <c r="E54" s="12">
        <f t="shared" si="0"/>
        <v>2541</v>
      </c>
      <c r="F54" s="184">
        <v>2580</v>
      </c>
      <c r="G54" s="102"/>
      <c r="H54" s="102"/>
      <c r="I54" s="187"/>
      <c r="J54" s="186"/>
      <c r="K54" s="186"/>
      <c r="L54" s="101"/>
    </row>
    <row r="55" spans="1:12" x14ac:dyDescent="0.15">
      <c r="A55" s="98" t="s">
        <v>37</v>
      </c>
      <c r="B55" s="98" t="s">
        <v>1860</v>
      </c>
      <c r="C55" s="98" t="s">
        <v>1762</v>
      </c>
      <c r="D55" s="246" t="s">
        <v>683</v>
      </c>
      <c r="E55" s="12">
        <f t="shared" si="0"/>
        <v>2581</v>
      </c>
      <c r="F55" s="184">
        <v>2620</v>
      </c>
      <c r="I55" s="186"/>
      <c r="J55" s="186"/>
      <c r="K55" s="186"/>
      <c r="L55" s="101"/>
    </row>
    <row r="56" spans="1:12" x14ac:dyDescent="0.15">
      <c r="A56" s="98" t="s">
        <v>37</v>
      </c>
      <c r="B56" s="98" t="s">
        <v>1860</v>
      </c>
      <c r="C56" s="98" t="s">
        <v>1762</v>
      </c>
      <c r="D56" s="246" t="s">
        <v>684</v>
      </c>
      <c r="E56" s="12">
        <f t="shared" si="0"/>
        <v>2621</v>
      </c>
      <c r="F56" s="184">
        <v>2660</v>
      </c>
      <c r="I56" s="186"/>
      <c r="J56" s="186"/>
      <c r="K56" s="186"/>
      <c r="L56" s="101"/>
    </row>
    <row r="57" spans="1:12" x14ac:dyDescent="0.15">
      <c r="A57" s="98" t="s">
        <v>37</v>
      </c>
      <c r="B57" s="98" t="s">
        <v>1860</v>
      </c>
      <c r="C57" s="98" t="s">
        <v>1762</v>
      </c>
      <c r="D57" s="246" t="s">
        <v>685</v>
      </c>
      <c r="E57" s="12">
        <f t="shared" si="0"/>
        <v>2661</v>
      </c>
      <c r="F57" s="184">
        <v>2700</v>
      </c>
      <c r="I57" s="186"/>
      <c r="J57" s="186"/>
      <c r="K57" s="186"/>
      <c r="L57" s="101"/>
    </row>
    <row r="58" spans="1:12" x14ac:dyDescent="0.15">
      <c r="A58" s="98" t="s">
        <v>37</v>
      </c>
      <c r="B58" s="98" t="s">
        <v>1860</v>
      </c>
      <c r="C58" s="98" t="s">
        <v>1762</v>
      </c>
      <c r="D58" s="246" t="s">
        <v>686</v>
      </c>
      <c r="E58" s="12">
        <f t="shared" si="0"/>
        <v>2701</v>
      </c>
      <c r="F58" s="184">
        <v>2740</v>
      </c>
      <c r="I58" s="186"/>
      <c r="J58" s="186"/>
      <c r="K58" s="186"/>
      <c r="L58" s="101"/>
    </row>
    <row r="59" spans="1:12" x14ac:dyDescent="0.15">
      <c r="A59" s="98" t="s">
        <v>37</v>
      </c>
      <c r="B59" s="98" t="s">
        <v>1860</v>
      </c>
      <c r="C59" s="98" t="s">
        <v>1762</v>
      </c>
      <c r="D59" s="246" t="s">
        <v>687</v>
      </c>
      <c r="E59" s="12">
        <f t="shared" si="0"/>
        <v>2741</v>
      </c>
      <c r="F59" s="184">
        <v>2780</v>
      </c>
      <c r="I59" s="186"/>
      <c r="J59" s="186"/>
      <c r="K59" s="186"/>
      <c r="L59" s="101"/>
    </row>
    <row r="60" spans="1:12" x14ac:dyDescent="0.15">
      <c r="A60" s="98" t="s">
        <v>37</v>
      </c>
      <c r="B60" s="98" t="s">
        <v>1860</v>
      </c>
      <c r="C60" s="98" t="s">
        <v>1762</v>
      </c>
      <c r="D60" s="246" t="s">
        <v>688</v>
      </c>
      <c r="E60" s="12">
        <f t="shared" si="0"/>
        <v>2781</v>
      </c>
      <c r="F60" s="184">
        <v>2820</v>
      </c>
      <c r="I60" s="186"/>
      <c r="J60" s="186"/>
      <c r="K60" s="186"/>
      <c r="L60" s="101"/>
    </row>
    <row r="61" spans="1:12" x14ac:dyDescent="0.15">
      <c r="A61" s="98" t="s">
        <v>37</v>
      </c>
      <c r="B61" s="98" t="s">
        <v>1860</v>
      </c>
      <c r="C61" s="98" t="s">
        <v>1762</v>
      </c>
      <c r="D61" s="246" t="s">
        <v>689</v>
      </c>
      <c r="E61" s="12">
        <f t="shared" si="0"/>
        <v>2821</v>
      </c>
      <c r="F61" s="184">
        <v>2860</v>
      </c>
      <c r="I61" s="186"/>
      <c r="J61" s="186"/>
      <c r="K61" s="186"/>
      <c r="L61" s="101"/>
    </row>
    <row r="62" spans="1:12" s="100" customFormat="1" x14ac:dyDescent="0.15">
      <c r="A62" s="100" t="s">
        <v>37</v>
      </c>
      <c r="B62" s="100" t="s">
        <v>1855</v>
      </c>
      <c r="C62" s="100" t="s">
        <v>1855</v>
      </c>
      <c r="D62" s="245" t="s">
        <v>690</v>
      </c>
      <c r="E62" s="216">
        <f t="shared" si="0"/>
        <v>2861</v>
      </c>
      <c r="F62" s="217">
        <v>2920</v>
      </c>
      <c r="G62" s="101">
        <v>0.5</v>
      </c>
      <c r="H62" s="101">
        <v>0.1</v>
      </c>
      <c r="I62" s="186">
        <v>0.8</v>
      </c>
      <c r="J62" s="186">
        <v>0.3</v>
      </c>
      <c r="K62" s="186">
        <v>0.4</v>
      </c>
      <c r="L62" s="101">
        <v>0.2</v>
      </c>
    </row>
    <row r="63" spans="1:12" x14ac:dyDescent="0.15">
      <c r="A63" s="98" t="s">
        <v>37</v>
      </c>
      <c r="B63" s="98" t="s">
        <v>1855</v>
      </c>
      <c r="C63" s="98" t="s">
        <v>1855</v>
      </c>
      <c r="D63" s="246" t="s">
        <v>691</v>
      </c>
      <c r="E63" s="12">
        <f t="shared" si="0"/>
        <v>2921</v>
      </c>
      <c r="F63" s="184">
        <v>2980</v>
      </c>
      <c r="I63" s="186"/>
      <c r="J63" s="186"/>
      <c r="K63" s="186"/>
      <c r="L63" s="101"/>
    </row>
    <row r="64" spans="1:12" x14ac:dyDescent="0.15">
      <c r="A64" s="98" t="s">
        <v>37</v>
      </c>
      <c r="B64" s="98" t="s">
        <v>1855</v>
      </c>
      <c r="C64" s="98" t="s">
        <v>1855</v>
      </c>
      <c r="D64" s="246" t="s">
        <v>455</v>
      </c>
      <c r="E64" s="12">
        <f t="shared" si="0"/>
        <v>2981</v>
      </c>
      <c r="F64" s="184">
        <v>3040</v>
      </c>
      <c r="I64" s="186"/>
      <c r="J64" s="186"/>
      <c r="K64" s="186"/>
      <c r="L64" s="101"/>
    </row>
    <row r="65" spans="1:12" x14ac:dyDescent="0.15">
      <c r="A65" s="98" t="s">
        <v>37</v>
      </c>
      <c r="B65" s="98" t="s">
        <v>1855</v>
      </c>
      <c r="C65" s="98" t="s">
        <v>1855</v>
      </c>
      <c r="D65" s="246" t="s">
        <v>504</v>
      </c>
      <c r="E65" s="12">
        <f t="shared" si="0"/>
        <v>3041</v>
      </c>
      <c r="F65" s="184">
        <v>3100</v>
      </c>
      <c r="I65" s="186"/>
      <c r="J65" s="186"/>
      <c r="K65" s="186"/>
      <c r="L65" s="10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29BE-7208-4B66-8386-5024FB1ACB22}">
  <sheetPr>
    <tabColor rgb="FFFFFF00"/>
  </sheetPr>
  <dimension ref="A1:L56"/>
  <sheetViews>
    <sheetView workbookViewId="0">
      <selection activeCell="L54" sqref="L54"/>
    </sheetView>
  </sheetViews>
  <sheetFormatPr defaultRowHeight="10.5" x14ac:dyDescent="0.15"/>
  <cols>
    <col min="1" max="1" width="10.28515625" style="98" bestFit="1" customWidth="1"/>
    <col min="2" max="2" width="43.7109375" style="98" bestFit="1" customWidth="1"/>
    <col min="3" max="3" width="11.85546875" style="98" bestFit="1" customWidth="1"/>
    <col min="4" max="4" width="53.2851562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100" customFormat="1" x14ac:dyDescent="0.15">
      <c r="A2" s="100" t="s">
        <v>40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5</v>
      </c>
      <c r="G2" s="101">
        <v>0.05</v>
      </c>
      <c r="H2" s="101">
        <v>0.01</v>
      </c>
      <c r="I2" s="186">
        <v>0.05</v>
      </c>
      <c r="J2" s="186">
        <v>0.15</v>
      </c>
      <c r="K2" s="186">
        <v>0.6</v>
      </c>
      <c r="L2" s="101">
        <v>0.75</v>
      </c>
    </row>
    <row r="3" spans="1:12" x14ac:dyDescent="0.15">
      <c r="A3" s="98" t="s">
        <v>40</v>
      </c>
      <c r="B3" s="98" t="s">
        <v>1759</v>
      </c>
      <c r="C3" s="98" t="s">
        <v>1759</v>
      </c>
      <c r="D3" s="179" t="s">
        <v>374</v>
      </c>
      <c r="E3" s="12">
        <f>F2+1</f>
        <v>6</v>
      </c>
      <c r="F3" s="184">
        <v>20</v>
      </c>
      <c r="G3" s="102"/>
      <c r="H3" s="102"/>
      <c r="I3" s="187"/>
      <c r="J3" s="186"/>
      <c r="K3" s="186"/>
      <c r="L3" s="101"/>
    </row>
    <row r="4" spans="1:12" x14ac:dyDescent="0.15">
      <c r="A4" s="98" t="s">
        <v>40</v>
      </c>
      <c r="B4" s="98" t="s">
        <v>1759</v>
      </c>
      <c r="C4" s="98" t="s">
        <v>1759</v>
      </c>
      <c r="D4" s="179" t="s">
        <v>375</v>
      </c>
      <c r="E4" s="12">
        <f t="shared" ref="E4:E56" si="0">F3+1</f>
        <v>21</v>
      </c>
      <c r="F4" s="184">
        <v>45</v>
      </c>
      <c r="I4" s="186"/>
      <c r="J4" s="186"/>
      <c r="K4" s="186"/>
      <c r="L4" s="101"/>
    </row>
    <row r="5" spans="1:12" x14ac:dyDescent="0.15">
      <c r="A5" s="98" t="s">
        <v>40</v>
      </c>
      <c r="B5" s="98" t="s">
        <v>1759</v>
      </c>
      <c r="C5" s="98" t="s">
        <v>1759</v>
      </c>
      <c r="D5" s="179" t="s">
        <v>414</v>
      </c>
      <c r="E5" s="12">
        <f t="shared" si="0"/>
        <v>46</v>
      </c>
      <c r="F5" s="184">
        <v>70</v>
      </c>
      <c r="I5" s="186"/>
      <c r="J5" s="186"/>
      <c r="K5" s="186"/>
      <c r="L5" s="101"/>
    </row>
    <row r="6" spans="1:12" x14ac:dyDescent="0.15">
      <c r="A6" s="98" t="s">
        <v>40</v>
      </c>
      <c r="B6" s="98" t="s">
        <v>1759</v>
      </c>
      <c r="C6" s="98" t="s">
        <v>1759</v>
      </c>
      <c r="D6" s="179" t="s">
        <v>415</v>
      </c>
      <c r="E6" s="12">
        <f t="shared" si="0"/>
        <v>71</v>
      </c>
      <c r="F6" s="184">
        <v>90</v>
      </c>
      <c r="I6" s="186"/>
      <c r="J6" s="186"/>
      <c r="K6" s="186"/>
      <c r="L6" s="101"/>
    </row>
    <row r="7" spans="1:12" x14ac:dyDescent="0.15">
      <c r="A7" s="98" t="s">
        <v>40</v>
      </c>
      <c r="B7" s="98" t="s">
        <v>1759</v>
      </c>
      <c r="C7" s="98" t="s">
        <v>1759</v>
      </c>
      <c r="D7" s="179" t="s">
        <v>416</v>
      </c>
      <c r="E7" s="12">
        <f t="shared" si="0"/>
        <v>91</v>
      </c>
      <c r="F7" s="184">
        <v>100</v>
      </c>
      <c r="I7" s="186"/>
      <c r="J7" s="186"/>
      <c r="K7" s="186"/>
      <c r="L7" s="101"/>
    </row>
    <row r="8" spans="1:12" x14ac:dyDescent="0.15">
      <c r="A8" s="98" t="s">
        <v>40</v>
      </c>
      <c r="B8" s="98" t="s">
        <v>1759</v>
      </c>
      <c r="C8" s="98" t="s">
        <v>1759</v>
      </c>
      <c r="D8" s="179" t="s">
        <v>417</v>
      </c>
      <c r="E8" s="12">
        <f t="shared" si="0"/>
        <v>101</v>
      </c>
      <c r="F8" s="184">
        <v>130</v>
      </c>
      <c r="I8" s="186"/>
      <c r="J8" s="186"/>
      <c r="K8" s="186"/>
      <c r="L8" s="101"/>
    </row>
    <row r="9" spans="1:12" s="100" customFormat="1" x14ac:dyDescent="0.15">
      <c r="A9" s="100" t="s">
        <v>40</v>
      </c>
      <c r="B9" s="100" t="s">
        <v>1887</v>
      </c>
      <c r="C9" s="100" t="s">
        <v>1760</v>
      </c>
      <c r="D9" s="177" t="s">
        <v>380</v>
      </c>
      <c r="E9" s="12">
        <f t="shared" si="0"/>
        <v>131</v>
      </c>
      <c r="F9" s="217">
        <v>150</v>
      </c>
      <c r="G9" s="101">
        <v>1.2</v>
      </c>
      <c r="H9" s="101">
        <v>0.25</v>
      </c>
      <c r="I9" s="186">
        <v>1.5</v>
      </c>
      <c r="J9" s="186">
        <v>0.4</v>
      </c>
      <c r="K9" s="186">
        <v>0.6</v>
      </c>
      <c r="L9" s="101">
        <v>0.55000000000000004</v>
      </c>
    </row>
    <row r="10" spans="1:12" x14ac:dyDescent="0.15">
      <c r="A10" s="98" t="s">
        <v>40</v>
      </c>
      <c r="B10" s="98" t="s">
        <v>1887</v>
      </c>
      <c r="C10" s="98" t="s">
        <v>1760</v>
      </c>
      <c r="D10" s="179" t="s">
        <v>418</v>
      </c>
      <c r="E10" s="12">
        <f t="shared" si="0"/>
        <v>151</v>
      </c>
      <c r="F10" s="184">
        <v>210</v>
      </c>
      <c r="G10" s="102"/>
      <c r="H10" s="102"/>
      <c r="I10" s="187"/>
      <c r="J10" s="186"/>
      <c r="K10" s="186"/>
      <c r="L10" s="101"/>
    </row>
    <row r="11" spans="1:12" x14ac:dyDescent="0.15">
      <c r="A11" s="98" t="s">
        <v>40</v>
      </c>
      <c r="B11" s="98" t="s">
        <v>1887</v>
      </c>
      <c r="C11" s="98" t="s">
        <v>1760</v>
      </c>
      <c r="D11" s="179" t="s">
        <v>419</v>
      </c>
      <c r="E11" s="12">
        <f t="shared" si="0"/>
        <v>211</v>
      </c>
      <c r="F11" s="184">
        <v>270</v>
      </c>
      <c r="I11" s="186"/>
      <c r="J11" s="186"/>
      <c r="K11" s="186"/>
      <c r="L11" s="101"/>
    </row>
    <row r="12" spans="1:12" x14ac:dyDescent="0.15">
      <c r="A12" s="98" t="s">
        <v>40</v>
      </c>
      <c r="B12" s="98" t="s">
        <v>1887</v>
      </c>
      <c r="C12" s="98" t="s">
        <v>1760</v>
      </c>
      <c r="D12" s="179" t="s">
        <v>538</v>
      </c>
      <c r="E12" s="12">
        <f t="shared" si="0"/>
        <v>271</v>
      </c>
      <c r="F12" s="184">
        <v>420</v>
      </c>
      <c r="I12" s="186"/>
      <c r="J12" s="186"/>
      <c r="K12" s="186"/>
      <c r="L12" s="101"/>
    </row>
    <row r="13" spans="1:12" s="100" customFormat="1" x14ac:dyDescent="0.15">
      <c r="A13" s="100" t="s">
        <v>40</v>
      </c>
      <c r="B13" s="100" t="s">
        <v>1888</v>
      </c>
      <c r="C13" s="100" t="s">
        <v>1760</v>
      </c>
      <c r="D13" s="177" t="s">
        <v>705</v>
      </c>
      <c r="E13" s="12">
        <f t="shared" si="0"/>
        <v>421</v>
      </c>
      <c r="F13" s="217">
        <v>520</v>
      </c>
      <c r="G13" s="101">
        <v>3.5</v>
      </c>
      <c r="H13" s="101">
        <v>0.8</v>
      </c>
      <c r="I13" s="186">
        <v>4</v>
      </c>
      <c r="J13" s="186">
        <v>1.1000000000000001</v>
      </c>
      <c r="K13" s="186">
        <v>0.6</v>
      </c>
      <c r="L13" s="101">
        <v>0.8</v>
      </c>
    </row>
    <row r="14" spans="1:12" x14ac:dyDescent="0.15">
      <c r="A14" s="98" t="s">
        <v>40</v>
      </c>
      <c r="B14" s="98" t="s">
        <v>1888</v>
      </c>
      <c r="C14" s="98" t="s">
        <v>1760</v>
      </c>
      <c r="D14" s="179" t="s">
        <v>706</v>
      </c>
      <c r="E14" s="12">
        <f t="shared" si="0"/>
        <v>521</v>
      </c>
      <c r="F14" s="184">
        <v>600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40</v>
      </c>
      <c r="B15" s="98" t="s">
        <v>1888</v>
      </c>
      <c r="C15" s="98" t="s">
        <v>1760</v>
      </c>
      <c r="D15" s="179" t="s">
        <v>707</v>
      </c>
      <c r="E15" s="12">
        <f t="shared" si="0"/>
        <v>601</v>
      </c>
      <c r="F15" s="184">
        <v>680</v>
      </c>
      <c r="I15" s="186"/>
      <c r="J15" s="186"/>
      <c r="K15" s="186"/>
      <c r="L15" s="101"/>
    </row>
    <row r="16" spans="1:12" x14ac:dyDescent="0.15">
      <c r="A16" s="98" t="s">
        <v>40</v>
      </c>
      <c r="B16" s="98" t="s">
        <v>1888</v>
      </c>
      <c r="C16" s="98" t="s">
        <v>1760</v>
      </c>
      <c r="D16" s="179" t="s">
        <v>708</v>
      </c>
      <c r="E16" s="12">
        <f t="shared" si="0"/>
        <v>681</v>
      </c>
      <c r="F16" s="184">
        <v>760</v>
      </c>
      <c r="I16" s="186"/>
      <c r="J16" s="186"/>
      <c r="K16" s="186"/>
      <c r="L16" s="101"/>
    </row>
    <row r="17" spans="1:12" x14ac:dyDescent="0.15">
      <c r="A17" s="98" t="s">
        <v>40</v>
      </c>
      <c r="B17" s="98" t="s">
        <v>1888</v>
      </c>
      <c r="C17" s="98" t="s">
        <v>1760</v>
      </c>
      <c r="D17" s="179" t="s">
        <v>709</v>
      </c>
      <c r="E17" s="12">
        <f t="shared" si="0"/>
        <v>761</v>
      </c>
      <c r="F17" s="184">
        <v>840</v>
      </c>
      <c r="I17" s="186"/>
      <c r="J17" s="186"/>
      <c r="K17" s="186"/>
      <c r="L17" s="101"/>
    </row>
    <row r="18" spans="1:12" x14ac:dyDescent="0.15">
      <c r="A18" s="98" t="s">
        <v>40</v>
      </c>
      <c r="B18" s="98" t="s">
        <v>1888</v>
      </c>
      <c r="C18" s="98" t="s">
        <v>1760</v>
      </c>
      <c r="D18" s="179" t="s">
        <v>710</v>
      </c>
      <c r="E18" s="12">
        <f t="shared" si="0"/>
        <v>841</v>
      </c>
      <c r="F18" s="184">
        <v>900</v>
      </c>
      <c r="I18" s="186"/>
      <c r="J18" s="186"/>
      <c r="K18" s="186"/>
      <c r="L18" s="101"/>
    </row>
    <row r="19" spans="1:12" x14ac:dyDescent="0.15">
      <c r="A19" s="98" t="s">
        <v>40</v>
      </c>
      <c r="B19" s="98" t="s">
        <v>1888</v>
      </c>
      <c r="C19" s="98" t="s">
        <v>1760</v>
      </c>
      <c r="D19" s="179" t="s">
        <v>711</v>
      </c>
      <c r="E19" s="12">
        <f t="shared" si="0"/>
        <v>901</v>
      </c>
      <c r="F19" s="184">
        <v>960</v>
      </c>
      <c r="I19" s="186"/>
      <c r="J19" s="186"/>
      <c r="K19" s="186"/>
      <c r="L19" s="101"/>
    </row>
    <row r="20" spans="1:12" x14ac:dyDescent="0.15">
      <c r="A20" s="98" t="s">
        <v>40</v>
      </c>
      <c r="B20" s="98" t="s">
        <v>1888</v>
      </c>
      <c r="C20" s="98" t="s">
        <v>1760</v>
      </c>
      <c r="D20" s="179" t="s">
        <v>712</v>
      </c>
      <c r="E20" s="12">
        <f t="shared" si="0"/>
        <v>961</v>
      </c>
      <c r="F20" s="184">
        <v>1020</v>
      </c>
      <c r="I20" s="186"/>
      <c r="J20" s="186"/>
      <c r="K20" s="186"/>
      <c r="L20" s="101"/>
    </row>
    <row r="21" spans="1:12" x14ac:dyDescent="0.15">
      <c r="A21" s="98" t="s">
        <v>40</v>
      </c>
      <c r="B21" s="98" t="s">
        <v>1888</v>
      </c>
      <c r="C21" s="98" t="s">
        <v>1760</v>
      </c>
      <c r="D21" s="179" t="s">
        <v>713</v>
      </c>
      <c r="E21" s="12">
        <f t="shared" si="0"/>
        <v>1021</v>
      </c>
      <c r="F21" s="184">
        <v>1120</v>
      </c>
      <c r="I21" s="186"/>
      <c r="J21" s="186"/>
      <c r="K21" s="186"/>
      <c r="L21" s="101"/>
    </row>
    <row r="22" spans="1:12" s="100" customFormat="1" x14ac:dyDescent="0.15">
      <c r="A22" s="100" t="s">
        <v>40</v>
      </c>
      <c r="B22" s="100" t="s">
        <v>1858</v>
      </c>
      <c r="C22" s="100" t="s">
        <v>1761</v>
      </c>
      <c r="D22" s="177" t="s">
        <v>714</v>
      </c>
      <c r="E22" s="12">
        <f t="shared" si="0"/>
        <v>1121</v>
      </c>
      <c r="F22" s="217">
        <v>1200</v>
      </c>
      <c r="G22" s="101">
        <v>2.5</v>
      </c>
      <c r="H22" s="101">
        <v>0.5</v>
      </c>
      <c r="I22" s="186">
        <v>3</v>
      </c>
      <c r="J22" s="186">
        <v>1</v>
      </c>
      <c r="K22" s="186">
        <v>0.6</v>
      </c>
      <c r="L22" s="101">
        <v>0.7</v>
      </c>
    </row>
    <row r="23" spans="1:12" x14ac:dyDescent="0.15">
      <c r="A23" s="98" t="s">
        <v>40</v>
      </c>
      <c r="B23" s="98" t="s">
        <v>1858</v>
      </c>
      <c r="C23" s="98" t="s">
        <v>1761</v>
      </c>
      <c r="D23" s="179" t="s">
        <v>715</v>
      </c>
      <c r="E23" s="12">
        <f t="shared" si="0"/>
        <v>1201</v>
      </c>
      <c r="F23" s="184">
        <v>1270</v>
      </c>
      <c r="G23" s="102"/>
      <c r="H23" s="102"/>
      <c r="I23" s="187"/>
      <c r="J23" s="186"/>
      <c r="K23" s="186"/>
      <c r="L23" s="101"/>
    </row>
    <row r="24" spans="1:12" x14ac:dyDescent="0.15">
      <c r="A24" s="98" t="s">
        <v>40</v>
      </c>
      <c r="B24" s="98" t="s">
        <v>1858</v>
      </c>
      <c r="C24" s="98" t="s">
        <v>1761</v>
      </c>
      <c r="D24" s="179" t="s">
        <v>716</v>
      </c>
      <c r="E24" s="12">
        <f t="shared" si="0"/>
        <v>1271</v>
      </c>
      <c r="F24" s="184">
        <v>1330</v>
      </c>
      <c r="I24" s="186"/>
      <c r="J24" s="186"/>
      <c r="K24" s="186"/>
      <c r="L24" s="101"/>
    </row>
    <row r="25" spans="1:12" x14ac:dyDescent="0.15">
      <c r="A25" s="98" t="s">
        <v>40</v>
      </c>
      <c r="B25" s="98" t="s">
        <v>1858</v>
      </c>
      <c r="C25" s="98" t="s">
        <v>1761</v>
      </c>
      <c r="D25" s="179" t="s">
        <v>717</v>
      </c>
      <c r="E25" s="12">
        <f t="shared" si="0"/>
        <v>1331</v>
      </c>
      <c r="F25" s="184">
        <v>1380</v>
      </c>
      <c r="I25" s="186"/>
      <c r="J25" s="186"/>
      <c r="K25" s="186"/>
      <c r="L25" s="101"/>
    </row>
    <row r="26" spans="1:12" x14ac:dyDescent="0.15">
      <c r="A26" s="98" t="s">
        <v>40</v>
      </c>
      <c r="B26" s="98" t="s">
        <v>1858</v>
      </c>
      <c r="C26" s="98" t="s">
        <v>1761</v>
      </c>
      <c r="D26" s="179" t="s">
        <v>670</v>
      </c>
      <c r="E26" s="12">
        <f t="shared" si="0"/>
        <v>1381</v>
      </c>
      <c r="F26" s="184">
        <v>1440</v>
      </c>
      <c r="I26" s="186"/>
      <c r="J26" s="186"/>
      <c r="K26" s="186"/>
      <c r="L26" s="101"/>
    </row>
    <row r="27" spans="1:12" s="100" customFormat="1" x14ac:dyDescent="0.15">
      <c r="A27" s="100" t="s">
        <v>40</v>
      </c>
      <c r="B27" s="100" t="s">
        <v>1859</v>
      </c>
      <c r="C27" s="100" t="s">
        <v>1761</v>
      </c>
      <c r="D27" s="177" t="s">
        <v>671</v>
      </c>
      <c r="E27" s="12">
        <f t="shared" si="0"/>
        <v>1441</v>
      </c>
      <c r="F27" s="217">
        <v>1480</v>
      </c>
      <c r="G27" s="101">
        <v>2</v>
      </c>
      <c r="H27" s="101">
        <v>0.4</v>
      </c>
      <c r="I27" s="186">
        <v>2.5</v>
      </c>
      <c r="J27" s="186">
        <v>0.9</v>
      </c>
      <c r="K27" s="186">
        <v>0.6</v>
      </c>
      <c r="L27" s="101">
        <v>0.65</v>
      </c>
    </row>
    <row r="28" spans="1:12" x14ac:dyDescent="0.15">
      <c r="A28" s="98" t="s">
        <v>40</v>
      </c>
      <c r="B28" s="98" t="s">
        <v>1859</v>
      </c>
      <c r="C28" s="98" t="s">
        <v>1761</v>
      </c>
      <c r="D28" s="179" t="s">
        <v>430</v>
      </c>
      <c r="E28" s="12">
        <f t="shared" si="0"/>
        <v>1481</v>
      </c>
      <c r="F28" s="184">
        <v>1530</v>
      </c>
      <c r="G28" s="102"/>
      <c r="H28" s="102"/>
      <c r="I28" s="187"/>
      <c r="J28" s="186"/>
      <c r="K28" s="186"/>
      <c r="L28" s="101"/>
    </row>
    <row r="29" spans="1:12" x14ac:dyDescent="0.15">
      <c r="A29" s="98" t="s">
        <v>40</v>
      </c>
      <c r="B29" s="98" t="s">
        <v>1859</v>
      </c>
      <c r="C29" s="98" t="s">
        <v>1761</v>
      </c>
      <c r="D29" s="179" t="s">
        <v>431</v>
      </c>
      <c r="E29" s="12">
        <f t="shared" si="0"/>
        <v>1531</v>
      </c>
      <c r="F29" s="184">
        <v>1580</v>
      </c>
      <c r="I29" s="186"/>
      <c r="J29" s="186"/>
      <c r="K29" s="186"/>
      <c r="L29" s="101"/>
    </row>
    <row r="30" spans="1:12" x14ac:dyDescent="0.15">
      <c r="A30" s="98" t="s">
        <v>40</v>
      </c>
      <c r="B30" s="98" t="s">
        <v>1859</v>
      </c>
      <c r="C30" s="98" t="s">
        <v>1761</v>
      </c>
      <c r="D30" s="179" t="s">
        <v>432</v>
      </c>
      <c r="E30" s="12">
        <f t="shared" si="0"/>
        <v>1581</v>
      </c>
      <c r="F30" s="184">
        <v>1630</v>
      </c>
      <c r="I30" s="186"/>
      <c r="J30" s="186"/>
      <c r="K30" s="186"/>
      <c r="L30" s="101"/>
    </row>
    <row r="31" spans="1:12" x14ac:dyDescent="0.15">
      <c r="A31" s="98" t="s">
        <v>40</v>
      </c>
      <c r="B31" s="98" t="s">
        <v>1859</v>
      </c>
      <c r="C31" s="98" t="s">
        <v>1761</v>
      </c>
      <c r="D31" s="179" t="s">
        <v>433</v>
      </c>
      <c r="E31" s="12">
        <f t="shared" si="0"/>
        <v>1631</v>
      </c>
      <c r="F31" s="184">
        <v>1680</v>
      </c>
      <c r="I31" s="186"/>
      <c r="J31" s="186"/>
      <c r="K31" s="186"/>
      <c r="L31" s="101"/>
    </row>
    <row r="32" spans="1:12" x14ac:dyDescent="0.15">
      <c r="A32" s="98" t="s">
        <v>40</v>
      </c>
      <c r="B32" s="98" t="s">
        <v>1859</v>
      </c>
      <c r="C32" s="98" t="s">
        <v>1761</v>
      </c>
      <c r="D32" s="179" t="s">
        <v>434</v>
      </c>
      <c r="E32" s="12">
        <f t="shared" si="0"/>
        <v>1681</v>
      </c>
      <c r="F32" s="184">
        <v>1730</v>
      </c>
      <c r="I32" s="186"/>
      <c r="J32" s="186"/>
      <c r="K32" s="186"/>
      <c r="L32" s="101"/>
    </row>
    <row r="33" spans="1:12" x14ac:dyDescent="0.15">
      <c r="A33" s="98" t="s">
        <v>40</v>
      </c>
      <c r="B33" s="98" t="s">
        <v>1859</v>
      </c>
      <c r="C33" s="98" t="s">
        <v>1761</v>
      </c>
      <c r="D33" s="179" t="s">
        <v>718</v>
      </c>
      <c r="E33" s="12">
        <f t="shared" si="0"/>
        <v>1731</v>
      </c>
      <c r="F33" s="184">
        <v>1780</v>
      </c>
      <c r="I33" s="186"/>
      <c r="J33" s="186"/>
      <c r="K33" s="186"/>
      <c r="L33" s="101"/>
    </row>
    <row r="34" spans="1:12" x14ac:dyDescent="0.15">
      <c r="A34" s="98" t="s">
        <v>40</v>
      </c>
      <c r="B34" s="98" t="s">
        <v>1859</v>
      </c>
      <c r="C34" s="98" t="s">
        <v>1761</v>
      </c>
      <c r="D34" s="179" t="s">
        <v>521</v>
      </c>
      <c r="E34" s="12">
        <f t="shared" si="0"/>
        <v>1781</v>
      </c>
      <c r="F34" s="184">
        <v>1820</v>
      </c>
      <c r="I34" s="186"/>
      <c r="J34" s="186"/>
      <c r="K34" s="186"/>
      <c r="L34" s="101"/>
    </row>
    <row r="35" spans="1:12" s="100" customFormat="1" x14ac:dyDescent="0.15">
      <c r="A35" s="100" t="s">
        <v>40</v>
      </c>
      <c r="B35" s="100" t="s">
        <v>1886</v>
      </c>
      <c r="C35" s="100" t="s">
        <v>1761</v>
      </c>
      <c r="D35" s="177" t="s">
        <v>672</v>
      </c>
      <c r="E35" s="12">
        <f t="shared" si="0"/>
        <v>1821</v>
      </c>
      <c r="F35" s="217">
        <v>1860</v>
      </c>
      <c r="G35" s="101">
        <v>1.5</v>
      </c>
      <c r="H35" s="101">
        <v>0.3</v>
      </c>
      <c r="I35" s="186">
        <v>2</v>
      </c>
      <c r="J35" s="186">
        <v>0.8</v>
      </c>
      <c r="K35" s="186">
        <v>0.6</v>
      </c>
      <c r="L35" s="101">
        <v>0.5</v>
      </c>
    </row>
    <row r="36" spans="1:12" x14ac:dyDescent="0.15">
      <c r="A36" s="98" t="s">
        <v>40</v>
      </c>
      <c r="B36" s="98" t="s">
        <v>1886</v>
      </c>
      <c r="C36" s="98" t="s">
        <v>1761</v>
      </c>
      <c r="D36" s="179" t="s">
        <v>673</v>
      </c>
      <c r="E36" s="12">
        <f t="shared" si="0"/>
        <v>1861</v>
      </c>
      <c r="F36" s="184">
        <v>1900</v>
      </c>
      <c r="G36" s="102"/>
      <c r="H36" s="102"/>
      <c r="I36" s="187"/>
      <c r="J36" s="186"/>
      <c r="K36" s="186"/>
      <c r="L36" s="101"/>
    </row>
    <row r="37" spans="1:12" x14ac:dyDescent="0.15">
      <c r="A37" s="98" t="s">
        <v>40</v>
      </c>
      <c r="B37" s="98" t="s">
        <v>1886</v>
      </c>
      <c r="C37" s="98" t="s">
        <v>1761</v>
      </c>
      <c r="D37" s="179" t="s">
        <v>674</v>
      </c>
      <c r="E37" s="12">
        <f t="shared" si="0"/>
        <v>1901</v>
      </c>
      <c r="F37" s="184">
        <v>1940</v>
      </c>
      <c r="I37" s="186"/>
      <c r="J37" s="186"/>
      <c r="K37" s="186"/>
      <c r="L37" s="101"/>
    </row>
    <row r="38" spans="1:12" x14ac:dyDescent="0.15">
      <c r="A38" s="98" t="s">
        <v>40</v>
      </c>
      <c r="B38" s="98" t="s">
        <v>1886</v>
      </c>
      <c r="C38" s="98" t="s">
        <v>1761</v>
      </c>
      <c r="D38" s="179" t="s">
        <v>675</v>
      </c>
      <c r="E38" s="12">
        <f t="shared" si="0"/>
        <v>1941</v>
      </c>
      <c r="F38" s="184">
        <v>1980</v>
      </c>
      <c r="I38" s="186"/>
      <c r="J38" s="186"/>
      <c r="K38" s="186"/>
      <c r="L38" s="101"/>
    </row>
    <row r="39" spans="1:12" x14ac:dyDescent="0.15">
      <c r="A39" s="98" t="s">
        <v>40</v>
      </c>
      <c r="B39" s="98" t="s">
        <v>1886</v>
      </c>
      <c r="C39" s="98" t="s">
        <v>1761</v>
      </c>
      <c r="D39" s="179" t="s">
        <v>676</v>
      </c>
      <c r="E39" s="12">
        <f t="shared" si="0"/>
        <v>1981</v>
      </c>
      <c r="F39" s="184">
        <v>2020</v>
      </c>
      <c r="I39" s="186"/>
      <c r="J39" s="186"/>
      <c r="K39" s="186"/>
      <c r="L39" s="101"/>
    </row>
    <row r="40" spans="1:12" x14ac:dyDescent="0.15">
      <c r="A40" s="98" t="s">
        <v>40</v>
      </c>
      <c r="B40" s="98" t="s">
        <v>1886</v>
      </c>
      <c r="C40" s="98" t="s">
        <v>1761</v>
      </c>
      <c r="D40" s="179" t="s">
        <v>677</v>
      </c>
      <c r="E40" s="12">
        <f t="shared" si="0"/>
        <v>2021</v>
      </c>
      <c r="F40" s="184">
        <v>2060</v>
      </c>
      <c r="I40" s="186"/>
      <c r="J40" s="186"/>
      <c r="K40" s="186"/>
      <c r="L40" s="101"/>
    </row>
    <row r="41" spans="1:12" x14ac:dyDescent="0.15">
      <c r="A41" s="98" t="s">
        <v>40</v>
      </c>
      <c r="B41" s="98" t="s">
        <v>1886</v>
      </c>
      <c r="C41" s="98" t="s">
        <v>1761</v>
      </c>
      <c r="D41" s="179" t="s">
        <v>678</v>
      </c>
      <c r="E41" s="12">
        <f t="shared" si="0"/>
        <v>2061</v>
      </c>
      <c r="F41" s="184">
        <v>2100</v>
      </c>
      <c r="I41" s="186"/>
      <c r="J41" s="186"/>
      <c r="K41" s="186"/>
      <c r="L41" s="101"/>
    </row>
    <row r="42" spans="1:12" x14ac:dyDescent="0.15">
      <c r="A42" s="98" t="s">
        <v>40</v>
      </c>
      <c r="B42" s="98" t="s">
        <v>1886</v>
      </c>
      <c r="C42" s="98" t="s">
        <v>1761</v>
      </c>
      <c r="D42" s="179" t="s">
        <v>679</v>
      </c>
      <c r="E42" s="12">
        <f t="shared" si="0"/>
        <v>2101</v>
      </c>
      <c r="F42" s="184">
        <v>2140</v>
      </c>
      <c r="I42" s="186"/>
      <c r="J42" s="186"/>
      <c r="K42" s="186"/>
      <c r="L42" s="101"/>
    </row>
    <row r="43" spans="1:12" x14ac:dyDescent="0.15">
      <c r="A43" s="98" t="s">
        <v>40</v>
      </c>
      <c r="B43" s="98" t="s">
        <v>1886</v>
      </c>
      <c r="C43" s="98" t="s">
        <v>1761</v>
      </c>
      <c r="D43" s="179" t="s">
        <v>680</v>
      </c>
      <c r="E43" s="12">
        <f t="shared" si="0"/>
        <v>2141</v>
      </c>
      <c r="F43" s="184">
        <v>2180</v>
      </c>
      <c r="I43" s="186"/>
      <c r="J43" s="186"/>
      <c r="K43" s="186"/>
      <c r="L43" s="101"/>
    </row>
    <row r="44" spans="1:12" s="100" customFormat="1" x14ac:dyDescent="0.15">
      <c r="A44" s="100" t="s">
        <v>40</v>
      </c>
      <c r="B44" s="100" t="s">
        <v>1860</v>
      </c>
      <c r="C44" s="100" t="s">
        <v>1762</v>
      </c>
      <c r="D44" s="177" t="s">
        <v>681</v>
      </c>
      <c r="E44" s="12">
        <f t="shared" si="0"/>
        <v>2181</v>
      </c>
      <c r="F44" s="217">
        <v>2220</v>
      </c>
      <c r="G44" s="101">
        <v>1</v>
      </c>
      <c r="H44" s="101">
        <v>0.2</v>
      </c>
      <c r="I44" s="186">
        <v>1.5</v>
      </c>
      <c r="J44" s="186">
        <v>0.6</v>
      </c>
      <c r="K44" s="186">
        <v>0.6</v>
      </c>
      <c r="L44" s="101">
        <v>0.35</v>
      </c>
    </row>
    <row r="45" spans="1:12" x14ac:dyDescent="0.15">
      <c r="A45" s="98" t="s">
        <v>40</v>
      </c>
      <c r="B45" s="98" t="s">
        <v>1860</v>
      </c>
      <c r="C45" s="98" t="s">
        <v>1762</v>
      </c>
      <c r="D45" s="179" t="s">
        <v>719</v>
      </c>
      <c r="E45" s="12">
        <f t="shared" si="0"/>
        <v>2221</v>
      </c>
      <c r="F45" s="184">
        <v>2260</v>
      </c>
      <c r="G45" s="102"/>
      <c r="H45" s="102"/>
      <c r="I45" s="187"/>
      <c r="J45" s="186"/>
      <c r="K45" s="186"/>
      <c r="L45" s="101"/>
    </row>
    <row r="46" spans="1:12" x14ac:dyDescent="0.15">
      <c r="A46" s="98" t="s">
        <v>40</v>
      </c>
      <c r="B46" s="98" t="s">
        <v>1860</v>
      </c>
      <c r="C46" s="98" t="s">
        <v>1762</v>
      </c>
      <c r="D46" s="179" t="s">
        <v>720</v>
      </c>
      <c r="E46" s="12">
        <f t="shared" si="0"/>
        <v>2261</v>
      </c>
      <c r="F46" s="184">
        <v>2300</v>
      </c>
      <c r="I46" s="186"/>
      <c r="J46" s="186"/>
      <c r="K46" s="186"/>
      <c r="L46" s="101"/>
    </row>
    <row r="47" spans="1:12" x14ac:dyDescent="0.15">
      <c r="A47" s="98" t="s">
        <v>40</v>
      </c>
      <c r="B47" s="98" t="s">
        <v>1860</v>
      </c>
      <c r="C47" s="98" t="s">
        <v>1762</v>
      </c>
      <c r="D47" s="179" t="s">
        <v>721</v>
      </c>
      <c r="E47" s="12">
        <f t="shared" si="0"/>
        <v>2301</v>
      </c>
      <c r="F47" s="184">
        <v>2340</v>
      </c>
      <c r="I47" s="186"/>
      <c r="J47" s="186"/>
      <c r="K47" s="186"/>
      <c r="L47" s="101"/>
    </row>
    <row r="48" spans="1:12" x14ac:dyDescent="0.15">
      <c r="A48" s="98" t="s">
        <v>40</v>
      </c>
      <c r="B48" s="98" t="s">
        <v>1860</v>
      </c>
      <c r="C48" s="98" t="s">
        <v>1762</v>
      </c>
      <c r="D48" s="179" t="s">
        <v>722</v>
      </c>
      <c r="E48" s="12">
        <f t="shared" si="0"/>
        <v>2341</v>
      </c>
      <c r="F48" s="184">
        <v>2380</v>
      </c>
      <c r="I48" s="186"/>
      <c r="J48" s="186"/>
      <c r="K48" s="186"/>
      <c r="L48" s="101"/>
    </row>
    <row r="49" spans="1:12" x14ac:dyDescent="0.15">
      <c r="A49" s="98" t="s">
        <v>40</v>
      </c>
      <c r="B49" s="98" t="s">
        <v>1860</v>
      </c>
      <c r="C49" s="98" t="s">
        <v>1762</v>
      </c>
      <c r="D49" s="179" t="s">
        <v>723</v>
      </c>
      <c r="E49" s="12">
        <f t="shared" si="0"/>
        <v>2381</v>
      </c>
      <c r="F49" s="184">
        <v>2420</v>
      </c>
      <c r="I49" s="186"/>
      <c r="J49" s="186"/>
      <c r="K49" s="186"/>
      <c r="L49" s="101"/>
    </row>
    <row r="50" spans="1:12" x14ac:dyDescent="0.15">
      <c r="A50" s="98" t="s">
        <v>40</v>
      </c>
      <c r="B50" s="98" t="s">
        <v>1860</v>
      </c>
      <c r="C50" s="98" t="s">
        <v>1762</v>
      </c>
      <c r="D50" s="179" t="s">
        <v>724</v>
      </c>
      <c r="E50" s="12">
        <f t="shared" si="0"/>
        <v>2421</v>
      </c>
      <c r="F50" s="184">
        <v>2460</v>
      </c>
      <c r="I50" s="186"/>
      <c r="J50" s="186"/>
      <c r="K50" s="186"/>
      <c r="L50" s="101"/>
    </row>
    <row r="51" spans="1:12" x14ac:dyDescent="0.15">
      <c r="A51" s="98" t="s">
        <v>40</v>
      </c>
      <c r="B51" s="98" t="s">
        <v>1860</v>
      </c>
      <c r="C51" s="98" t="s">
        <v>1762</v>
      </c>
      <c r="D51" s="179" t="s">
        <v>725</v>
      </c>
      <c r="E51" s="12">
        <f t="shared" si="0"/>
        <v>2461</v>
      </c>
      <c r="F51" s="184">
        <v>2500</v>
      </c>
      <c r="I51" s="186"/>
      <c r="J51" s="186"/>
      <c r="K51" s="186"/>
      <c r="L51" s="101"/>
    </row>
    <row r="52" spans="1:12" x14ac:dyDescent="0.15">
      <c r="A52" s="98" t="s">
        <v>40</v>
      </c>
      <c r="B52" s="98" t="s">
        <v>1860</v>
      </c>
      <c r="C52" s="98" t="s">
        <v>1762</v>
      </c>
      <c r="D52" s="179" t="s">
        <v>726</v>
      </c>
      <c r="E52" s="12">
        <f t="shared" si="0"/>
        <v>2501</v>
      </c>
      <c r="F52" s="184">
        <v>2550</v>
      </c>
      <c r="I52" s="186"/>
      <c r="J52" s="186"/>
      <c r="K52" s="186"/>
      <c r="L52" s="101"/>
    </row>
    <row r="53" spans="1:12" s="100" customFormat="1" x14ac:dyDescent="0.15">
      <c r="A53" s="100" t="s">
        <v>40</v>
      </c>
      <c r="B53" s="100" t="s">
        <v>1855</v>
      </c>
      <c r="C53" s="100" t="s">
        <v>1855</v>
      </c>
      <c r="D53" s="177" t="s">
        <v>690</v>
      </c>
      <c r="E53" s="12">
        <f t="shared" si="0"/>
        <v>2551</v>
      </c>
      <c r="F53" s="217">
        <v>2600</v>
      </c>
      <c r="G53" s="101">
        <v>0.5</v>
      </c>
      <c r="H53" s="101">
        <v>0.1</v>
      </c>
      <c r="I53" s="186">
        <v>0.8</v>
      </c>
      <c r="J53" s="186">
        <v>0.3</v>
      </c>
      <c r="K53" s="186">
        <v>0.6</v>
      </c>
      <c r="L53" s="101">
        <v>0.2</v>
      </c>
    </row>
    <row r="54" spans="1:12" x14ac:dyDescent="0.15">
      <c r="A54" s="98" t="s">
        <v>40</v>
      </c>
      <c r="B54" s="98" t="s">
        <v>1855</v>
      </c>
      <c r="C54" s="98" t="s">
        <v>1855</v>
      </c>
      <c r="D54" s="179" t="s">
        <v>727</v>
      </c>
      <c r="E54" s="12">
        <f t="shared" si="0"/>
        <v>2601</v>
      </c>
      <c r="F54" s="184">
        <v>2650</v>
      </c>
      <c r="I54" s="186"/>
      <c r="J54" s="186"/>
      <c r="K54" s="186"/>
      <c r="L54" s="101"/>
    </row>
    <row r="55" spans="1:12" x14ac:dyDescent="0.15">
      <c r="A55" s="98" t="s">
        <v>40</v>
      </c>
      <c r="B55" s="98" t="s">
        <v>1855</v>
      </c>
      <c r="C55" s="98" t="s">
        <v>1855</v>
      </c>
      <c r="D55" s="179" t="s">
        <v>483</v>
      </c>
      <c r="E55" s="12">
        <f t="shared" si="0"/>
        <v>2651</v>
      </c>
      <c r="F55" s="184">
        <v>2700</v>
      </c>
      <c r="I55" s="186"/>
      <c r="J55" s="186"/>
      <c r="K55" s="186"/>
      <c r="L55" s="101"/>
    </row>
    <row r="56" spans="1:12" x14ac:dyDescent="0.15">
      <c r="A56" s="98" t="s">
        <v>40</v>
      </c>
      <c r="B56" s="98" t="s">
        <v>1855</v>
      </c>
      <c r="C56" s="98" t="s">
        <v>1855</v>
      </c>
      <c r="D56" s="179" t="s">
        <v>504</v>
      </c>
      <c r="E56" s="12">
        <f t="shared" si="0"/>
        <v>2701</v>
      </c>
      <c r="F56" s="184">
        <v>2750</v>
      </c>
      <c r="I56" s="186"/>
      <c r="J56" s="186"/>
      <c r="K56" s="186"/>
      <c r="L56" s="10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F493-86A6-418F-AA59-1E8313174E70}">
  <sheetPr>
    <tabColor rgb="FFFFFF00"/>
  </sheetPr>
  <dimension ref="A1:L54"/>
  <sheetViews>
    <sheetView workbookViewId="0">
      <selection activeCell="L52" sqref="L52"/>
    </sheetView>
  </sheetViews>
  <sheetFormatPr defaultRowHeight="10.5" x14ac:dyDescent="0.15"/>
  <cols>
    <col min="1" max="1" width="10.85546875" style="98" bestFit="1" customWidth="1"/>
    <col min="2" max="2" width="29.42578125" style="98" bestFit="1" customWidth="1"/>
    <col min="3" max="3" width="11.85546875" style="98" bestFit="1" customWidth="1"/>
    <col min="4" max="4" width="56.7109375" style="98" bestFit="1" customWidth="1"/>
    <col min="5" max="5" width="9.5703125" style="98" bestFit="1" customWidth="1"/>
    <col min="6" max="6" width="8.28515625" style="98" bestFit="1" customWidth="1"/>
    <col min="7" max="9" width="12.85546875" style="102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100" customFormat="1" x14ac:dyDescent="0.15">
      <c r="A2" s="100" t="s">
        <v>45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10</v>
      </c>
      <c r="G2" s="101">
        <v>0.26</v>
      </c>
      <c r="H2" s="101">
        <v>0.1</v>
      </c>
      <c r="I2" s="186">
        <v>0.1</v>
      </c>
      <c r="J2" s="186">
        <v>0.17</v>
      </c>
      <c r="K2" s="186">
        <v>0.12</v>
      </c>
      <c r="L2" s="186">
        <v>0.7</v>
      </c>
    </row>
    <row r="3" spans="1:12" x14ac:dyDescent="0.15">
      <c r="A3" s="98" t="s">
        <v>45</v>
      </c>
      <c r="B3" s="98" t="s">
        <v>1759</v>
      </c>
      <c r="C3" s="98" t="s">
        <v>1759</v>
      </c>
      <c r="D3" s="179" t="s">
        <v>374</v>
      </c>
      <c r="E3" s="12">
        <f>F2+1</f>
        <v>11</v>
      </c>
      <c r="F3" s="184">
        <v>40</v>
      </c>
      <c r="I3" s="187"/>
      <c r="J3" s="186"/>
      <c r="K3" s="186"/>
      <c r="L3" s="186"/>
    </row>
    <row r="4" spans="1:12" x14ac:dyDescent="0.15">
      <c r="A4" s="98" t="s">
        <v>45</v>
      </c>
      <c r="B4" s="98" t="s">
        <v>1759</v>
      </c>
      <c r="C4" s="98" t="s">
        <v>1759</v>
      </c>
      <c r="D4" s="179" t="s">
        <v>375</v>
      </c>
      <c r="E4" s="12">
        <f t="shared" ref="E4:E54" si="0">F3+1</f>
        <v>41</v>
      </c>
      <c r="F4" s="184">
        <v>80</v>
      </c>
      <c r="I4" s="187"/>
      <c r="J4" s="186"/>
      <c r="K4" s="186"/>
      <c r="L4" s="186"/>
    </row>
    <row r="5" spans="1:12" x14ac:dyDescent="0.15">
      <c r="A5" s="98" t="s">
        <v>45</v>
      </c>
      <c r="B5" s="98" t="s">
        <v>1759</v>
      </c>
      <c r="C5" s="98" t="s">
        <v>1759</v>
      </c>
      <c r="D5" s="179" t="s">
        <v>414</v>
      </c>
      <c r="E5" s="12">
        <f t="shared" si="0"/>
        <v>81</v>
      </c>
      <c r="F5" s="184">
        <v>100</v>
      </c>
      <c r="I5" s="187"/>
      <c r="J5" s="186"/>
      <c r="K5" s="186"/>
      <c r="L5" s="186"/>
    </row>
    <row r="6" spans="1:12" x14ac:dyDescent="0.15">
      <c r="A6" s="98" t="s">
        <v>45</v>
      </c>
      <c r="B6" s="98" t="s">
        <v>1759</v>
      </c>
      <c r="C6" s="98" t="s">
        <v>1759</v>
      </c>
      <c r="D6" s="179" t="s">
        <v>415</v>
      </c>
      <c r="E6" s="12">
        <f t="shared" si="0"/>
        <v>101</v>
      </c>
      <c r="F6" s="184">
        <v>110</v>
      </c>
      <c r="I6" s="187"/>
      <c r="J6" s="186"/>
      <c r="K6" s="186"/>
      <c r="L6" s="186"/>
    </row>
    <row r="7" spans="1:12" x14ac:dyDescent="0.15">
      <c r="A7" s="98" t="s">
        <v>45</v>
      </c>
      <c r="B7" s="98" t="s">
        <v>1759</v>
      </c>
      <c r="C7" s="98" t="s">
        <v>1759</v>
      </c>
      <c r="D7" s="179" t="s">
        <v>416</v>
      </c>
      <c r="E7" s="12">
        <f t="shared" si="0"/>
        <v>111</v>
      </c>
      <c r="F7" s="184">
        <v>120</v>
      </c>
      <c r="I7" s="187"/>
      <c r="J7" s="186"/>
      <c r="K7" s="186"/>
      <c r="L7" s="186"/>
    </row>
    <row r="8" spans="1:12" x14ac:dyDescent="0.15">
      <c r="A8" s="98" t="s">
        <v>45</v>
      </c>
      <c r="B8" s="98" t="s">
        <v>1759</v>
      </c>
      <c r="C8" s="98" t="s">
        <v>1759</v>
      </c>
      <c r="D8" s="179" t="s">
        <v>417</v>
      </c>
      <c r="E8" s="12">
        <f t="shared" si="0"/>
        <v>121</v>
      </c>
      <c r="F8" s="184">
        <v>140</v>
      </c>
      <c r="I8" s="187"/>
      <c r="J8" s="186"/>
      <c r="K8" s="186"/>
      <c r="L8" s="186"/>
    </row>
    <row r="9" spans="1:12" s="100" customFormat="1" x14ac:dyDescent="0.15">
      <c r="A9" s="100" t="s">
        <v>45</v>
      </c>
      <c r="B9" s="100" t="s">
        <v>1861</v>
      </c>
      <c r="C9" s="100" t="s">
        <v>1760</v>
      </c>
      <c r="D9" s="177" t="s">
        <v>534</v>
      </c>
      <c r="E9" s="216">
        <f t="shared" si="0"/>
        <v>141</v>
      </c>
      <c r="F9" s="217">
        <v>170</v>
      </c>
      <c r="G9" s="101">
        <v>1.46</v>
      </c>
      <c r="H9" s="101">
        <v>0.5</v>
      </c>
      <c r="I9" s="186">
        <v>0.75</v>
      </c>
      <c r="J9" s="186">
        <v>0.44</v>
      </c>
      <c r="K9" s="186">
        <v>0.2</v>
      </c>
      <c r="L9" s="186">
        <v>0.45</v>
      </c>
    </row>
    <row r="10" spans="1:12" x14ac:dyDescent="0.15">
      <c r="A10" s="98" t="s">
        <v>45</v>
      </c>
      <c r="B10" s="98" t="s">
        <v>1861</v>
      </c>
      <c r="C10" s="98" t="s">
        <v>1760</v>
      </c>
      <c r="D10" s="179" t="s">
        <v>535</v>
      </c>
      <c r="E10" s="12">
        <f t="shared" si="0"/>
        <v>171</v>
      </c>
      <c r="F10" s="184">
        <v>210</v>
      </c>
      <c r="I10" s="187"/>
      <c r="J10" s="186"/>
      <c r="K10" s="186"/>
      <c r="L10" s="186"/>
    </row>
    <row r="11" spans="1:12" x14ac:dyDescent="0.15">
      <c r="A11" s="98" t="s">
        <v>45</v>
      </c>
      <c r="B11" s="98" t="s">
        <v>1861</v>
      </c>
      <c r="C11" s="98" t="s">
        <v>1760</v>
      </c>
      <c r="D11" s="179" t="s">
        <v>536</v>
      </c>
      <c r="E11" s="12">
        <f t="shared" si="0"/>
        <v>211</v>
      </c>
      <c r="F11" s="184">
        <v>260</v>
      </c>
      <c r="I11" s="187"/>
      <c r="J11" s="186"/>
      <c r="K11" s="186"/>
      <c r="L11" s="186"/>
    </row>
    <row r="12" spans="1:12" x14ac:dyDescent="0.15">
      <c r="A12" s="98" t="s">
        <v>45</v>
      </c>
      <c r="B12" s="98" t="s">
        <v>1861</v>
      </c>
      <c r="C12" s="98" t="s">
        <v>1760</v>
      </c>
      <c r="D12" s="179" t="s">
        <v>537</v>
      </c>
      <c r="E12" s="12">
        <f t="shared" si="0"/>
        <v>261</v>
      </c>
      <c r="F12" s="184">
        <v>310</v>
      </c>
      <c r="I12" s="187"/>
      <c r="J12" s="186"/>
      <c r="K12" s="186"/>
      <c r="L12" s="186"/>
    </row>
    <row r="13" spans="1:12" x14ac:dyDescent="0.15">
      <c r="A13" s="98" t="s">
        <v>45</v>
      </c>
      <c r="B13" s="98" t="s">
        <v>1861</v>
      </c>
      <c r="C13" s="98" t="s">
        <v>1760</v>
      </c>
      <c r="D13" s="179" t="s">
        <v>538</v>
      </c>
      <c r="E13" s="12">
        <f t="shared" si="0"/>
        <v>311</v>
      </c>
      <c r="F13" s="184">
        <v>350</v>
      </c>
      <c r="I13" s="187"/>
      <c r="J13" s="186"/>
      <c r="K13" s="186"/>
      <c r="L13" s="186"/>
    </row>
    <row r="14" spans="1:12" s="100" customFormat="1" x14ac:dyDescent="0.15">
      <c r="A14" s="100" t="s">
        <v>45</v>
      </c>
      <c r="B14" s="100" t="s">
        <v>1849</v>
      </c>
      <c r="C14" s="100" t="s">
        <v>1760</v>
      </c>
      <c r="D14" s="177" t="s">
        <v>539</v>
      </c>
      <c r="E14" s="216">
        <f t="shared" si="0"/>
        <v>351</v>
      </c>
      <c r="F14" s="217">
        <v>400</v>
      </c>
      <c r="G14" s="101">
        <v>1.95</v>
      </c>
      <c r="H14" s="101">
        <v>0.63</v>
      </c>
      <c r="I14" s="186">
        <v>1.1299999999999999</v>
      </c>
      <c r="J14" s="186">
        <v>0.75</v>
      </c>
      <c r="K14" s="186">
        <v>0.3</v>
      </c>
      <c r="L14" s="186">
        <v>0.55000000000000004</v>
      </c>
    </row>
    <row r="15" spans="1:12" x14ac:dyDescent="0.15">
      <c r="A15" s="98" t="s">
        <v>45</v>
      </c>
      <c r="B15" s="98" t="s">
        <v>1849</v>
      </c>
      <c r="C15" s="98" t="s">
        <v>1760</v>
      </c>
      <c r="D15" s="179" t="s">
        <v>540</v>
      </c>
      <c r="E15" s="12">
        <f t="shared" si="0"/>
        <v>401</v>
      </c>
      <c r="F15" s="184">
        <v>450</v>
      </c>
      <c r="I15" s="187"/>
      <c r="J15" s="186"/>
      <c r="K15" s="186"/>
      <c r="L15" s="186"/>
    </row>
    <row r="16" spans="1:12" x14ac:dyDescent="0.15">
      <c r="A16" s="98" t="s">
        <v>45</v>
      </c>
      <c r="B16" s="98" t="s">
        <v>1849</v>
      </c>
      <c r="C16" s="98" t="s">
        <v>1760</v>
      </c>
      <c r="D16" s="179" t="s">
        <v>541</v>
      </c>
      <c r="E16" s="12">
        <f t="shared" si="0"/>
        <v>451</v>
      </c>
      <c r="F16" s="184">
        <v>500</v>
      </c>
      <c r="I16" s="187"/>
      <c r="J16" s="186"/>
      <c r="K16" s="186"/>
      <c r="L16" s="186"/>
    </row>
    <row r="17" spans="1:12" x14ac:dyDescent="0.15">
      <c r="A17" s="98" t="s">
        <v>45</v>
      </c>
      <c r="B17" s="98" t="s">
        <v>1849</v>
      </c>
      <c r="C17" s="98" t="s">
        <v>1760</v>
      </c>
      <c r="D17" s="179" t="s">
        <v>576</v>
      </c>
      <c r="E17" s="12">
        <f t="shared" si="0"/>
        <v>501</v>
      </c>
      <c r="F17" s="184">
        <v>540</v>
      </c>
      <c r="I17" s="187"/>
      <c r="J17" s="186"/>
      <c r="K17" s="186"/>
      <c r="L17" s="186"/>
    </row>
    <row r="18" spans="1:12" x14ac:dyDescent="0.15">
      <c r="A18" s="98" t="s">
        <v>45</v>
      </c>
      <c r="B18" s="98" t="s">
        <v>1849</v>
      </c>
      <c r="C18" s="98" t="s">
        <v>1760</v>
      </c>
      <c r="D18" s="179" t="s">
        <v>543</v>
      </c>
      <c r="E18" s="12">
        <f t="shared" si="0"/>
        <v>541</v>
      </c>
      <c r="F18" s="184">
        <v>550</v>
      </c>
      <c r="I18" s="187"/>
      <c r="J18" s="186"/>
      <c r="K18" s="186"/>
      <c r="L18" s="186"/>
    </row>
    <row r="19" spans="1:12" s="100" customFormat="1" x14ac:dyDescent="0.15">
      <c r="A19" s="100" t="s">
        <v>45</v>
      </c>
      <c r="B19" s="100" t="s">
        <v>1850</v>
      </c>
      <c r="C19" s="100" t="s">
        <v>1760</v>
      </c>
      <c r="D19" s="177" t="s">
        <v>512</v>
      </c>
      <c r="E19" s="216">
        <f t="shared" si="0"/>
        <v>551</v>
      </c>
      <c r="F19" s="217">
        <v>600</v>
      </c>
      <c r="G19" s="101">
        <v>1.95</v>
      </c>
      <c r="H19" s="101">
        <v>0.36</v>
      </c>
      <c r="I19" s="186">
        <v>1.29</v>
      </c>
      <c r="J19" s="186">
        <v>0.93</v>
      </c>
      <c r="K19" s="186">
        <v>0.4</v>
      </c>
      <c r="L19" s="186">
        <v>0.6</v>
      </c>
    </row>
    <row r="20" spans="1:12" x14ac:dyDescent="0.15">
      <c r="A20" s="98" t="s">
        <v>45</v>
      </c>
      <c r="B20" s="98" t="s">
        <v>1850</v>
      </c>
      <c r="C20" s="98" t="s">
        <v>1760</v>
      </c>
      <c r="D20" s="179" t="s">
        <v>390</v>
      </c>
      <c r="E20" s="12">
        <f t="shared" si="0"/>
        <v>601</v>
      </c>
      <c r="F20" s="184">
        <v>660</v>
      </c>
      <c r="I20" s="187"/>
      <c r="J20" s="186"/>
      <c r="K20" s="186"/>
      <c r="L20" s="186"/>
    </row>
    <row r="21" spans="1:12" x14ac:dyDescent="0.15">
      <c r="A21" s="98" t="s">
        <v>45</v>
      </c>
      <c r="B21" s="98" t="s">
        <v>1850</v>
      </c>
      <c r="C21" s="98" t="s">
        <v>1760</v>
      </c>
      <c r="D21" s="179" t="s">
        <v>391</v>
      </c>
      <c r="E21" s="12">
        <f t="shared" si="0"/>
        <v>661</v>
      </c>
      <c r="F21" s="184">
        <v>720</v>
      </c>
      <c r="I21" s="187"/>
      <c r="J21" s="186"/>
      <c r="K21" s="186"/>
      <c r="L21" s="186"/>
    </row>
    <row r="22" spans="1:12" x14ac:dyDescent="0.15">
      <c r="A22" s="98" t="s">
        <v>45</v>
      </c>
      <c r="B22" s="98" t="s">
        <v>1850</v>
      </c>
      <c r="C22" s="98" t="s">
        <v>1760</v>
      </c>
      <c r="D22" s="179" t="s">
        <v>392</v>
      </c>
      <c r="E22" s="12">
        <f t="shared" si="0"/>
        <v>721</v>
      </c>
      <c r="F22" s="184">
        <v>780</v>
      </c>
      <c r="I22" s="187"/>
      <c r="J22" s="186"/>
      <c r="K22" s="186"/>
      <c r="L22" s="186"/>
    </row>
    <row r="23" spans="1:12" x14ac:dyDescent="0.15">
      <c r="A23" s="98" t="s">
        <v>45</v>
      </c>
      <c r="B23" s="98" t="s">
        <v>1850</v>
      </c>
      <c r="C23" s="98" t="s">
        <v>1760</v>
      </c>
      <c r="D23" s="179" t="s">
        <v>544</v>
      </c>
      <c r="E23" s="12">
        <f t="shared" si="0"/>
        <v>781</v>
      </c>
      <c r="F23" s="184">
        <v>840</v>
      </c>
      <c r="I23" s="187"/>
      <c r="J23" s="186"/>
      <c r="K23" s="186"/>
      <c r="L23" s="186"/>
    </row>
    <row r="24" spans="1:12" x14ac:dyDescent="0.15">
      <c r="A24" s="98" t="s">
        <v>45</v>
      </c>
      <c r="B24" s="98" t="s">
        <v>1850</v>
      </c>
      <c r="C24" s="98" t="s">
        <v>1760</v>
      </c>
      <c r="D24" s="179" t="s">
        <v>394</v>
      </c>
      <c r="E24" s="12">
        <f t="shared" si="0"/>
        <v>841</v>
      </c>
      <c r="F24" s="184">
        <v>900</v>
      </c>
      <c r="I24" s="187"/>
      <c r="J24" s="186"/>
      <c r="K24" s="186"/>
      <c r="L24" s="186"/>
    </row>
    <row r="25" spans="1:12" s="100" customFormat="1" x14ac:dyDescent="0.15">
      <c r="A25" s="100" t="s">
        <v>45</v>
      </c>
      <c r="B25" s="100" t="s">
        <v>1851</v>
      </c>
      <c r="C25" s="100" t="s">
        <v>1760</v>
      </c>
      <c r="D25" s="177" t="s">
        <v>545</v>
      </c>
      <c r="E25" s="216">
        <f t="shared" si="0"/>
        <v>901</v>
      </c>
      <c r="F25" s="217">
        <v>960</v>
      </c>
      <c r="G25" s="101">
        <v>0.62</v>
      </c>
      <c r="H25" s="101">
        <v>0.2</v>
      </c>
      <c r="I25" s="186">
        <v>0.9</v>
      </c>
      <c r="J25" s="186">
        <v>1.03</v>
      </c>
      <c r="K25" s="186">
        <v>0.5</v>
      </c>
      <c r="L25" s="186">
        <v>0.75</v>
      </c>
    </row>
    <row r="26" spans="1:12" x14ac:dyDescent="0.15">
      <c r="A26" s="98" t="s">
        <v>45</v>
      </c>
      <c r="B26" s="98" t="s">
        <v>1851</v>
      </c>
      <c r="C26" s="98" t="s">
        <v>1760</v>
      </c>
      <c r="D26" s="179" t="s">
        <v>546</v>
      </c>
      <c r="E26" s="12">
        <f t="shared" si="0"/>
        <v>961</v>
      </c>
      <c r="F26" s="184">
        <v>1020</v>
      </c>
      <c r="I26" s="187"/>
      <c r="J26" s="186"/>
      <c r="K26" s="186"/>
      <c r="L26" s="186"/>
    </row>
    <row r="27" spans="1:12" x14ac:dyDescent="0.15">
      <c r="A27" s="98" t="s">
        <v>45</v>
      </c>
      <c r="B27" s="98" t="s">
        <v>1851</v>
      </c>
      <c r="C27" s="98" t="s">
        <v>1760</v>
      </c>
      <c r="D27" s="179" t="s">
        <v>547</v>
      </c>
      <c r="E27" s="12">
        <f t="shared" si="0"/>
        <v>1021</v>
      </c>
      <c r="F27" s="184">
        <v>1080</v>
      </c>
      <c r="I27" s="187"/>
      <c r="J27" s="186"/>
      <c r="K27" s="186"/>
      <c r="L27" s="186"/>
    </row>
    <row r="28" spans="1:12" x14ac:dyDescent="0.15">
      <c r="A28" s="98" t="s">
        <v>45</v>
      </c>
      <c r="B28" s="98" t="s">
        <v>1851</v>
      </c>
      <c r="C28" s="98" t="s">
        <v>1760</v>
      </c>
      <c r="D28" s="179" t="s">
        <v>548</v>
      </c>
      <c r="E28" s="12">
        <f t="shared" si="0"/>
        <v>1081</v>
      </c>
      <c r="F28" s="184">
        <v>1120</v>
      </c>
      <c r="I28" s="187"/>
      <c r="J28" s="186"/>
      <c r="K28" s="186"/>
      <c r="L28" s="186"/>
    </row>
    <row r="29" spans="1:12" x14ac:dyDescent="0.15">
      <c r="A29" s="98" t="s">
        <v>45</v>
      </c>
      <c r="B29" s="98" t="s">
        <v>1851</v>
      </c>
      <c r="C29" s="98" t="s">
        <v>1760</v>
      </c>
      <c r="D29" s="179" t="s">
        <v>592</v>
      </c>
      <c r="E29" s="12">
        <f t="shared" si="0"/>
        <v>1121</v>
      </c>
      <c r="F29" s="184">
        <v>1160</v>
      </c>
      <c r="I29" s="187"/>
      <c r="J29" s="186"/>
      <c r="K29" s="186"/>
      <c r="L29" s="186"/>
    </row>
    <row r="30" spans="1:12" s="100" customFormat="1" x14ac:dyDescent="0.15">
      <c r="A30" s="100" t="s">
        <v>45</v>
      </c>
      <c r="B30" s="100" t="s">
        <v>1893</v>
      </c>
      <c r="C30" s="100" t="s">
        <v>1761</v>
      </c>
      <c r="D30" s="177" t="s">
        <v>550</v>
      </c>
      <c r="E30" s="216">
        <f t="shared" si="0"/>
        <v>1161</v>
      </c>
      <c r="F30" s="217">
        <v>1200</v>
      </c>
      <c r="G30" s="101">
        <v>0.48</v>
      </c>
      <c r="H30" s="101">
        <v>0.12</v>
      </c>
      <c r="I30" s="186">
        <v>0.69</v>
      </c>
      <c r="J30" s="186">
        <v>1</v>
      </c>
      <c r="K30" s="186">
        <v>0.55000000000000004</v>
      </c>
      <c r="L30" s="186">
        <v>0.8</v>
      </c>
    </row>
    <row r="31" spans="1:12" x14ac:dyDescent="0.15">
      <c r="A31" s="98" t="s">
        <v>45</v>
      </c>
      <c r="B31" s="98" t="s">
        <v>1893</v>
      </c>
      <c r="C31" s="98" t="s">
        <v>1761</v>
      </c>
      <c r="D31" s="179" t="s">
        <v>551</v>
      </c>
      <c r="E31" s="12">
        <f t="shared" si="0"/>
        <v>1201</v>
      </c>
      <c r="F31" s="184">
        <v>1240</v>
      </c>
      <c r="I31" s="187"/>
      <c r="J31" s="186"/>
      <c r="K31" s="186"/>
      <c r="L31" s="186"/>
    </row>
    <row r="32" spans="1:12" x14ac:dyDescent="0.15">
      <c r="A32" s="98" t="s">
        <v>45</v>
      </c>
      <c r="B32" s="98" t="s">
        <v>1893</v>
      </c>
      <c r="C32" s="98" t="s">
        <v>1761</v>
      </c>
      <c r="D32" s="179" t="s">
        <v>552</v>
      </c>
      <c r="E32" s="12">
        <f t="shared" si="0"/>
        <v>1241</v>
      </c>
      <c r="F32" s="184">
        <v>1270</v>
      </c>
      <c r="I32" s="187"/>
      <c r="J32" s="186"/>
      <c r="K32" s="186"/>
      <c r="L32" s="186"/>
    </row>
    <row r="33" spans="1:12" x14ac:dyDescent="0.15">
      <c r="A33" s="98" t="s">
        <v>45</v>
      </c>
      <c r="B33" s="98" t="s">
        <v>1893</v>
      </c>
      <c r="C33" s="98" t="s">
        <v>1761</v>
      </c>
      <c r="D33" s="179" t="s">
        <v>553</v>
      </c>
      <c r="E33" s="12">
        <f t="shared" si="0"/>
        <v>1271</v>
      </c>
      <c r="F33" s="184">
        <v>1300</v>
      </c>
      <c r="I33" s="187"/>
      <c r="J33" s="186"/>
      <c r="K33" s="186"/>
      <c r="L33" s="186"/>
    </row>
    <row r="34" spans="1:12" x14ac:dyDescent="0.15">
      <c r="A34" s="98" t="s">
        <v>45</v>
      </c>
      <c r="B34" s="98" t="s">
        <v>1893</v>
      </c>
      <c r="C34" s="98" t="s">
        <v>1761</v>
      </c>
      <c r="D34" s="179" t="s">
        <v>554</v>
      </c>
      <c r="E34" s="12">
        <f t="shared" si="0"/>
        <v>1301</v>
      </c>
      <c r="F34" s="184">
        <v>1330</v>
      </c>
      <c r="I34" s="187"/>
      <c r="J34" s="186"/>
      <c r="K34" s="186"/>
      <c r="L34" s="186"/>
    </row>
    <row r="35" spans="1:12" x14ac:dyDescent="0.15">
      <c r="A35" s="98" t="s">
        <v>45</v>
      </c>
      <c r="B35" s="98" t="s">
        <v>1893</v>
      </c>
      <c r="C35" s="98" t="s">
        <v>1761</v>
      </c>
      <c r="D35" s="179" t="s">
        <v>555</v>
      </c>
      <c r="E35" s="12">
        <f t="shared" si="0"/>
        <v>1331</v>
      </c>
      <c r="F35" s="184">
        <v>1360</v>
      </c>
      <c r="I35" s="187"/>
      <c r="J35" s="186"/>
      <c r="K35" s="186"/>
      <c r="L35" s="186"/>
    </row>
    <row r="36" spans="1:12" x14ac:dyDescent="0.15">
      <c r="A36" s="98" t="s">
        <v>45</v>
      </c>
      <c r="B36" s="98" t="s">
        <v>1893</v>
      </c>
      <c r="C36" s="98" t="s">
        <v>1761</v>
      </c>
      <c r="D36" s="179" t="s">
        <v>556</v>
      </c>
      <c r="E36" s="12">
        <f t="shared" si="0"/>
        <v>1361</v>
      </c>
      <c r="F36" s="184">
        <v>1390</v>
      </c>
      <c r="I36" s="187"/>
      <c r="J36" s="186"/>
      <c r="K36" s="186"/>
      <c r="L36" s="186"/>
    </row>
    <row r="37" spans="1:12" x14ac:dyDescent="0.15">
      <c r="A37" s="98" t="s">
        <v>45</v>
      </c>
      <c r="B37" s="98" t="s">
        <v>1893</v>
      </c>
      <c r="C37" s="98" t="s">
        <v>1761</v>
      </c>
      <c r="D37" s="179" t="s">
        <v>557</v>
      </c>
      <c r="E37" s="12">
        <f t="shared" si="0"/>
        <v>1391</v>
      </c>
      <c r="F37" s="184">
        <v>1420</v>
      </c>
      <c r="I37" s="187"/>
      <c r="J37" s="186"/>
      <c r="K37" s="186"/>
      <c r="L37" s="186"/>
    </row>
    <row r="38" spans="1:12" x14ac:dyDescent="0.15">
      <c r="A38" s="98" t="s">
        <v>45</v>
      </c>
      <c r="B38" s="98" t="s">
        <v>1893</v>
      </c>
      <c r="C38" s="98" t="s">
        <v>1761</v>
      </c>
      <c r="D38" s="179" t="s">
        <v>558</v>
      </c>
      <c r="E38" s="12">
        <f t="shared" si="0"/>
        <v>1421</v>
      </c>
      <c r="F38" s="184">
        <v>1480</v>
      </c>
      <c r="I38" s="187"/>
      <c r="J38" s="186"/>
      <c r="K38" s="186"/>
      <c r="L38" s="186"/>
    </row>
    <row r="39" spans="1:12" s="100" customFormat="1" x14ac:dyDescent="0.15">
      <c r="A39" s="100" t="s">
        <v>45</v>
      </c>
      <c r="B39" s="100" t="s">
        <v>1908</v>
      </c>
      <c r="C39" s="100" t="s">
        <v>1761</v>
      </c>
      <c r="D39" s="177" t="s">
        <v>559</v>
      </c>
      <c r="E39" s="216">
        <f t="shared" si="0"/>
        <v>1481</v>
      </c>
      <c r="F39" s="217">
        <v>1540</v>
      </c>
      <c r="G39" s="101">
        <v>0.78</v>
      </c>
      <c r="H39" s="101">
        <v>0.14000000000000001</v>
      </c>
      <c r="I39" s="186">
        <v>0.69</v>
      </c>
      <c r="J39" s="186">
        <v>0.9</v>
      </c>
      <c r="K39" s="186">
        <v>0.5</v>
      </c>
      <c r="L39" s="186">
        <v>0.85</v>
      </c>
    </row>
    <row r="40" spans="1:12" x14ac:dyDescent="0.15">
      <c r="A40" s="98" t="s">
        <v>45</v>
      </c>
      <c r="B40" s="98" t="s">
        <v>1908</v>
      </c>
      <c r="C40" s="98" t="s">
        <v>1761</v>
      </c>
      <c r="D40" s="179" t="s">
        <v>560</v>
      </c>
      <c r="E40" s="12">
        <f t="shared" si="0"/>
        <v>1541</v>
      </c>
      <c r="F40" s="184">
        <v>1600</v>
      </c>
      <c r="I40" s="187"/>
      <c r="J40" s="186"/>
      <c r="K40" s="186"/>
      <c r="L40" s="186"/>
    </row>
    <row r="41" spans="1:12" x14ac:dyDescent="0.15">
      <c r="A41" s="98" t="s">
        <v>45</v>
      </c>
      <c r="B41" s="98" t="s">
        <v>1908</v>
      </c>
      <c r="C41" s="98" t="s">
        <v>1761</v>
      </c>
      <c r="D41" s="179" t="s">
        <v>561</v>
      </c>
      <c r="E41" s="12">
        <f t="shared" si="0"/>
        <v>1601</v>
      </c>
      <c r="F41" s="184">
        <v>1660</v>
      </c>
      <c r="I41" s="187"/>
      <c r="J41" s="186"/>
      <c r="K41" s="186"/>
      <c r="L41" s="186"/>
    </row>
    <row r="42" spans="1:12" s="100" customFormat="1" x14ac:dyDescent="0.15">
      <c r="A42" s="100" t="s">
        <v>45</v>
      </c>
      <c r="B42" s="100" t="s">
        <v>1886</v>
      </c>
      <c r="C42" s="100" t="s">
        <v>1761</v>
      </c>
      <c r="D42" s="177" t="s">
        <v>562</v>
      </c>
      <c r="E42" s="216">
        <f t="shared" si="0"/>
        <v>1661</v>
      </c>
      <c r="F42" s="217">
        <v>1730</v>
      </c>
      <c r="G42" s="101">
        <v>0.16</v>
      </c>
      <c r="H42" s="101">
        <v>0.04</v>
      </c>
      <c r="I42" s="186">
        <v>0.16</v>
      </c>
      <c r="J42" s="186">
        <v>0.78</v>
      </c>
      <c r="K42" s="186">
        <v>0.4</v>
      </c>
      <c r="L42" s="186">
        <v>0.55000000000000004</v>
      </c>
    </row>
    <row r="43" spans="1:12" x14ac:dyDescent="0.15">
      <c r="A43" s="98" t="s">
        <v>45</v>
      </c>
      <c r="B43" s="98" t="s">
        <v>1886</v>
      </c>
      <c r="C43" s="98" t="s">
        <v>1761</v>
      </c>
      <c r="D43" s="179" t="s">
        <v>563</v>
      </c>
      <c r="E43" s="12">
        <f t="shared" si="0"/>
        <v>1731</v>
      </c>
      <c r="F43" s="184">
        <v>1800</v>
      </c>
      <c r="I43" s="187"/>
      <c r="J43" s="186"/>
      <c r="K43" s="186"/>
      <c r="L43" s="186"/>
    </row>
    <row r="44" spans="1:12" x14ac:dyDescent="0.15">
      <c r="A44" s="98" t="s">
        <v>45</v>
      </c>
      <c r="B44" s="98" t="s">
        <v>1886</v>
      </c>
      <c r="C44" s="98" t="s">
        <v>1761</v>
      </c>
      <c r="D44" s="179" t="s">
        <v>564</v>
      </c>
      <c r="E44" s="12">
        <f t="shared" si="0"/>
        <v>1801</v>
      </c>
      <c r="F44" s="184">
        <v>1880</v>
      </c>
      <c r="I44" s="187"/>
      <c r="J44" s="186"/>
      <c r="K44" s="186"/>
      <c r="L44" s="186"/>
    </row>
    <row r="45" spans="1:12" x14ac:dyDescent="0.15">
      <c r="A45" s="98" t="s">
        <v>45</v>
      </c>
      <c r="B45" s="98" t="s">
        <v>1886</v>
      </c>
      <c r="C45" s="98" t="s">
        <v>1761</v>
      </c>
      <c r="D45" s="179" t="s">
        <v>565</v>
      </c>
      <c r="E45" s="12">
        <f t="shared" si="0"/>
        <v>1881</v>
      </c>
      <c r="F45" s="184">
        <v>1960</v>
      </c>
      <c r="I45" s="187"/>
      <c r="J45" s="186"/>
      <c r="K45" s="186"/>
      <c r="L45" s="186"/>
    </row>
    <row r="46" spans="1:12" x14ac:dyDescent="0.15">
      <c r="A46" s="98" t="s">
        <v>45</v>
      </c>
      <c r="B46" s="98" t="s">
        <v>1886</v>
      </c>
      <c r="C46" s="98" t="s">
        <v>1761</v>
      </c>
      <c r="D46" s="179" t="s">
        <v>566</v>
      </c>
      <c r="E46" s="12">
        <f t="shared" si="0"/>
        <v>1961</v>
      </c>
      <c r="F46" s="184">
        <v>2040</v>
      </c>
      <c r="I46" s="187"/>
      <c r="J46" s="186"/>
      <c r="K46" s="186"/>
      <c r="L46" s="186"/>
    </row>
    <row r="47" spans="1:12" s="100" customFormat="1" x14ac:dyDescent="0.15">
      <c r="A47" s="100" t="s">
        <v>45</v>
      </c>
      <c r="B47" s="100" t="s">
        <v>1762</v>
      </c>
      <c r="C47" s="100" t="s">
        <v>1762</v>
      </c>
      <c r="D47" s="177" t="s">
        <v>593</v>
      </c>
      <c r="E47" s="216">
        <f t="shared" si="0"/>
        <v>2041</v>
      </c>
      <c r="F47" s="217">
        <v>2120</v>
      </c>
      <c r="G47" s="101">
        <v>0.1</v>
      </c>
      <c r="H47" s="101">
        <v>0.02</v>
      </c>
      <c r="I47" s="186">
        <v>0.08</v>
      </c>
      <c r="J47" s="186">
        <v>0.55000000000000004</v>
      </c>
      <c r="K47" s="186">
        <v>0.2</v>
      </c>
      <c r="L47" s="186">
        <v>0.3</v>
      </c>
    </row>
    <row r="48" spans="1:12" x14ac:dyDescent="0.15">
      <c r="A48" s="98" t="s">
        <v>45</v>
      </c>
      <c r="B48" s="98" t="s">
        <v>1762</v>
      </c>
      <c r="C48" s="98" t="s">
        <v>1762</v>
      </c>
      <c r="D48" s="179" t="s">
        <v>594</v>
      </c>
      <c r="E48" s="12">
        <f t="shared" si="0"/>
        <v>2121</v>
      </c>
      <c r="F48" s="184">
        <v>2200</v>
      </c>
      <c r="I48" s="187"/>
      <c r="J48" s="186"/>
      <c r="K48" s="186"/>
      <c r="L48" s="186"/>
    </row>
    <row r="49" spans="1:12" x14ac:dyDescent="0.15">
      <c r="A49" s="98" t="s">
        <v>45</v>
      </c>
      <c r="B49" s="98" t="s">
        <v>1762</v>
      </c>
      <c r="C49" s="98" t="s">
        <v>1762</v>
      </c>
      <c r="D49" s="179" t="s">
        <v>569</v>
      </c>
      <c r="E49" s="12">
        <f t="shared" si="0"/>
        <v>2201</v>
      </c>
      <c r="F49" s="184">
        <v>2280</v>
      </c>
      <c r="I49" s="187"/>
      <c r="J49" s="186"/>
      <c r="K49" s="186"/>
      <c r="L49" s="186"/>
    </row>
    <row r="50" spans="1:12" x14ac:dyDescent="0.15">
      <c r="A50" s="98" t="s">
        <v>45</v>
      </c>
      <c r="B50" s="98" t="s">
        <v>1762</v>
      </c>
      <c r="C50" s="98" t="s">
        <v>1762</v>
      </c>
      <c r="D50" s="179" t="s">
        <v>570</v>
      </c>
      <c r="E50" s="12">
        <f t="shared" si="0"/>
        <v>2281</v>
      </c>
      <c r="F50" s="184">
        <v>2380</v>
      </c>
      <c r="I50" s="187"/>
      <c r="J50" s="186"/>
      <c r="K50" s="186"/>
      <c r="L50" s="186"/>
    </row>
    <row r="51" spans="1:12" s="100" customFormat="1" x14ac:dyDescent="0.15">
      <c r="A51" s="100" t="s">
        <v>45</v>
      </c>
      <c r="B51" s="100" t="s">
        <v>1903</v>
      </c>
      <c r="C51" s="100" t="s">
        <v>1903</v>
      </c>
      <c r="D51" s="177" t="s">
        <v>571</v>
      </c>
      <c r="E51" s="216">
        <f t="shared" si="0"/>
        <v>2381</v>
      </c>
      <c r="F51" s="217">
        <v>2440</v>
      </c>
      <c r="G51" s="101">
        <v>0.03</v>
      </c>
      <c r="H51" s="101">
        <v>0.01</v>
      </c>
      <c r="I51" s="186">
        <v>0.02</v>
      </c>
      <c r="J51" s="186">
        <v>0.28000000000000003</v>
      </c>
      <c r="K51" s="186">
        <v>0.12</v>
      </c>
      <c r="L51" s="186">
        <v>0.15</v>
      </c>
    </row>
    <row r="52" spans="1:12" x14ac:dyDescent="0.15">
      <c r="A52" s="98" t="s">
        <v>45</v>
      </c>
      <c r="B52" s="98" t="s">
        <v>1903</v>
      </c>
      <c r="C52" s="98" t="s">
        <v>1903</v>
      </c>
      <c r="D52" s="179" t="s">
        <v>572</v>
      </c>
      <c r="E52" s="12">
        <f t="shared" si="0"/>
        <v>2441</v>
      </c>
      <c r="F52" s="184">
        <v>2480</v>
      </c>
      <c r="I52" s="187"/>
      <c r="J52" s="186"/>
      <c r="K52" s="186"/>
      <c r="L52" s="186"/>
    </row>
    <row r="53" spans="1:12" x14ac:dyDescent="0.15">
      <c r="A53" s="98" t="s">
        <v>45</v>
      </c>
      <c r="B53" s="98" t="s">
        <v>1903</v>
      </c>
      <c r="C53" s="98" t="s">
        <v>1903</v>
      </c>
      <c r="D53" s="179" t="s">
        <v>573</v>
      </c>
      <c r="E53" s="12">
        <f t="shared" si="0"/>
        <v>2481</v>
      </c>
      <c r="F53" s="184">
        <v>2560</v>
      </c>
      <c r="I53" s="187"/>
      <c r="J53" s="186"/>
      <c r="K53" s="186"/>
      <c r="L53" s="186"/>
    </row>
    <row r="54" spans="1:12" x14ac:dyDescent="0.15">
      <c r="A54" s="98" t="s">
        <v>45</v>
      </c>
      <c r="B54" s="98" t="s">
        <v>1903</v>
      </c>
      <c r="C54" s="98" t="s">
        <v>1903</v>
      </c>
      <c r="D54" s="179" t="s">
        <v>574</v>
      </c>
      <c r="E54" s="12">
        <f t="shared" si="0"/>
        <v>2561</v>
      </c>
      <c r="F54" s="184">
        <v>2700</v>
      </c>
      <c r="I54" s="187"/>
      <c r="J54" s="186"/>
      <c r="K54" s="186"/>
      <c r="L54" s="18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C54C-5523-48A1-9E73-722405004C78}">
  <sheetPr>
    <tabColor rgb="FFFFFF00"/>
  </sheetPr>
  <dimension ref="A1:L59"/>
  <sheetViews>
    <sheetView workbookViewId="0">
      <selection activeCell="L59" sqref="L59"/>
    </sheetView>
  </sheetViews>
  <sheetFormatPr defaultRowHeight="10.5" x14ac:dyDescent="0.15"/>
  <cols>
    <col min="1" max="1" width="10.28515625" style="98" bestFit="1" customWidth="1"/>
    <col min="2" max="2" width="25.5703125" style="98" bestFit="1" customWidth="1"/>
    <col min="3" max="3" width="11.85546875" style="98" bestFit="1" customWidth="1"/>
    <col min="4" max="4" width="49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100" customFormat="1" x14ac:dyDescent="0.15">
      <c r="A2" s="100" t="s">
        <v>47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20</v>
      </c>
      <c r="G2" s="101">
        <v>0.05</v>
      </c>
      <c r="H2" s="101">
        <v>0.1</v>
      </c>
      <c r="I2" s="186">
        <v>0.2</v>
      </c>
      <c r="J2" s="186">
        <v>0.15</v>
      </c>
      <c r="K2" s="186">
        <v>0.6</v>
      </c>
      <c r="L2" s="101">
        <v>0.75</v>
      </c>
    </row>
    <row r="3" spans="1:12" x14ac:dyDescent="0.15">
      <c r="A3" s="98" t="s">
        <v>47</v>
      </c>
      <c r="B3" s="98" t="s">
        <v>1759</v>
      </c>
      <c r="C3" s="98" t="s">
        <v>1759</v>
      </c>
      <c r="D3" s="179" t="s">
        <v>374</v>
      </c>
      <c r="E3" s="12">
        <f>F2+1</f>
        <v>21</v>
      </c>
      <c r="F3" s="184">
        <v>50</v>
      </c>
      <c r="G3" s="102"/>
      <c r="H3" s="102"/>
      <c r="I3" s="187"/>
      <c r="J3" s="186"/>
      <c r="K3" s="186"/>
      <c r="L3" s="101"/>
    </row>
    <row r="4" spans="1:12" x14ac:dyDescent="0.15">
      <c r="A4" s="98" t="s">
        <v>47</v>
      </c>
      <c r="B4" s="98" t="s">
        <v>1759</v>
      </c>
      <c r="C4" s="98" t="s">
        <v>1759</v>
      </c>
      <c r="D4" s="179" t="s">
        <v>375</v>
      </c>
      <c r="E4" s="12">
        <f t="shared" ref="E4:E59" si="0">F3+1</f>
        <v>51</v>
      </c>
      <c r="F4" s="184">
        <v>80</v>
      </c>
      <c r="I4" s="186"/>
      <c r="J4" s="186"/>
      <c r="K4" s="186"/>
      <c r="L4" s="101"/>
    </row>
    <row r="5" spans="1:12" x14ac:dyDescent="0.15">
      <c r="A5" s="98" t="s">
        <v>47</v>
      </c>
      <c r="B5" s="98" t="s">
        <v>1759</v>
      </c>
      <c r="C5" s="98" t="s">
        <v>1759</v>
      </c>
      <c r="D5" s="179" t="s">
        <v>414</v>
      </c>
      <c r="E5" s="12">
        <f t="shared" si="0"/>
        <v>81</v>
      </c>
      <c r="F5" s="184">
        <v>100</v>
      </c>
      <c r="I5" s="186"/>
      <c r="J5" s="186"/>
      <c r="K5" s="186"/>
      <c r="L5" s="101"/>
    </row>
    <row r="6" spans="1:12" x14ac:dyDescent="0.15">
      <c r="A6" s="98" t="s">
        <v>47</v>
      </c>
      <c r="B6" s="98" t="s">
        <v>1759</v>
      </c>
      <c r="C6" s="98" t="s">
        <v>1759</v>
      </c>
      <c r="D6" s="179" t="s">
        <v>595</v>
      </c>
      <c r="E6" s="12">
        <f t="shared" si="0"/>
        <v>101</v>
      </c>
      <c r="F6" s="184">
        <v>110</v>
      </c>
      <c r="I6" s="186"/>
      <c r="J6" s="186"/>
      <c r="K6" s="186"/>
      <c r="L6" s="101"/>
    </row>
    <row r="7" spans="1:12" x14ac:dyDescent="0.15">
      <c r="A7" s="98" t="s">
        <v>47</v>
      </c>
      <c r="B7" s="98" t="s">
        <v>1759</v>
      </c>
      <c r="C7" s="98" t="s">
        <v>1759</v>
      </c>
      <c r="D7" s="179" t="s">
        <v>596</v>
      </c>
      <c r="E7" s="12">
        <f t="shared" si="0"/>
        <v>111</v>
      </c>
      <c r="F7" s="184">
        <v>120</v>
      </c>
      <c r="I7" s="186"/>
      <c r="J7" s="186"/>
      <c r="K7" s="186"/>
      <c r="L7" s="101"/>
    </row>
    <row r="8" spans="1:12" x14ac:dyDescent="0.15">
      <c r="A8" s="98" t="s">
        <v>47</v>
      </c>
      <c r="B8" s="98" t="s">
        <v>1759</v>
      </c>
      <c r="C8" s="98" t="s">
        <v>1759</v>
      </c>
      <c r="D8" s="179" t="s">
        <v>1746</v>
      </c>
      <c r="E8" s="12">
        <f t="shared" si="0"/>
        <v>121</v>
      </c>
      <c r="F8" s="184">
        <v>140</v>
      </c>
      <c r="I8" s="186"/>
      <c r="J8" s="186"/>
      <c r="K8" s="186"/>
      <c r="L8" s="101"/>
    </row>
    <row r="9" spans="1:12" s="100" customFormat="1" x14ac:dyDescent="0.15">
      <c r="A9" s="100" t="s">
        <v>47</v>
      </c>
      <c r="B9" s="100" t="s">
        <v>1861</v>
      </c>
      <c r="C9" s="100" t="s">
        <v>1760</v>
      </c>
      <c r="D9" s="177" t="s">
        <v>380</v>
      </c>
      <c r="E9" s="216">
        <f t="shared" si="0"/>
        <v>141</v>
      </c>
      <c r="F9" s="217">
        <v>180</v>
      </c>
      <c r="G9" s="101">
        <v>2</v>
      </c>
      <c r="H9" s="101">
        <v>0.3</v>
      </c>
      <c r="I9" s="186">
        <v>2</v>
      </c>
      <c r="J9" s="186">
        <v>0.4</v>
      </c>
      <c r="K9" s="186">
        <v>0.6</v>
      </c>
      <c r="L9" s="101">
        <v>0.55000000000000004</v>
      </c>
    </row>
    <row r="10" spans="1:12" x14ac:dyDescent="0.15">
      <c r="A10" s="98" t="s">
        <v>47</v>
      </c>
      <c r="B10" s="98" t="s">
        <v>1861</v>
      </c>
      <c r="C10" s="98" t="s">
        <v>1760</v>
      </c>
      <c r="D10" s="179" t="s">
        <v>535</v>
      </c>
      <c r="E10" s="12">
        <f t="shared" si="0"/>
        <v>181</v>
      </c>
      <c r="F10" s="184">
        <v>220</v>
      </c>
      <c r="G10" s="102"/>
      <c r="H10" s="102"/>
      <c r="I10" s="187"/>
      <c r="J10" s="186"/>
      <c r="K10" s="186"/>
      <c r="L10" s="101"/>
    </row>
    <row r="11" spans="1:12" x14ac:dyDescent="0.15">
      <c r="A11" s="98" t="s">
        <v>47</v>
      </c>
      <c r="B11" s="98" t="s">
        <v>1861</v>
      </c>
      <c r="C11" s="98" t="s">
        <v>1760</v>
      </c>
      <c r="D11" s="179" t="s">
        <v>536</v>
      </c>
      <c r="E11" s="12">
        <f t="shared" si="0"/>
        <v>221</v>
      </c>
      <c r="F11" s="184">
        <v>260</v>
      </c>
      <c r="I11" s="186"/>
      <c r="J11" s="186"/>
      <c r="K11" s="186"/>
      <c r="L11" s="101"/>
    </row>
    <row r="12" spans="1:12" x14ac:dyDescent="0.15">
      <c r="A12" s="98" t="s">
        <v>47</v>
      </c>
      <c r="B12" s="98" t="s">
        <v>1861</v>
      </c>
      <c r="C12" s="98" t="s">
        <v>1760</v>
      </c>
      <c r="D12" s="179" t="s">
        <v>537</v>
      </c>
      <c r="E12" s="12">
        <f t="shared" si="0"/>
        <v>261</v>
      </c>
      <c r="F12" s="184">
        <v>300</v>
      </c>
      <c r="I12" s="186"/>
      <c r="J12" s="186"/>
      <c r="K12" s="186"/>
      <c r="L12" s="101"/>
    </row>
    <row r="13" spans="1:12" x14ac:dyDescent="0.15">
      <c r="A13" s="98" t="s">
        <v>47</v>
      </c>
      <c r="B13" s="98" t="s">
        <v>1861</v>
      </c>
      <c r="C13" s="98" t="s">
        <v>1760</v>
      </c>
      <c r="D13" s="179" t="s">
        <v>538</v>
      </c>
      <c r="E13" s="12">
        <f t="shared" si="0"/>
        <v>301</v>
      </c>
      <c r="F13" s="184">
        <v>480</v>
      </c>
      <c r="I13" s="186"/>
      <c r="J13" s="186"/>
      <c r="K13" s="186"/>
      <c r="L13" s="101"/>
    </row>
    <row r="14" spans="1:12" s="100" customFormat="1" x14ac:dyDescent="0.15">
      <c r="A14" s="100" t="s">
        <v>47</v>
      </c>
      <c r="B14" s="100" t="s">
        <v>1857</v>
      </c>
      <c r="C14" s="100" t="s">
        <v>1760</v>
      </c>
      <c r="D14" s="177" t="s">
        <v>597</v>
      </c>
      <c r="E14" s="216">
        <f t="shared" si="0"/>
        <v>481</v>
      </c>
      <c r="F14" s="217">
        <v>520</v>
      </c>
      <c r="G14" s="101">
        <v>3</v>
      </c>
      <c r="H14" s="101">
        <v>0.5</v>
      </c>
      <c r="I14" s="186">
        <v>3</v>
      </c>
      <c r="J14" s="186">
        <v>0.7</v>
      </c>
      <c r="K14" s="186">
        <v>0.6</v>
      </c>
      <c r="L14" s="101">
        <v>0.6</v>
      </c>
    </row>
    <row r="15" spans="1:12" x14ac:dyDescent="0.15">
      <c r="A15" s="98" t="s">
        <v>47</v>
      </c>
      <c r="B15" s="98" t="s">
        <v>1857</v>
      </c>
      <c r="C15" s="98" t="s">
        <v>1760</v>
      </c>
      <c r="D15" s="179" t="s">
        <v>598</v>
      </c>
      <c r="E15" s="12">
        <f t="shared" si="0"/>
        <v>521</v>
      </c>
      <c r="F15" s="184">
        <v>560</v>
      </c>
      <c r="G15" s="102"/>
      <c r="H15" s="102"/>
      <c r="I15" s="187"/>
      <c r="J15" s="186"/>
      <c r="K15" s="186"/>
      <c r="L15" s="101"/>
    </row>
    <row r="16" spans="1:12" x14ac:dyDescent="0.15">
      <c r="A16" s="98" t="s">
        <v>47</v>
      </c>
      <c r="B16" s="98" t="s">
        <v>1857</v>
      </c>
      <c r="C16" s="98" t="s">
        <v>1760</v>
      </c>
      <c r="D16" s="179" t="s">
        <v>599</v>
      </c>
      <c r="E16" s="12">
        <f t="shared" si="0"/>
        <v>561</v>
      </c>
      <c r="F16" s="184">
        <v>600</v>
      </c>
      <c r="I16" s="186"/>
      <c r="J16" s="186"/>
      <c r="K16" s="186"/>
      <c r="L16" s="101"/>
    </row>
    <row r="17" spans="1:12" x14ac:dyDescent="0.15">
      <c r="A17" s="98" t="s">
        <v>47</v>
      </c>
      <c r="B17" s="98" t="s">
        <v>1857</v>
      </c>
      <c r="C17" s="98" t="s">
        <v>1760</v>
      </c>
      <c r="D17" s="179" t="s">
        <v>600</v>
      </c>
      <c r="E17" s="12">
        <f t="shared" si="0"/>
        <v>601</v>
      </c>
      <c r="F17" s="184">
        <v>640</v>
      </c>
      <c r="I17" s="186"/>
      <c r="J17" s="186"/>
      <c r="K17" s="186"/>
      <c r="L17" s="101"/>
    </row>
    <row r="18" spans="1:12" x14ac:dyDescent="0.15">
      <c r="A18" s="98" t="s">
        <v>47</v>
      </c>
      <c r="B18" s="98" t="s">
        <v>1857</v>
      </c>
      <c r="C18" s="98" t="s">
        <v>1760</v>
      </c>
      <c r="D18" s="179" t="s">
        <v>729</v>
      </c>
      <c r="E18" s="12">
        <f t="shared" si="0"/>
        <v>641</v>
      </c>
      <c r="F18" s="184">
        <v>700</v>
      </c>
      <c r="I18" s="186"/>
      <c r="J18" s="186"/>
      <c r="K18" s="186"/>
      <c r="L18" s="101"/>
    </row>
    <row r="19" spans="1:12" s="100" customFormat="1" x14ac:dyDescent="0.15">
      <c r="A19" s="100" t="s">
        <v>47</v>
      </c>
      <c r="B19" s="100" t="s">
        <v>1895</v>
      </c>
      <c r="C19" s="100" t="s">
        <v>1760</v>
      </c>
      <c r="D19" s="177" t="s">
        <v>512</v>
      </c>
      <c r="E19" s="216">
        <f t="shared" si="0"/>
        <v>701</v>
      </c>
      <c r="F19" s="217">
        <v>760</v>
      </c>
      <c r="G19" s="101">
        <v>4</v>
      </c>
      <c r="H19" s="101">
        <v>0.7</v>
      </c>
      <c r="I19" s="186">
        <v>4</v>
      </c>
      <c r="J19" s="186">
        <v>1.1000000000000001</v>
      </c>
      <c r="K19" s="186">
        <v>0.6</v>
      </c>
      <c r="L19" s="101">
        <v>0.65</v>
      </c>
    </row>
    <row r="20" spans="1:12" x14ac:dyDescent="0.15">
      <c r="A20" s="98" t="s">
        <v>47</v>
      </c>
      <c r="B20" s="98" t="s">
        <v>1895</v>
      </c>
      <c r="C20" s="98" t="s">
        <v>1760</v>
      </c>
      <c r="D20" s="179" t="s">
        <v>601</v>
      </c>
      <c r="E20" s="12">
        <f t="shared" si="0"/>
        <v>761</v>
      </c>
      <c r="F20" s="184">
        <v>820</v>
      </c>
      <c r="G20" s="102"/>
      <c r="H20" s="102"/>
      <c r="I20" s="187"/>
      <c r="J20" s="186"/>
      <c r="K20" s="186"/>
      <c r="L20" s="101"/>
    </row>
    <row r="21" spans="1:12" x14ac:dyDescent="0.15">
      <c r="A21" s="98" t="s">
        <v>47</v>
      </c>
      <c r="B21" s="98" t="s">
        <v>1895</v>
      </c>
      <c r="C21" s="98" t="s">
        <v>1760</v>
      </c>
      <c r="D21" s="179" t="s">
        <v>602</v>
      </c>
      <c r="E21" s="12">
        <f t="shared" si="0"/>
        <v>821</v>
      </c>
      <c r="F21" s="184">
        <v>880</v>
      </c>
      <c r="I21" s="186"/>
      <c r="J21" s="186"/>
      <c r="K21" s="186"/>
      <c r="L21" s="101"/>
    </row>
    <row r="22" spans="1:12" x14ac:dyDescent="0.15">
      <c r="A22" s="98" t="s">
        <v>47</v>
      </c>
      <c r="B22" s="98" t="s">
        <v>1895</v>
      </c>
      <c r="C22" s="98" t="s">
        <v>1760</v>
      </c>
      <c r="D22" s="179" t="s">
        <v>603</v>
      </c>
      <c r="E22" s="12">
        <f t="shared" si="0"/>
        <v>881</v>
      </c>
      <c r="F22" s="184">
        <v>940</v>
      </c>
      <c r="I22" s="186"/>
      <c r="J22" s="186"/>
      <c r="K22" s="186"/>
      <c r="L22" s="101"/>
    </row>
    <row r="23" spans="1:12" x14ac:dyDescent="0.15">
      <c r="A23" s="98" t="s">
        <v>47</v>
      </c>
      <c r="B23" s="98" t="s">
        <v>1895</v>
      </c>
      <c r="C23" s="98" t="s">
        <v>1760</v>
      </c>
      <c r="D23" s="179" t="s">
        <v>516</v>
      </c>
      <c r="E23" s="12">
        <f t="shared" si="0"/>
        <v>941</v>
      </c>
      <c r="F23" s="184">
        <v>1000</v>
      </c>
      <c r="I23" s="186"/>
      <c r="J23" s="186"/>
      <c r="K23" s="186"/>
      <c r="L23" s="101"/>
    </row>
    <row r="24" spans="1:12" s="100" customFormat="1" x14ac:dyDescent="0.15">
      <c r="A24" s="100" t="s">
        <v>47</v>
      </c>
      <c r="B24" s="100" t="s">
        <v>1858</v>
      </c>
      <c r="C24" s="100" t="s">
        <v>1761</v>
      </c>
      <c r="D24" s="177" t="s">
        <v>604</v>
      </c>
      <c r="E24" s="216">
        <f t="shared" si="0"/>
        <v>1001</v>
      </c>
      <c r="F24" s="217">
        <v>1060</v>
      </c>
      <c r="G24" s="101">
        <v>3.5</v>
      </c>
      <c r="H24" s="101">
        <v>0.6</v>
      </c>
      <c r="I24" s="186">
        <v>3.5</v>
      </c>
      <c r="J24" s="186">
        <v>1</v>
      </c>
      <c r="K24" s="186">
        <v>0.6</v>
      </c>
      <c r="L24" s="101">
        <v>0.7</v>
      </c>
    </row>
    <row r="25" spans="1:12" x14ac:dyDescent="0.15">
      <c r="A25" s="98" t="s">
        <v>47</v>
      </c>
      <c r="B25" s="98" t="s">
        <v>1858</v>
      </c>
      <c r="C25" s="98" t="s">
        <v>1761</v>
      </c>
      <c r="D25" s="179" t="s">
        <v>605</v>
      </c>
      <c r="E25" s="12">
        <f t="shared" si="0"/>
        <v>1061</v>
      </c>
      <c r="F25" s="184">
        <v>1120</v>
      </c>
      <c r="G25" s="102"/>
      <c r="H25" s="102"/>
      <c r="I25" s="187"/>
      <c r="J25" s="186"/>
      <c r="K25" s="186"/>
      <c r="L25" s="101"/>
    </row>
    <row r="26" spans="1:12" x14ac:dyDescent="0.15">
      <c r="A26" s="98" t="s">
        <v>47</v>
      </c>
      <c r="B26" s="98" t="s">
        <v>1858</v>
      </c>
      <c r="C26" s="98" t="s">
        <v>1761</v>
      </c>
      <c r="D26" s="179" t="s">
        <v>606</v>
      </c>
      <c r="E26" s="12">
        <f t="shared" si="0"/>
        <v>1121</v>
      </c>
      <c r="F26" s="184">
        <v>1160</v>
      </c>
      <c r="I26" s="186"/>
      <c r="J26" s="186"/>
      <c r="K26" s="186"/>
      <c r="L26" s="101"/>
    </row>
    <row r="27" spans="1:12" x14ac:dyDescent="0.15">
      <c r="A27" s="98" t="s">
        <v>47</v>
      </c>
      <c r="B27" s="98" t="s">
        <v>1858</v>
      </c>
      <c r="C27" s="98" t="s">
        <v>1761</v>
      </c>
      <c r="D27" s="179" t="s">
        <v>607</v>
      </c>
      <c r="E27" s="12">
        <f t="shared" si="0"/>
        <v>1161</v>
      </c>
      <c r="F27" s="184">
        <v>1200</v>
      </c>
      <c r="I27" s="186"/>
      <c r="J27" s="186"/>
      <c r="K27" s="186"/>
      <c r="L27" s="101"/>
    </row>
    <row r="28" spans="1:12" x14ac:dyDescent="0.15">
      <c r="A28" s="98" t="s">
        <v>47</v>
      </c>
      <c r="B28" s="98" t="s">
        <v>1858</v>
      </c>
      <c r="C28" s="98" t="s">
        <v>1761</v>
      </c>
      <c r="D28" s="179" t="s">
        <v>608</v>
      </c>
      <c r="E28" s="12">
        <f t="shared" si="0"/>
        <v>1201</v>
      </c>
      <c r="F28" s="184">
        <v>1240</v>
      </c>
      <c r="I28" s="186"/>
      <c r="J28" s="186"/>
      <c r="K28" s="186"/>
      <c r="L28" s="101"/>
    </row>
    <row r="29" spans="1:12" x14ac:dyDescent="0.15">
      <c r="A29" s="98" t="s">
        <v>47</v>
      </c>
      <c r="B29" s="98" t="s">
        <v>1858</v>
      </c>
      <c r="C29" s="98" t="s">
        <v>1761</v>
      </c>
      <c r="D29" s="179" t="s">
        <v>609</v>
      </c>
      <c r="E29" s="12">
        <f t="shared" si="0"/>
        <v>1241</v>
      </c>
      <c r="F29" s="184">
        <v>1280</v>
      </c>
      <c r="I29" s="186"/>
      <c r="J29" s="186"/>
      <c r="K29" s="186"/>
      <c r="L29" s="101"/>
    </row>
    <row r="30" spans="1:12" x14ac:dyDescent="0.15">
      <c r="A30" s="98" t="s">
        <v>47</v>
      </c>
      <c r="B30" s="98" t="s">
        <v>1858</v>
      </c>
      <c r="C30" s="98" t="s">
        <v>1761</v>
      </c>
      <c r="D30" s="179" t="s">
        <v>610</v>
      </c>
      <c r="E30" s="12">
        <f t="shared" si="0"/>
        <v>1281</v>
      </c>
      <c r="F30" s="184">
        <v>1320</v>
      </c>
      <c r="I30" s="186"/>
      <c r="J30" s="186"/>
      <c r="K30" s="186"/>
      <c r="L30" s="101"/>
    </row>
    <row r="31" spans="1:12" s="100" customFormat="1" x14ac:dyDescent="0.15">
      <c r="A31" s="100" t="s">
        <v>47</v>
      </c>
      <c r="B31" s="100" t="s">
        <v>1859</v>
      </c>
      <c r="C31" s="100" t="s">
        <v>1761</v>
      </c>
      <c r="D31" s="177" t="s">
        <v>611</v>
      </c>
      <c r="E31" s="216">
        <f t="shared" si="0"/>
        <v>1321</v>
      </c>
      <c r="F31" s="217">
        <v>1370</v>
      </c>
      <c r="G31" s="101">
        <v>2.5</v>
      </c>
      <c r="H31" s="101">
        <v>0.4</v>
      </c>
      <c r="I31" s="186">
        <v>3</v>
      </c>
      <c r="J31" s="186">
        <v>0.9</v>
      </c>
      <c r="K31" s="186">
        <v>0.6</v>
      </c>
      <c r="L31" s="101">
        <v>0.8</v>
      </c>
    </row>
    <row r="32" spans="1:12" x14ac:dyDescent="0.15">
      <c r="A32" s="98" t="s">
        <v>47</v>
      </c>
      <c r="B32" s="98" t="s">
        <v>1859</v>
      </c>
      <c r="C32" s="98" t="s">
        <v>1761</v>
      </c>
      <c r="D32" s="179" t="s">
        <v>612</v>
      </c>
      <c r="E32" s="12">
        <f t="shared" si="0"/>
        <v>1371</v>
      </c>
      <c r="F32" s="184">
        <v>1420</v>
      </c>
      <c r="G32" s="102"/>
      <c r="H32" s="102"/>
      <c r="I32" s="187"/>
      <c r="J32" s="186"/>
      <c r="K32" s="186"/>
      <c r="L32" s="101"/>
    </row>
    <row r="33" spans="1:12" x14ac:dyDescent="0.15">
      <c r="A33" s="98" t="s">
        <v>47</v>
      </c>
      <c r="B33" s="98" t="s">
        <v>1859</v>
      </c>
      <c r="C33" s="98" t="s">
        <v>1761</v>
      </c>
      <c r="D33" s="179" t="s">
        <v>613</v>
      </c>
      <c r="E33" s="12">
        <f t="shared" si="0"/>
        <v>1421</v>
      </c>
      <c r="F33" s="184">
        <v>1470</v>
      </c>
      <c r="I33" s="186"/>
      <c r="J33" s="186"/>
      <c r="K33" s="186"/>
      <c r="L33" s="101"/>
    </row>
    <row r="34" spans="1:12" x14ac:dyDescent="0.15">
      <c r="A34" s="98" t="s">
        <v>47</v>
      </c>
      <c r="B34" s="98" t="s">
        <v>1859</v>
      </c>
      <c r="C34" s="98" t="s">
        <v>1761</v>
      </c>
      <c r="D34" s="179" t="s">
        <v>614</v>
      </c>
      <c r="E34" s="12">
        <f t="shared" si="0"/>
        <v>1471</v>
      </c>
      <c r="F34" s="184">
        <v>1520</v>
      </c>
      <c r="I34" s="186"/>
      <c r="J34" s="186"/>
      <c r="K34" s="186"/>
      <c r="L34" s="101"/>
    </row>
    <row r="35" spans="1:12" x14ac:dyDescent="0.15">
      <c r="A35" s="98" t="s">
        <v>47</v>
      </c>
      <c r="B35" s="98" t="s">
        <v>1859</v>
      </c>
      <c r="C35" s="98" t="s">
        <v>1761</v>
      </c>
      <c r="D35" s="179" t="s">
        <v>615</v>
      </c>
      <c r="E35" s="12">
        <f t="shared" si="0"/>
        <v>1521</v>
      </c>
      <c r="F35" s="184">
        <v>1570</v>
      </c>
      <c r="I35" s="186"/>
      <c r="J35" s="186"/>
      <c r="K35" s="186"/>
      <c r="L35" s="101"/>
    </row>
    <row r="36" spans="1:12" x14ac:dyDescent="0.15">
      <c r="A36" s="98" t="s">
        <v>47</v>
      </c>
      <c r="B36" s="98" t="s">
        <v>1859</v>
      </c>
      <c r="C36" s="98" t="s">
        <v>1761</v>
      </c>
      <c r="D36" s="179" t="s">
        <v>616</v>
      </c>
      <c r="E36" s="12">
        <f t="shared" si="0"/>
        <v>1571</v>
      </c>
      <c r="F36" s="184">
        <v>1600</v>
      </c>
      <c r="I36" s="186"/>
      <c r="J36" s="186"/>
      <c r="K36" s="186"/>
      <c r="L36" s="101"/>
    </row>
    <row r="37" spans="1:12" x14ac:dyDescent="0.15">
      <c r="A37" s="98" t="s">
        <v>47</v>
      </c>
      <c r="B37" s="98" t="s">
        <v>1859</v>
      </c>
      <c r="C37" s="98" t="s">
        <v>1761</v>
      </c>
      <c r="D37" s="179" t="s">
        <v>520</v>
      </c>
      <c r="E37" s="12">
        <f t="shared" si="0"/>
        <v>1601</v>
      </c>
      <c r="F37" s="184">
        <v>1625</v>
      </c>
      <c r="I37" s="186"/>
      <c r="J37" s="186"/>
      <c r="K37" s="186"/>
      <c r="L37" s="101"/>
    </row>
    <row r="38" spans="1:12" x14ac:dyDescent="0.15">
      <c r="A38" s="98" t="s">
        <v>47</v>
      </c>
      <c r="B38" s="98" t="s">
        <v>1859</v>
      </c>
      <c r="C38" s="98" t="s">
        <v>1761</v>
      </c>
      <c r="D38" s="179" t="s">
        <v>521</v>
      </c>
      <c r="E38" s="12">
        <f t="shared" si="0"/>
        <v>1626</v>
      </c>
      <c r="F38" s="184">
        <v>1650</v>
      </c>
      <c r="I38" s="186"/>
      <c r="J38" s="186"/>
      <c r="K38" s="186"/>
      <c r="L38" s="101"/>
    </row>
    <row r="39" spans="1:12" s="100" customFormat="1" x14ac:dyDescent="0.15">
      <c r="A39" s="100" t="s">
        <v>47</v>
      </c>
      <c r="B39" s="100" t="s">
        <v>1886</v>
      </c>
      <c r="C39" s="100" t="s">
        <v>1761</v>
      </c>
      <c r="D39" s="177" t="s">
        <v>617</v>
      </c>
      <c r="E39" s="216">
        <f t="shared" si="0"/>
        <v>1651</v>
      </c>
      <c r="F39" s="217">
        <v>1700</v>
      </c>
      <c r="G39" s="101">
        <v>1.5</v>
      </c>
      <c r="H39" s="101">
        <v>0.2</v>
      </c>
      <c r="I39" s="186">
        <v>2</v>
      </c>
      <c r="J39" s="186">
        <v>0.7</v>
      </c>
      <c r="K39" s="186">
        <v>0.6</v>
      </c>
      <c r="L39" s="101">
        <v>0.6</v>
      </c>
    </row>
    <row r="40" spans="1:12" x14ac:dyDescent="0.15">
      <c r="A40" s="98" t="s">
        <v>47</v>
      </c>
      <c r="B40" s="98" t="s">
        <v>1886</v>
      </c>
      <c r="C40" s="98" t="s">
        <v>1761</v>
      </c>
      <c r="D40" s="179" t="s">
        <v>618</v>
      </c>
      <c r="E40" s="12">
        <f t="shared" si="0"/>
        <v>1701</v>
      </c>
      <c r="F40" s="184">
        <v>1750</v>
      </c>
      <c r="G40" s="102"/>
      <c r="H40" s="102"/>
      <c r="I40" s="187"/>
      <c r="J40" s="186"/>
      <c r="K40" s="186"/>
      <c r="L40" s="101"/>
    </row>
    <row r="41" spans="1:12" x14ac:dyDescent="0.15">
      <c r="A41" s="98" t="s">
        <v>47</v>
      </c>
      <c r="B41" s="98" t="s">
        <v>1886</v>
      </c>
      <c r="C41" s="98" t="s">
        <v>1761</v>
      </c>
      <c r="D41" s="179" t="s">
        <v>619</v>
      </c>
      <c r="E41" s="12">
        <f t="shared" si="0"/>
        <v>1751</v>
      </c>
      <c r="F41" s="184">
        <v>1800</v>
      </c>
      <c r="I41" s="186"/>
      <c r="J41" s="186"/>
      <c r="K41" s="186"/>
      <c r="L41" s="101"/>
    </row>
    <row r="42" spans="1:12" x14ac:dyDescent="0.15">
      <c r="A42" s="98" t="s">
        <v>47</v>
      </c>
      <c r="B42" s="98" t="s">
        <v>1886</v>
      </c>
      <c r="C42" s="98" t="s">
        <v>1761</v>
      </c>
      <c r="D42" s="179" t="s">
        <v>620</v>
      </c>
      <c r="E42" s="12">
        <f t="shared" si="0"/>
        <v>1801</v>
      </c>
      <c r="F42" s="184">
        <v>1850</v>
      </c>
      <c r="I42" s="186"/>
      <c r="J42" s="186"/>
      <c r="K42" s="186"/>
      <c r="L42" s="101"/>
    </row>
    <row r="43" spans="1:12" x14ac:dyDescent="0.15">
      <c r="A43" s="98" t="s">
        <v>47</v>
      </c>
      <c r="B43" s="98" t="s">
        <v>1886</v>
      </c>
      <c r="C43" s="98" t="s">
        <v>1761</v>
      </c>
      <c r="D43" s="179" t="s">
        <v>621</v>
      </c>
      <c r="E43" s="12">
        <f t="shared" si="0"/>
        <v>1851</v>
      </c>
      <c r="F43" s="184">
        <v>1885</v>
      </c>
      <c r="I43" s="186"/>
      <c r="J43" s="186"/>
      <c r="K43" s="186"/>
      <c r="L43" s="101"/>
    </row>
    <row r="44" spans="1:12" x14ac:dyDescent="0.15">
      <c r="A44" s="98" t="s">
        <v>47</v>
      </c>
      <c r="B44" s="98" t="s">
        <v>1886</v>
      </c>
      <c r="C44" s="98" t="s">
        <v>1761</v>
      </c>
      <c r="D44" s="179" t="s">
        <v>622</v>
      </c>
      <c r="E44" s="12">
        <f t="shared" si="0"/>
        <v>1886</v>
      </c>
      <c r="F44" s="184">
        <v>1915</v>
      </c>
      <c r="I44" s="186"/>
      <c r="J44" s="186"/>
      <c r="K44" s="186"/>
      <c r="L44" s="101"/>
    </row>
    <row r="45" spans="1:12" x14ac:dyDescent="0.15">
      <c r="A45" s="98" t="s">
        <v>47</v>
      </c>
      <c r="B45" s="98" t="s">
        <v>1886</v>
      </c>
      <c r="C45" s="98" t="s">
        <v>1761</v>
      </c>
      <c r="D45" s="179" t="s">
        <v>623</v>
      </c>
      <c r="E45" s="12">
        <f t="shared" si="0"/>
        <v>1916</v>
      </c>
      <c r="F45" s="184">
        <v>1945</v>
      </c>
      <c r="I45" s="186"/>
      <c r="J45" s="186"/>
      <c r="K45" s="186"/>
      <c r="L45" s="101"/>
    </row>
    <row r="46" spans="1:12" x14ac:dyDescent="0.15">
      <c r="A46" s="98" t="s">
        <v>47</v>
      </c>
      <c r="B46" s="98" t="s">
        <v>1886</v>
      </c>
      <c r="C46" s="98" t="s">
        <v>1761</v>
      </c>
      <c r="D46" s="179" t="s">
        <v>624</v>
      </c>
      <c r="E46" s="12">
        <f t="shared" si="0"/>
        <v>1946</v>
      </c>
      <c r="F46" s="184">
        <v>1970</v>
      </c>
      <c r="I46" s="186"/>
      <c r="J46" s="186"/>
      <c r="K46" s="186"/>
      <c r="L46" s="101"/>
    </row>
    <row r="47" spans="1:12" x14ac:dyDescent="0.15">
      <c r="A47" s="98" t="s">
        <v>47</v>
      </c>
      <c r="B47" s="98" t="s">
        <v>1886</v>
      </c>
      <c r="C47" s="98" t="s">
        <v>1761</v>
      </c>
      <c r="D47" s="179" t="s">
        <v>625</v>
      </c>
      <c r="E47" s="12">
        <f t="shared" si="0"/>
        <v>1971</v>
      </c>
      <c r="F47" s="184">
        <v>2000</v>
      </c>
      <c r="I47" s="186"/>
      <c r="J47" s="186"/>
      <c r="K47" s="186"/>
      <c r="L47" s="101"/>
    </row>
    <row r="48" spans="1:12" s="100" customFormat="1" x14ac:dyDescent="0.15">
      <c r="A48" s="100" t="s">
        <v>47</v>
      </c>
      <c r="B48" s="100" t="s">
        <v>1762</v>
      </c>
      <c r="C48" s="100" t="s">
        <v>1762</v>
      </c>
      <c r="D48" s="177" t="s">
        <v>626</v>
      </c>
      <c r="E48" s="216">
        <f t="shared" si="0"/>
        <v>2001</v>
      </c>
      <c r="F48" s="217">
        <v>2025</v>
      </c>
      <c r="G48" s="101">
        <v>0.8</v>
      </c>
      <c r="H48" s="101">
        <v>0.1</v>
      </c>
      <c r="I48" s="186">
        <v>1.2</v>
      </c>
      <c r="J48" s="186">
        <v>0.5</v>
      </c>
      <c r="K48" s="186">
        <v>0.6</v>
      </c>
      <c r="L48" s="101">
        <v>0.35</v>
      </c>
    </row>
    <row r="49" spans="1:12" x14ac:dyDescent="0.15">
      <c r="A49" s="98" t="s">
        <v>47</v>
      </c>
      <c r="B49" s="98" t="s">
        <v>1762</v>
      </c>
      <c r="C49" s="98" t="s">
        <v>1762</v>
      </c>
      <c r="D49" s="179" t="s">
        <v>627</v>
      </c>
      <c r="E49" s="12">
        <f t="shared" si="0"/>
        <v>2026</v>
      </c>
      <c r="F49" s="184">
        <v>2050</v>
      </c>
      <c r="G49" s="102"/>
      <c r="H49" s="102"/>
      <c r="I49" s="187"/>
      <c r="J49" s="186"/>
      <c r="K49" s="186"/>
      <c r="L49" s="101"/>
    </row>
    <row r="50" spans="1:12" x14ac:dyDescent="0.15">
      <c r="A50" s="98" t="s">
        <v>47</v>
      </c>
      <c r="B50" s="98" t="s">
        <v>1762</v>
      </c>
      <c r="C50" s="98" t="s">
        <v>1762</v>
      </c>
      <c r="D50" s="179" t="s">
        <v>628</v>
      </c>
      <c r="E50" s="12">
        <f t="shared" si="0"/>
        <v>2051</v>
      </c>
      <c r="F50" s="184">
        <v>2075</v>
      </c>
      <c r="I50" s="186"/>
      <c r="J50" s="186"/>
      <c r="K50" s="186"/>
      <c r="L50" s="101"/>
    </row>
    <row r="51" spans="1:12" x14ac:dyDescent="0.15">
      <c r="A51" s="98" t="s">
        <v>47</v>
      </c>
      <c r="B51" s="98" t="s">
        <v>1762</v>
      </c>
      <c r="C51" s="98" t="s">
        <v>1762</v>
      </c>
      <c r="D51" s="179" t="s">
        <v>629</v>
      </c>
      <c r="E51" s="12">
        <f t="shared" si="0"/>
        <v>2076</v>
      </c>
      <c r="F51" s="184">
        <v>2100</v>
      </c>
      <c r="I51" s="186"/>
      <c r="J51" s="186"/>
      <c r="K51" s="186"/>
      <c r="L51" s="101"/>
    </row>
    <row r="52" spans="1:12" x14ac:dyDescent="0.15">
      <c r="A52" s="98" t="s">
        <v>47</v>
      </c>
      <c r="B52" s="98" t="s">
        <v>1762</v>
      </c>
      <c r="C52" s="98" t="s">
        <v>1762</v>
      </c>
      <c r="D52" s="179" t="s">
        <v>630</v>
      </c>
      <c r="E52" s="12">
        <f t="shared" si="0"/>
        <v>2101</v>
      </c>
      <c r="F52" s="184">
        <v>2120</v>
      </c>
      <c r="I52" s="186"/>
      <c r="J52" s="186"/>
      <c r="K52" s="186"/>
      <c r="L52" s="101"/>
    </row>
    <row r="53" spans="1:12" x14ac:dyDescent="0.15">
      <c r="A53" s="98" t="s">
        <v>47</v>
      </c>
      <c r="B53" s="98" t="s">
        <v>1762</v>
      </c>
      <c r="C53" s="98" t="s">
        <v>1762</v>
      </c>
      <c r="D53" s="179" t="s">
        <v>631</v>
      </c>
      <c r="E53" s="12">
        <f t="shared" si="0"/>
        <v>2121</v>
      </c>
      <c r="F53" s="184">
        <v>2150</v>
      </c>
      <c r="I53" s="186"/>
      <c r="J53" s="186"/>
      <c r="K53" s="186"/>
      <c r="L53" s="101"/>
    </row>
    <row r="54" spans="1:12" x14ac:dyDescent="0.15">
      <c r="A54" s="98" t="s">
        <v>47</v>
      </c>
      <c r="B54" s="98" t="s">
        <v>1762</v>
      </c>
      <c r="C54" s="98" t="s">
        <v>1762</v>
      </c>
      <c r="D54" s="179" t="s">
        <v>632</v>
      </c>
      <c r="E54" s="12">
        <f t="shared" si="0"/>
        <v>2151</v>
      </c>
      <c r="F54" s="184">
        <v>2175</v>
      </c>
      <c r="I54" s="186"/>
      <c r="J54" s="186"/>
      <c r="K54" s="186"/>
      <c r="L54" s="101"/>
    </row>
    <row r="55" spans="1:12" x14ac:dyDescent="0.15">
      <c r="A55" s="98" t="s">
        <v>47</v>
      </c>
      <c r="B55" s="98" t="s">
        <v>1762</v>
      </c>
      <c r="C55" s="98" t="s">
        <v>1762</v>
      </c>
      <c r="D55" s="179" t="s">
        <v>633</v>
      </c>
      <c r="E55" s="12">
        <f t="shared" si="0"/>
        <v>2176</v>
      </c>
      <c r="F55" s="184">
        <v>2180</v>
      </c>
      <c r="I55" s="186"/>
      <c r="J55" s="186"/>
      <c r="K55" s="186"/>
      <c r="L55" s="101"/>
    </row>
    <row r="56" spans="1:12" x14ac:dyDescent="0.15">
      <c r="A56" s="98" t="s">
        <v>47</v>
      </c>
      <c r="B56" s="98" t="s">
        <v>1762</v>
      </c>
      <c r="C56" s="98" t="s">
        <v>1762</v>
      </c>
      <c r="D56" s="179" t="s">
        <v>634</v>
      </c>
      <c r="E56" s="12">
        <f t="shared" si="0"/>
        <v>2181</v>
      </c>
      <c r="F56" s="184">
        <v>2190</v>
      </c>
      <c r="I56" s="186"/>
      <c r="J56" s="186"/>
      <c r="K56" s="186"/>
      <c r="L56" s="101"/>
    </row>
    <row r="57" spans="1:12" x14ac:dyDescent="0.15">
      <c r="A57" s="98" t="s">
        <v>47</v>
      </c>
      <c r="B57" s="98" t="s">
        <v>1762</v>
      </c>
      <c r="C57" s="98" t="s">
        <v>1762</v>
      </c>
      <c r="D57" s="179" t="s">
        <v>635</v>
      </c>
      <c r="E57" s="12">
        <f t="shared" si="0"/>
        <v>2191</v>
      </c>
      <c r="F57" s="184">
        <v>2200</v>
      </c>
      <c r="I57" s="186"/>
      <c r="J57" s="186"/>
      <c r="K57" s="186"/>
      <c r="L57" s="101"/>
    </row>
    <row r="58" spans="1:12" s="100" customFormat="1" x14ac:dyDescent="0.15">
      <c r="A58" s="100" t="s">
        <v>47</v>
      </c>
      <c r="B58" s="100" t="s">
        <v>1855</v>
      </c>
      <c r="C58" s="100" t="s">
        <v>1855</v>
      </c>
      <c r="D58" s="177" t="s">
        <v>636</v>
      </c>
      <c r="E58" s="216">
        <f t="shared" si="0"/>
        <v>2201</v>
      </c>
      <c r="F58" s="217">
        <v>2250</v>
      </c>
      <c r="G58" s="101">
        <v>0.3</v>
      </c>
      <c r="H58" s="101">
        <v>0.05</v>
      </c>
      <c r="I58" s="186">
        <v>0.5</v>
      </c>
      <c r="J58" s="186">
        <v>0.2</v>
      </c>
      <c r="K58" s="186">
        <v>0.6</v>
      </c>
      <c r="L58" s="101">
        <v>0.2</v>
      </c>
    </row>
    <row r="59" spans="1:12" x14ac:dyDescent="0.15">
      <c r="A59" s="98" t="s">
        <v>47</v>
      </c>
      <c r="B59" s="98" t="s">
        <v>1855</v>
      </c>
      <c r="C59" s="98" t="s">
        <v>1855</v>
      </c>
      <c r="D59" s="179" t="s">
        <v>456</v>
      </c>
      <c r="E59" s="12">
        <f t="shared" si="0"/>
        <v>2251</v>
      </c>
      <c r="F59" s="184">
        <v>2300</v>
      </c>
      <c r="I59" s="186"/>
      <c r="J59" s="186"/>
      <c r="K59" s="186"/>
      <c r="L59" s="10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AF8F-B54B-42A1-882E-93A5789BF3F0}">
  <sheetPr>
    <tabColor rgb="FFFFFF00"/>
  </sheetPr>
  <dimension ref="A1:L64"/>
  <sheetViews>
    <sheetView workbookViewId="0">
      <selection activeCell="L15" sqref="L15"/>
    </sheetView>
  </sheetViews>
  <sheetFormatPr defaultRowHeight="10.5" x14ac:dyDescent="0.15"/>
  <cols>
    <col min="1" max="1" width="10.28515625" style="98" bestFit="1" customWidth="1"/>
    <col min="2" max="2" width="43.7109375" style="98" bestFit="1" customWidth="1"/>
    <col min="3" max="3" width="11.85546875" style="98" bestFit="1" customWidth="1"/>
    <col min="4" max="4" width="51.28515625" style="98" bestFit="1" customWidth="1"/>
    <col min="5" max="5" width="9.5703125" style="12" bestFit="1" customWidth="1"/>
    <col min="6" max="6" width="8.28515625" style="12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52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20</v>
      </c>
      <c r="G2" s="101">
        <v>0.05</v>
      </c>
      <c r="H2" s="101">
        <v>0.01</v>
      </c>
      <c r="I2" s="186">
        <v>0.05</v>
      </c>
      <c r="J2" s="186">
        <v>0.15</v>
      </c>
      <c r="K2" s="186">
        <v>0.5</v>
      </c>
      <c r="L2" s="101">
        <v>0.8</v>
      </c>
    </row>
    <row r="3" spans="1:12" x14ac:dyDescent="0.15">
      <c r="A3" s="98" t="s">
        <v>52</v>
      </c>
      <c r="B3" s="98" t="s">
        <v>1759</v>
      </c>
      <c r="C3" s="98" t="s">
        <v>1759</v>
      </c>
      <c r="D3" s="179" t="s">
        <v>374</v>
      </c>
      <c r="E3" s="12">
        <f>F2+1</f>
        <v>21</v>
      </c>
      <c r="F3" s="184">
        <v>40</v>
      </c>
      <c r="G3" s="102"/>
      <c r="H3" s="102"/>
      <c r="I3" s="187"/>
      <c r="J3" s="186"/>
      <c r="K3" s="186"/>
      <c r="L3" s="101"/>
    </row>
    <row r="4" spans="1:12" x14ac:dyDescent="0.15">
      <c r="A4" s="98" t="s">
        <v>52</v>
      </c>
      <c r="B4" s="98" t="s">
        <v>1759</v>
      </c>
      <c r="C4" s="98" t="s">
        <v>1759</v>
      </c>
      <c r="D4" s="179" t="s">
        <v>375</v>
      </c>
      <c r="E4" s="12">
        <f t="shared" ref="E4:E64" si="0">F3+1</f>
        <v>41</v>
      </c>
      <c r="F4" s="184">
        <v>60</v>
      </c>
      <c r="I4" s="186"/>
      <c r="J4" s="186"/>
      <c r="K4" s="186"/>
      <c r="L4" s="101"/>
    </row>
    <row r="5" spans="1:12" x14ac:dyDescent="0.15">
      <c r="A5" s="98" t="s">
        <v>52</v>
      </c>
      <c r="B5" s="98" t="s">
        <v>1759</v>
      </c>
      <c r="C5" s="98" t="s">
        <v>1759</v>
      </c>
      <c r="D5" s="179" t="s">
        <v>414</v>
      </c>
      <c r="E5" s="12">
        <f t="shared" si="0"/>
        <v>61</v>
      </c>
      <c r="F5" s="184">
        <v>90</v>
      </c>
      <c r="I5" s="186"/>
      <c r="J5" s="186"/>
      <c r="K5" s="186"/>
      <c r="L5" s="101"/>
    </row>
    <row r="6" spans="1:12" x14ac:dyDescent="0.15">
      <c r="A6" s="98" t="s">
        <v>52</v>
      </c>
      <c r="B6" s="98" t="s">
        <v>1759</v>
      </c>
      <c r="C6" s="98" t="s">
        <v>1759</v>
      </c>
      <c r="D6" s="179" t="s">
        <v>415</v>
      </c>
      <c r="E6" s="12">
        <f t="shared" si="0"/>
        <v>91</v>
      </c>
      <c r="F6" s="184">
        <v>110</v>
      </c>
      <c r="I6" s="186"/>
      <c r="J6" s="186"/>
      <c r="K6" s="186"/>
      <c r="L6" s="101"/>
    </row>
    <row r="7" spans="1:12" x14ac:dyDescent="0.15">
      <c r="A7" s="98" t="s">
        <v>52</v>
      </c>
      <c r="B7" s="98" t="s">
        <v>1759</v>
      </c>
      <c r="C7" s="98" t="s">
        <v>1759</v>
      </c>
      <c r="D7" s="179" t="s">
        <v>416</v>
      </c>
      <c r="E7" s="12">
        <f t="shared" si="0"/>
        <v>111</v>
      </c>
      <c r="F7" s="184">
        <v>130</v>
      </c>
      <c r="I7" s="186"/>
      <c r="J7" s="186"/>
      <c r="K7" s="186"/>
      <c r="L7" s="101"/>
    </row>
    <row r="8" spans="1:12" x14ac:dyDescent="0.15">
      <c r="A8" s="98" t="s">
        <v>52</v>
      </c>
      <c r="B8" s="98" t="s">
        <v>1759</v>
      </c>
      <c r="C8" s="98" t="s">
        <v>1759</v>
      </c>
      <c r="D8" s="179" t="s">
        <v>417</v>
      </c>
      <c r="E8" s="12">
        <f t="shared" si="0"/>
        <v>131</v>
      </c>
      <c r="F8" s="184">
        <v>150</v>
      </c>
      <c r="I8" s="186"/>
      <c r="J8" s="186"/>
      <c r="K8" s="186"/>
      <c r="L8" s="101"/>
    </row>
    <row r="9" spans="1:12" s="100" customFormat="1" x14ac:dyDescent="0.15">
      <c r="A9" s="100" t="s">
        <v>52</v>
      </c>
      <c r="B9" s="100" t="s">
        <v>1887</v>
      </c>
      <c r="C9" s="100" t="s">
        <v>1760</v>
      </c>
      <c r="D9" s="177" t="s">
        <v>380</v>
      </c>
      <c r="E9" s="216">
        <f t="shared" si="0"/>
        <v>151</v>
      </c>
      <c r="F9" s="217">
        <v>180</v>
      </c>
      <c r="G9" s="101">
        <v>1</v>
      </c>
      <c r="H9" s="101">
        <v>0.2</v>
      </c>
      <c r="I9" s="186">
        <v>1.2</v>
      </c>
      <c r="J9" s="186">
        <v>0.45</v>
      </c>
      <c r="K9" s="186">
        <v>0.6</v>
      </c>
      <c r="L9" s="101">
        <v>0.6</v>
      </c>
    </row>
    <row r="10" spans="1:12" x14ac:dyDescent="0.15">
      <c r="A10" s="98" t="s">
        <v>52</v>
      </c>
      <c r="B10" s="98" t="s">
        <v>1887</v>
      </c>
      <c r="C10" s="98" t="s">
        <v>1760</v>
      </c>
      <c r="D10" s="179" t="s">
        <v>646</v>
      </c>
      <c r="E10" s="12">
        <f t="shared" si="0"/>
        <v>181</v>
      </c>
      <c r="F10" s="184">
        <v>200</v>
      </c>
      <c r="G10" s="102"/>
      <c r="H10" s="102"/>
      <c r="I10" s="187"/>
      <c r="J10" s="186"/>
      <c r="K10" s="186"/>
      <c r="L10" s="101"/>
    </row>
    <row r="11" spans="1:12" x14ac:dyDescent="0.15">
      <c r="A11" s="98" t="s">
        <v>52</v>
      </c>
      <c r="B11" s="98" t="s">
        <v>1887</v>
      </c>
      <c r="C11" s="98" t="s">
        <v>1760</v>
      </c>
      <c r="D11" s="179" t="s">
        <v>418</v>
      </c>
      <c r="E11" s="12">
        <f t="shared" si="0"/>
        <v>201</v>
      </c>
      <c r="F11" s="184">
        <v>220</v>
      </c>
      <c r="I11" s="186"/>
      <c r="J11" s="186"/>
      <c r="K11" s="186"/>
      <c r="L11" s="101"/>
    </row>
    <row r="12" spans="1:12" x14ac:dyDescent="0.15">
      <c r="A12" s="98" t="s">
        <v>52</v>
      </c>
      <c r="B12" s="98" t="s">
        <v>1887</v>
      </c>
      <c r="C12" s="98" t="s">
        <v>1760</v>
      </c>
      <c r="D12" s="179" t="s">
        <v>419</v>
      </c>
      <c r="E12" s="12">
        <f t="shared" si="0"/>
        <v>221</v>
      </c>
      <c r="F12" s="184">
        <v>260</v>
      </c>
      <c r="I12" s="186"/>
      <c r="J12" s="186"/>
      <c r="K12" s="186"/>
      <c r="L12" s="101"/>
    </row>
    <row r="13" spans="1:12" x14ac:dyDescent="0.15">
      <c r="A13" s="98" t="s">
        <v>52</v>
      </c>
      <c r="B13" s="98" t="s">
        <v>1887</v>
      </c>
      <c r="C13" s="98" t="s">
        <v>1760</v>
      </c>
      <c r="D13" s="179" t="s">
        <v>538</v>
      </c>
      <c r="E13" s="12">
        <f t="shared" si="0"/>
        <v>261</v>
      </c>
      <c r="F13" s="184">
        <v>400</v>
      </c>
      <c r="I13" s="186"/>
      <c r="J13" s="186"/>
      <c r="K13" s="186"/>
      <c r="L13" s="101"/>
    </row>
    <row r="14" spans="1:12" s="100" customFormat="1" x14ac:dyDescent="0.15">
      <c r="A14" s="100" t="s">
        <v>52</v>
      </c>
      <c r="B14" s="100" t="s">
        <v>1888</v>
      </c>
      <c r="C14" s="100" t="s">
        <v>1760</v>
      </c>
      <c r="D14" s="177" t="s">
        <v>731</v>
      </c>
      <c r="E14" s="216">
        <f t="shared" si="0"/>
        <v>401</v>
      </c>
      <c r="F14" s="217">
        <v>500</v>
      </c>
      <c r="G14" s="101">
        <v>2.5</v>
      </c>
      <c r="H14" s="101">
        <v>0.6</v>
      </c>
      <c r="I14" s="186">
        <v>3</v>
      </c>
      <c r="J14" s="186">
        <v>0.85</v>
      </c>
      <c r="K14" s="186">
        <v>0.65</v>
      </c>
      <c r="L14" s="101">
        <v>0.78</v>
      </c>
    </row>
    <row r="15" spans="1:12" x14ac:dyDescent="0.15">
      <c r="A15" s="98" t="s">
        <v>52</v>
      </c>
      <c r="B15" s="98" t="s">
        <v>1888</v>
      </c>
      <c r="C15" s="98" t="s">
        <v>1760</v>
      </c>
      <c r="D15" s="179" t="s">
        <v>732</v>
      </c>
      <c r="E15" s="12">
        <f t="shared" si="0"/>
        <v>501</v>
      </c>
      <c r="F15" s="184">
        <v>600</v>
      </c>
      <c r="G15" s="102"/>
      <c r="H15" s="102"/>
      <c r="I15" s="187"/>
      <c r="J15" s="186"/>
      <c r="K15" s="186"/>
      <c r="L15" s="101"/>
    </row>
    <row r="16" spans="1:12" x14ac:dyDescent="0.15">
      <c r="A16" s="98" t="s">
        <v>52</v>
      </c>
      <c r="B16" s="98" t="s">
        <v>1888</v>
      </c>
      <c r="C16" s="98" t="s">
        <v>1760</v>
      </c>
      <c r="D16" s="179" t="s">
        <v>733</v>
      </c>
      <c r="E16" s="12">
        <f t="shared" si="0"/>
        <v>601</v>
      </c>
      <c r="F16" s="184">
        <v>700</v>
      </c>
      <c r="I16" s="186"/>
      <c r="J16" s="186"/>
      <c r="K16" s="186"/>
      <c r="L16" s="101"/>
    </row>
    <row r="17" spans="1:12" x14ac:dyDescent="0.15">
      <c r="A17" s="98" t="s">
        <v>52</v>
      </c>
      <c r="B17" s="98" t="s">
        <v>1888</v>
      </c>
      <c r="C17" s="98" t="s">
        <v>1760</v>
      </c>
      <c r="D17" s="179" t="s">
        <v>734</v>
      </c>
      <c r="E17" s="12">
        <f t="shared" si="0"/>
        <v>701</v>
      </c>
      <c r="F17" s="184">
        <v>800</v>
      </c>
      <c r="I17" s="186"/>
      <c r="J17" s="186"/>
      <c r="K17" s="186"/>
      <c r="L17" s="101"/>
    </row>
    <row r="18" spans="1:12" x14ac:dyDescent="0.15">
      <c r="A18" s="98" t="s">
        <v>52</v>
      </c>
      <c r="B18" s="98" t="s">
        <v>1888</v>
      </c>
      <c r="C18" s="98" t="s">
        <v>1760</v>
      </c>
      <c r="D18" s="179" t="s">
        <v>735</v>
      </c>
      <c r="E18" s="12">
        <f t="shared" si="0"/>
        <v>801</v>
      </c>
      <c r="F18" s="184">
        <v>900</v>
      </c>
      <c r="I18" s="186"/>
      <c r="J18" s="186"/>
      <c r="K18" s="186"/>
      <c r="L18" s="101"/>
    </row>
    <row r="19" spans="1:12" x14ac:dyDescent="0.15">
      <c r="A19" s="98" t="s">
        <v>52</v>
      </c>
      <c r="B19" s="98" t="s">
        <v>1888</v>
      </c>
      <c r="C19" s="98" t="s">
        <v>1760</v>
      </c>
      <c r="D19" s="179" t="s">
        <v>736</v>
      </c>
      <c r="E19" s="12">
        <f t="shared" si="0"/>
        <v>901</v>
      </c>
      <c r="F19" s="184">
        <v>1000</v>
      </c>
      <c r="I19" s="186"/>
      <c r="J19" s="186"/>
      <c r="K19" s="186"/>
      <c r="L19" s="101"/>
    </row>
    <row r="20" spans="1:12" x14ac:dyDescent="0.15">
      <c r="A20" s="98" t="s">
        <v>52</v>
      </c>
      <c r="B20" s="98" t="s">
        <v>1888</v>
      </c>
      <c r="C20" s="98" t="s">
        <v>1760</v>
      </c>
      <c r="D20" s="179" t="s">
        <v>737</v>
      </c>
      <c r="E20" s="12">
        <f t="shared" si="0"/>
        <v>1001</v>
      </c>
      <c r="F20" s="184">
        <v>1100</v>
      </c>
      <c r="I20" s="186"/>
      <c r="J20" s="186"/>
      <c r="K20" s="186"/>
      <c r="L20" s="101"/>
    </row>
    <row r="21" spans="1:12" x14ac:dyDescent="0.15">
      <c r="A21" s="98" t="s">
        <v>52</v>
      </c>
      <c r="B21" s="98" t="s">
        <v>1888</v>
      </c>
      <c r="C21" s="98" t="s">
        <v>1760</v>
      </c>
      <c r="D21" s="179" t="s">
        <v>738</v>
      </c>
      <c r="E21" s="12">
        <f t="shared" si="0"/>
        <v>1101</v>
      </c>
      <c r="F21" s="184">
        <v>1200</v>
      </c>
      <c r="I21" s="186"/>
      <c r="J21" s="186"/>
      <c r="K21" s="186"/>
      <c r="L21" s="101"/>
    </row>
    <row r="22" spans="1:12" x14ac:dyDescent="0.15">
      <c r="A22" s="98" t="s">
        <v>52</v>
      </c>
      <c r="B22" s="98" t="s">
        <v>1888</v>
      </c>
      <c r="C22" s="98" t="s">
        <v>1760</v>
      </c>
      <c r="D22" s="179" t="s">
        <v>739</v>
      </c>
      <c r="E22" s="12">
        <f t="shared" si="0"/>
        <v>1201</v>
      </c>
      <c r="F22" s="184">
        <v>1300</v>
      </c>
      <c r="I22" s="186"/>
      <c r="J22" s="186"/>
      <c r="K22" s="186"/>
      <c r="L22" s="101"/>
    </row>
    <row r="23" spans="1:12" s="100" customFormat="1" x14ac:dyDescent="0.15">
      <c r="A23" s="100" t="s">
        <v>52</v>
      </c>
      <c r="B23" s="100" t="s">
        <v>1858</v>
      </c>
      <c r="C23" s="100" t="s">
        <v>1761</v>
      </c>
      <c r="D23" s="177" t="s">
        <v>744</v>
      </c>
      <c r="E23" s="216">
        <f t="shared" si="0"/>
        <v>1301</v>
      </c>
      <c r="F23" s="217">
        <v>1350</v>
      </c>
      <c r="G23" s="101">
        <v>1.5</v>
      </c>
      <c r="H23" s="101">
        <v>0.4</v>
      </c>
      <c r="I23" s="186">
        <v>2.5</v>
      </c>
      <c r="J23" s="186">
        <v>0.7</v>
      </c>
      <c r="K23" s="186">
        <v>0.6</v>
      </c>
      <c r="L23" s="101">
        <v>0.7</v>
      </c>
    </row>
    <row r="24" spans="1:12" x14ac:dyDescent="0.15">
      <c r="A24" s="98" t="s">
        <v>52</v>
      </c>
      <c r="B24" s="98" t="s">
        <v>1858</v>
      </c>
      <c r="C24" s="98" t="s">
        <v>1761</v>
      </c>
      <c r="D24" s="179" t="s">
        <v>740</v>
      </c>
      <c r="E24" s="12">
        <f t="shared" si="0"/>
        <v>1351</v>
      </c>
      <c r="F24" s="184">
        <v>1400</v>
      </c>
      <c r="G24" s="102"/>
      <c r="H24" s="102"/>
      <c r="I24" s="187"/>
      <c r="J24" s="186"/>
      <c r="K24" s="186"/>
      <c r="L24" s="101"/>
    </row>
    <row r="25" spans="1:12" x14ac:dyDescent="0.15">
      <c r="A25" s="98" t="s">
        <v>52</v>
      </c>
      <c r="B25" s="98" t="s">
        <v>1858</v>
      </c>
      <c r="C25" s="98" t="s">
        <v>1761</v>
      </c>
      <c r="D25" s="179" t="s">
        <v>745</v>
      </c>
      <c r="E25" s="12">
        <f t="shared" si="0"/>
        <v>1401</v>
      </c>
      <c r="F25" s="184">
        <v>1450</v>
      </c>
      <c r="I25" s="186"/>
      <c r="J25" s="186"/>
      <c r="K25" s="186"/>
      <c r="L25" s="101"/>
    </row>
    <row r="26" spans="1:12" x14ac:dyDescent="0.15">
      <c r="A26" s="98" t="s">
        <v>52</v>
      </c>
      <c r="B26" s="98" t="s">
        <v>1858</v>
      </c>
      <c r="C26" s="98" t="s">
        <v>1761</v>
      </c>
      <c r="D26" s="179" t="s">
        <v>715</v>
      </c>
      <c r="E26" s="12">
        <f t="shared" si="0"/>
        <v>1451</v>
      </c>
      <c r="F26" s="184">
        <v>1500</v>
      </c>
      <c r="I26" s="186"/>
      <c r="J26" s="186"/>
      <c r="K26" s="186"/>
      <c r="L26" s="101"/>
    </row>
    <row r="27" spans="1:12" x14ac:dyDescent="0.15">
      <c r="A27" s="98" t="s">
        <v>52</v>
      </c>
      <c r="B27" s="98" t="s">
        <v>1858</v>
      </c>
      <c r="C27" s="98" t="s">
        <v>1761</v>
      </c>
      <c r="D27" s="179" t="s">
        <v>747</v>
      </c>
      <c r="E27" s="12">
        <f t="shared" si="0"/>
        <v>1501</v>
      </c>
      <c r="F27" s="184">
        <v>1550</v>
      </c>
      <c r="I27" s="186"/>
      <c r="J27" s="186"/>
      <c r="K27" s="186"/>
      <c r="L27" s="101"/>
    </row>
    <row r="28" spans="1:12" x14ac:dyDescent="0.15">
      <c r="A28" s="98" t="s">
        <v>52</v>
      </c>
      <c r="B28" s="98" t="s">
        <v>1858</v>
      </c>
      <c r="C28" s="98" t="s">
        <v>1761</v>
      </c>
      <c r="D28" s="179" t="s">
        <v>716</v>
      </c>
      <c r="E28" s="12">
        <f t="shared" si="0"/>
        <v>1551</v>
      </c>
      <c r="F28" s="184">
        <v>1600</v>
      </c>
      <c r="I28" s="186"/>
      <c r="J28" s="186"/>
      <c r="K28" s="186"/>
      <c r="L28" s="101"/>
    </row>
    <row r="29" spans="1:12" x14ac:dyDescent="0.15">
      <c r="A29" s="98" t="s">
        <v>52</v>
      </c>
      <c r="B29" s="98" t="s">
        <v>1858</v>
      </c>
      <c r="C29" s="98" t="s">
        <v>1761</v>
      </c>
      <c r="D29" s="179" t="s">
        <v>746</v>
      </c>
      <c r="E29" s="12">
        <f t="shared" si="0"/>
        <v>1601</v>
      </c>
      <c r="F29" s="184">
        <v>1650</v>
      </c>
      <c r="I29" s="186"/>
      <c r="J29" s="186"/>
      <c r="K29" s="186"/>
      <c r="L29" s="101"/>
    </row>
    <row r="30" spans="1:12" x14ac:dyDescent="0.15">
      <c r="A30" s="98" t="s">
        <v>52</v>
      </c>
      <c r="B30" s="98" t="s">
        <v>1858</v>
      </c>
      <c r="C30" s="98" t="s">
        <v>1761</v>
      </c>
      <c r="D30" s="179" t="s">
        <v>717</v>
      </c>
      <c r="E30" s="12">
        <f t="shared" si="0"/>
        <v>1651</v>
      </c>
      <c r="F30" s="184">
        <v>1700</v>
      </c>
      <c r="I30" s="186"/>
      <c r="J30" s="186"/>
      <c r="K30" s="186"/>
      <c r="L30" s="101"/>
    </row>
    <row r="31" spans="1:12" x14ac:dyDescent="0.15">
      <c r="A31" s="98" t="s">
        <v>52</v>
      </c>
      <c r="B31" s="98" t="s">
        <v>1858</v>
      </c>
      <c r="C31" s="98" t="s">
        <v>1761</v>
      </c>
      <c r="D31" s="179" t="s">
        <v>748</v>
      </c>
      <c r="E31" s="12">
        <f t="shared" si="0"/>
        <v>1701</v>
      </c>
      <c r="F31" s="184">
        <v>1750</v>
      </c>
      <c r="I31" s="186"/>
      <c r="J31" s="186"/>
      <c r="K31" s="186"/>
      <c r="L31" s="101"/>
    </row>
    <row r="32" spans="1:12" x14ac:dyDescent="0.15">
      <c r="A32" s="98" t="s">
        <v>52</v>
      </c>
      <c r="B32" s="98" t="s">
        <v>1858</v>
      </c>
      <c r="C32" s="98" t="s">
        <v>1761</v>
      </c>
      <c r="D32" s="179" t="s">
        <v>670</v>
      </c>
      <c r="E32" s="12">
        <f t="shared" si="0"/>
        <v>1751</v>
      </c>
      <c r="F32" s="184">
        <v>1800</v>
      </c>
      <c r="I32" s="186"/>
      <c r="J32" s="186"/>
      <c r="K32" s="186"/>
      <c r="L32" s="101"/>
    </row>
    <row r="33" spans="1:12" s="100" customFormat="1" x14ac:dyDescent="0.15">
      <c r="A33" s="100" t="s">
        <v>52</v>
      </c>
      <c r="B33" s="100" t="s">
        <v>1859</v>
      </c>
      <c r="C33" s="100" t="s">
        <v>1761</v>
      </c>
      <c r="D33" s="177" t="s">
        <v>671</v>
      </c>
      <c r="E33" s="216">
        <f t="shared" si="0"/>
        <v>1801</v>
      </c>
      <c r="F33" s="217">
        <v>1900</v>
      </c>
      <c r="G33" s="101">
        <v>1</v>
      </c>
      <c r="H33" s="101">
        <v>0.3</v>
      </c>
      <c r="I33" s="186">
        <v>2</v>
      </c>
      <c r="J33" s="186">
        <v>0.6</v>
      </c>
      <c r="K33" s="186">
        <v>0.6</v>
      </c>
      <c r="L33" s="101">
        <v>0.68</v>
      </c>
    </row>
    <row r="34" spans="1:12" x14ac:dyDescent="0.15">
      <c r="A34" s="98" t="s">
        <v>52</v>
      </c>
      <c r="B34" s="98" t="s">
        <v>1859</v>
      </c>
      <c r="C34" s="98" t="s">
        <v>1761</v>
      </c>
      <c r="D34" s="179" t="s">
        <v>430</v>
      </c>
      <c r="E34" s="12">
        <f t="shared" si="0"/>
        <v>1901</v>
      </c>
      <c r="F34" s="184">
        <v>2000</v>
      </c>
      <c r="G34" s="102"/>
      <c r="H34" s="102"/>
      <c r="I34" s="187"/>
      <c r="J34" s="186"/>
      <c r="K34" s="186"/>
      <c r="L34" s="101"/>
    </row>
    <row r="35" spans="1:12" x14ac:dyDescent="0.15">
      <c r="A35" s="98" t="s">
        <v>52</v>
      </c>
      <c r="B35" s="98" t="s">
        <v>1859</v>
      </c>
      <c r="C35" s="98" t="s">
        <v>1761</v>
      </c>
      <c r="D35" s="179" t="s">
        <v>431</v>
      </c>
      <c r="E35" s="12">
        <f t="shared" si="0"/>
        <v>2001</v>
      </c>
      <c r="F35" s="184">
        <v>2100</v>
      </c>
      <c r="I35" s="186"/>
      <c r="J35" s="186"/>
      <c r="K35" s="186"/>
      <c r="L35" s="101"/>
    </row>
    <row r="36" spans="1:12" x14ac:dyDescent="0.15">
      <c r="A36" s="98" t="s">
        <v>52</v>
      </c>
      <c r="B36" s="98" t="s">
        <v>1859</v>
      </c>
      <c r="C36" s="98" t="s">
        <v>1761</v>
      </c>
      <c r="D36" s="179" t="s">
        <v>432</v>
      </c>
      <c r="E36" s="12">
        <f t="shared" si="0"/>
        <v>2101</v>
      </c>
      <c r="F36" s="184">
        <v>2200</v>
      </c>
      <c r="I36" s="186"/>
      <c r="J36" s="186"/>
      <c r="K36" s="186"/>
      <c r="L36" s="101"/>
    </row>
    <row r="37" spans="1:12" x14ac:dyDescent="0.15">
      <c r="A37" s="98" t="s">
        <v>52</v>
      </c>
      <c r="B37" s="98" t="s">
        <v>1859</v>
      </c>
      <c r="C37" s="98" t="s">
        <v>1761</v>
      </c>
      <c r="D37" s="179" t="s">
        <v>433</v>
      </c>
      <c r="E37" s="12">
        <f t="shared" si="0"/>
        <v>2201</v>
      </c>
      <c r="F37" s="184">
        <v>2300</v>
      </c>
      <c r="I37" s="186"/>
      <c r="J37" s="186"/>
      <c r="K37" s="186"/>
      <c r="L37" s="101"/>
    </row>
    <row r="38" spans="1:12" x14ac:dyDescent="0.15">
      <c r="A38" s="98" t="s">
        <v>52</v>
      </c>
      <c r="B38" s="98" t="s">
        <v>1859</v>
      </c>
      <c r="C38" s="98" t="s">
        <v>1761</v>
      </c>
      <c r="D38" s="179" t="s">
        <v>434</v>
      </c>
      <c r="E38" s="12">
        <f t="shared" si="0"/>
        <v>2301</v>
      </c>
      <c r="F38" s="184">
        <v>2400</v>
      </c>
      <c r="I38" s="186"/>
      <c r="J38" s="186"/>
      <c r="K38" s="186"/>
      <c r="L38" s="101"/>
    </row>
    <row r="39" spans="1:12" x14ac:dyDescent="0.15">
      <c r="A39" s="98" t="s">
        <v>52</v>
      </c>
      <c r="B39" s="98" t="s">
        <v>1859</v>
      </c>
      <c r="C39" s="98" t="s">
        <v>1761</v>
      </c>
      <c r="D39" s="179" t="s">
        <v>749</v>
      </c>
      <c r="E39" s="12">
        <f t="shared" si="0"/>
        <v>2401</v>
      </c>
      <c r="F39" s="184">
        <v>2450</v>
      </c>
      <c r="I39" s="186"/>
      <c r="J39" s="186"/>
      <c r="K39" s="186"/>
      <c r="L39" s="101"/>
    </row>
    <row r="40" spans="1:12" x14ac:dyDescent="0.15">
      <c r="A40" s="98" t="s">
        <v>52</v>
      </c>
      <c r="B40" s="98" t="s">
        <v>1859</v>
      </c>
      <c r="C40" s="98" t="s">
        <v>1761</v>
      </c>
      <c r="D40" s="179" t="s">
        <v>435</v>
      </c>
      <c r="E40" s="12">
        <f t="shared" si="0"/>
        <v>2451</v>
      </c>
      <c r="F40" s="184">
        <v>2500</v>
      </c>
      <c r="I40" s="186"/>
      <c r="J40" s="186"/>
      <c r="K40" s="186"/>
      <c r="L40" s="101"/>
    </row>
    <row r="41" spans="1:12" x14ac:dyDescent="0.15">
      <c r="A41" s="98" t="s">
        <v>52</v>
      </c>
      <c r="B41" s="98" t="s">
        <v>1859</v>
      </c>
      <c r="C41" s="98" t="s">
        <v>1761</v>
      </c>
      <c r="D41" s="179" t="s">
        <v>750</v>
      </c>
      <c r="E41" s="12">
        <f t="shared" si="0"/>
        <v>2501</v>
      </c>
      <c r="F41" s="184">
        <v>2550</v>
      </c>
      <c r="I41" s="186"/>
      <c r="J41" s="186"/>
      <c r="K41" s="186"/>
      <c r="L41" s="101"/>
    </row>
    <row r="42" spans="1:12" x14ac:dyDescent="0.15">
      <c r="A42" s="98" t="s">
        <v>52</v>
      </c>
      <c r="B42" s="98" t="s">
        <v>1859</v>
      </c>
      <c r="C42" s="98" t="s">
        <v>1761</v>
      </c>
      <c r="D42" s="179" t="s">
        <v>521</v>
      </c>
      <c r="E42" s="12">
        <f t="shared" si="0"/>
        <v>2551</v>
      </c>
      <c r="F42" s="184">
        <v>2600</v>
      </c>
      <c r="I42" s="186"/>
      <c r="J42" s="186"/>
      <c r="K42" s="186"/>
      <c r="L42" s="101"/>
    </row>
    <row r="43" spans="1:12" s="100" customFormat="1" x14ac:dyDescent="0.15">
      <c r="A43" s="100" t="s">
        <v>52</v>
      </c>
      <c r="B43" s="100" t="s">
        <v>1886</v>
      </c>
      <c r="C43" s="100" t="s">
        <v>1761</v>
      </c>
      <c r="D43" s="177" t="s">
        <v>672</v>
      </c>
      <c r="E43" s="216">
        <f t="shared" si="0"/>
        <v>2601</v>
      </c>
      <c r="F43" s="217">
        <v>2700</v>
      </c>
      <c r="G43" s="101">
        <v>0.6</v>
      </c>
      <c r="H43" s="101">
        <v>0.2</v>
      </c>
      <c r="I43" s="186">
        <v>1</v>
      </c>
      <c r="J43" s="186">
        <v>0.4</v>
      </c>
      <c r="K43" s="186">
        <v>0.55000000000000004</v>
      </c>
      <c r="L43" s="101">
        <v>0.55000000000000004</v>
      </c>
    </row>
    <row r="44" spans="1:12" x14ac:dyDescent="0.15">
      <c r="A44" s="98" t="s">
        <v>52</v>
      </c>
      <c r="B44" s="98" t="s">
        <v>1886</v>
      </c>
      <c r="C44" s="98" t="s">
        <v>1761</v>
      </c>
      <c r="D44" s="179" t="s">
        <v>673</v>
      </c>
      <c r="E44" s="12">
        <f t="shared" si="0"/>
        <v>2701</v>
      </c>
      <c r="F44" s="184">
        <v>2800</v>
      </c>
      <c r="G44" s="102"/>
      <c r="H44" s="102"/>
      <c r="I44" s="187"/>
      <c r="J44" s="186"/>
      <c r="K44" s="186"/>
      <c r="L44" s="101"/>
    </row>
    <row r="45" spans="1:12" x14ac:dyDescent="0.15">
      <c r="A45" s="98" t="s">
        <v>52</v>
      </c>
      <c r="B45" s="98" t="s">
        <v>1886</v>
      </c>
      <c r="C45" s="98" t="s">
        <v>1761</v>
      </c>
      <c r="D45" s="179" t="s">
        <v>674</v>
      </c>
      <c r="E45" s="12">
        <f t="shared" si="0"/>
        <v>2801</v>
      </c>
      <c r="F45" s="184">
        <v>2900</v>
      </c>
      <c r="I45" s="186"/>
      <c r="J45" s="186"/>
      <c r="K45" s="186"/>
      <c r="L45" s="101"/>
    </row>
    <row r="46" spans="1:12" x14ac:dyDescent="0.15">
      <c r="A46" s="98" t="s">
        <v>52</v>
      </c>
      <c r="B46" s="98" t="s">
        <v>1886</v>
      </c>
      <c r="C46" s="98" t="s">
        <v>1761</v>
      </c>
      <c r="D46" s="179" t="s">
        <v>675</v>
      </c>
      <c r="E46" s="12">
        <f t="shared" si="0"/>
        <v>2901</v>
      </c>
      <c r="F46" s="184">
        <v>3000</v>
      </c>
      <c r="I46" s="186"/>
      <c r="J46" s="186"/>
      <c r="K46" s="186"/>
      <c r="L46" s="101"/>
    </row>
    <row r="47" spans="1:12" x14ac:dyDescent="0.15">
      <c r="A47" s="98" t="s">
        <v>52</v>
      </c>
      <c r="B47" s="98" t="s">
        <v>1886</v>
      </c>
      <c r="C47" s="98" t="s">
        <v>1761</v>
      </c>
      <c r="D47" s="179" t="s">
        <v>676</v>
      </c>
      <c r="E47" s="12">
        <f t="shared" si="0"/>
        <v>3001</v>
      </c>
      <c r="F47" s="184">
        <v>3100</v>
      </c>
      <c r="I47" s="186"/>
      <c r="J47" s="186"/>
      <c r="K47" s="186"/>
      <c r="L47" s="101"/>
    </row>
    <row r="48" spans="1:12" x14ac:dyDescent="0.15">
      <c r="A48" s="98" t="s">
        <v>52</v>
      </c>
      <c r="B48" s="98" t="s">
        <v>1886</v>
      </c>
      <c r="C48" s="98" t="s">
        <v>1761</v>
      </c>
      <c r="D48" s="179" t="s">
        <v>677</v>
      </c>
      <c r="E48" s="12">
        <f t="shared" si="0"/>
        <v>3101</v>
      </c>
      <c r="F48" s="184">
        <v>3200</v>
      </c>
      <c r="I48" s="186"/>
      <c r="J48" s="186"/>
      <c r="K48" s="186"/>
      <c r="L48" s="101"/>
    </row>
    <row r="49" spans="1:12" x14ac:dyDescent="0.15">
      <c r="A49" s="98" t="s">
        <v>52</v>
      </c>
      <c r="B49" s="98" t="s">
        <v>1886</v>
      </c>
      <c r="C49" s="98" t="s">
        <v>1761</v>
      </c>
      <c r="D49" s="179" t="s">
        <v>678</v>
      </c>
      <c r="E49" s="12">
        <f t="shared" si="0"/>
        <v>3201</v>
      </c>
      <c r="F49" s="184">
        <v>3300</v>
      </c>
      <c r="I49" s="186"/>
      <c r="J49" s="186"/>
      <c r="K49" s="186"/>
      <c r="L49" s="101"/>
    </row>
    <row r="50" spans="1:12" x14ac:dyDescent="0.15">
      <c r="A50" s="98" t="s">
        <v>52</v>
      </c>
      <c r="B50" s="98" t="s">
        <v>1886</v>
      </c>
      <c r="C50" s="98" t="s">
        <v>1761</v>
      </c>
      <c r="D50" s="179" t="s">
        <v>679</v>
      </c>
      <c r="E50" s="12">
        <f t="shared" si="0"/>
        <v>3301</v>
      </c>
      <c r="F50" s="184">
        <v>3400</v>
      </c>
      <c r="I50" s="186"/>
      <c r="J50" s="186"/>
      <c r="K50" s="186"/>
      <c r="L50" s="101"/>
    </row>
    <row r="51" spans="1:12" x14ac:dyDescent="0.15">
      <c r="A51" s="98" t="s">
        <v>52</v>
      </c>
      <c r="B51" s="98" t="s">
        <v>1886</v>
      </c>
      <c r="C51" s="98" t="s">
        <v>1761</v>
      </c>
      <c r="D51" s="179" t="s">
        <v>680</v>
      </c>
      <c r="E51" s="12">
        <f t="shared" si="0"/>
        <v>3401</v>
      </c>
      <c r="F51" s="184">
        <v>3500</v>
      </c>
      <c r="I51" s="186"/>
      <c r="J51" s="186"/>
      <c r="K51" s="186"/>
      <c r="L51" s="101"/>
    </row>
    <row r="52" spans="1:12" s="100" customFormat="1" x14ac:dyDescent="0.15">
      <c r="A52" s="100" t="s">
        <v>52</v>
      </c>
      <c r="B52" s="100" t="s">
        <v>1860</v>
      </c>
      <c r="C52" s="100" t="s">
        <v>1762</v>
      </c>
      <c r="D52" s="177" t="s">
        <v>681</v>
      </c>
      <c r="E52" s="216">
        <f t="shared" si="0"/>
        <v>3501</v>
      </c>
      <c r="F52" s="217">
        <v>3600</v>
      </c>
      <c r="G52" s="101">
        <v>0.3</v>
      </c>
      <c r="H52" s="101">
        <v>0.1</v>
      </c>
      <c r="I52" s="186">
        <v>0.5</v>
      </c>
      <c r="J52" s="186">
        <v>0.3</v>
      </c>
      <c r="K52" s="186">
        <v>0.5</v>
      </c>
      <c r="L52" s="101">
        <v>0.38</v>
      </c>
    </row>
    <row r="53" spans="1:12" x14ac:dyDescent="0.15">
      <c r="A53" s="98" t="s">
        <v>52</v>
      </c>
      <c r="B53" s="98" t="s">
        <v>1860</v>
      </c>
      <c r="C53" s="98" t="s">
        <v>1762</v>
      </c>
      <c r="D53" s="179" t="s">
        <v>751</v>
      </c>
      <c r="E53" s="12">
        <f t="shared" si="0"/>
        <v>3601</v>
      </c>
      <c r="F53" s="184">
        <v>3700</v>
      </c>
      <c r="G53" s="102"/>
      <c r="H53" s="102"/>
      <c r="I53" s="187"/>
      <c r="J53" s="186"/>
      <c r="K53" s="186"/>
      <c r="L53" s="101"/>
    </row>
    <row r="54" spans="1:12" x14ac:dyDescent="0.15">
      <c r="A54" s="98" t="s">
        <v>52</v>
      </c>
      <c r="B54" s="98" t="s">
        <v>1860</v>
      </c>
      <c r="C54" s="98" t="s">
        <v>1762</v>
      </c>
      <c r="D54" s="179" t="s">
        <v>752</v>
      </c>
      <c r="E54" s="12">
        <f t="shared" si="0"/>
        <v>3701</v>
      </c>
      <c r="F54" s="184">
        <v>3800</v>
      </c>
      <c r="I54" s="186"/>
      <c r="J54" s="186"/>
      <c r="K54" s="186"/>
      <c r="L54" s="101"/>
    </row>
    <row r="55" spans="1:12" x14ac:dyDescent="0.15">
      <c r="A55" s="98" t="s">
        <v>52</v>
      </c>
      <c r="B55" s="98" t="s">
        <v>1860</v>
      </c>
      <c r="C55" s="98" t="s">
        <v>1762</v>
      </c>
      <c r="D55" s="179" t="s">
        <v>753</v>
      </c>
      <c r="E55" s="12">
        <f t="shared" si="0"/>
        <v>3801</v>
      </c>
      <c r="F55" s="184">
        <v>3850</v>
      </c>
      <c r="I55" s="186"/>
      <c r="J55" s="186"/>
      <c r="K55" s="186"/>
      <c r="L55" s="101"/>
    </row>
    <row r="56" spans="1:12" x14ac:dyDescent="0.15">
      <c r="A56" s="98" t="s">
        <v>52</v>
      </c>
      <c r="B56" s="98" t="s">
        <v>1860</v>
      </c>
      <c r="C56" s="98" t="s">
        <v>1762</v>
      </c>
      <c r="D56" s="179" t="s">
        <v>741</v>
      </c>
      <c r="E56" s="12">
        <f t="shared" si="0"/>
        <v>3851</v>
      </c>
      <c r="F56" s="184">
        <v>3900</v>
      </c>
      <c r="I56" s="186"/>
      <c r="J56" s="186"/>
      <c r="K56" s="186"/>
      <c r="L56" s="101"/>
    </row>
    <row r="57" spans="1:12" x14ac:dyDescent="0.15">
      <c r="A57" s="98" t="s">
        <v>52</v>
      </c>
      <c r="B57" s="98" t="s">
        <v>1860</v>
      </c>
      <c r="C57" s="98" t="s">
        <v>1762</v>
      </c>
      <c r="D57" s="179" t="s">
        <v>754</v>
      </c>
      <c r="E57" s="12">
        <f t="shared" si="0"/>
        <v>3901</v>
      </c>
      <c r="F57" s="184">
        <v>3950</v>
      </c>
      <c r="I57" s="186"/>
      <c r="J57" s="186"/>
      <c r="K57" s="186"/>
      <c r="L57" s="101"/>
    </row>
    <row r="58" spans="1:12" x14ac:dyDescent="0.15">
      <c r="A58" s="98" t="s">
        <v>52</v>
      </c>
      <c r="B58" s="98" t="s">
        <v>1860</v>
      </c>
      <c r="C58" s="98" t="s">
        <v>1762</v>
      </c>
      <c r="D58" s="179" t="s">
        <v>755</v>
      </c>
      <c r="E58" s="12">
        <f t="shared" si="0"/>
        <v>3951</v>
      </c>
      <c r="F58" s="184">
        <v>3975</v>
      </c>
      <c r="I58" s="186"/>
      <c r="J58" s="186"/>
      <c r="K58" s="186"/>
      <c r="L58" s="101"/>
    </row>
    <row r="59" spans="1:12" x14ac:dyDescent="0.15">
      <c r="A59" s="98" t="s">
        <v>52</v>
      </c>
      <c r="B59" s="98" t="s">
        <v>1860</v>
      </c>
      <c r="C59" s="98" t="s">
        <v>1762</v>
      </c>
      <c r="D59" s="179" t="s">
        <v>756</v>
      </c>
      <c r="E59" s="12">
        <f t="shared" si="0"/>
        <v>3976</v>
      </c>
      <c r="F59" s="184">
        <v>3990</v>
      </c>
      <c r="I59" s="186"/>
      <c r="J59" s="186"/>
      <c r="K59" s="186"/>
      <c r="L59" s="101"/>
    </row>
    <row r="60" spans="1:12" x14ac:dyDescent="0.15">
      <c r="A60" s="98" t="s">
        <v>52</v>
      </c>
      <c r="B60" s="98" t="s">
        <v>1860</v>
      </c>
      <c r="C60" s="98" t="s">
        <v>1762</v>
      </c>
      <c r="D60" s="179" t="s">
        <v>742</v>
      </c>
      <c r="E60" s="12">
        <f t="shared" si="0"/>
        <v>3991</v>
      </c>
      <c r="F60" s="184">
        <v>4000</v>
      </c>
      <c r="I60" s="186"/>
      <c r="J60" s="186"/>
      <c r="K60" s="186"/>
      <c r="L60" s="101"/>
    </row>
    <row r="61" spans="1:12" s="100" customFormat="1" x14ac:dyDescent="0.15">
      <c r="A61" s="100" t="s">
        <v>52</v>
      </c>
      <c r="B61" s="100" t="s">
        <v>1855</v>
      </c>
      <c r="C61" s="100" t="s">
        <v>1855</v>
      </c>
      <c r="D61" s="177" t="s">
        <v>690</v>
      </c>
      <c r="E61" s="216">
        <f t="shared" si="0"/>
        <v>4001</v>
      </c>
      <c r="F61" s="217">
        <v>4200</v>
      </c>
      <c r="G61" s="101">
        <v>0.1</v>
      </c>
      <c r="H61" s="101">
        <v>0.05</v>
      </c>
      <c r="I61" s="186">
        <v>0.2</v>
      </c>
      <c r="J61" s="186">
        <v>0.15</v>
      </c>
      <c r="K61" s="186">
        <v>0.4</v>
      </c>
      <c r="L61" s="101">
        <v>0.18</v>
      </c>
    </row>
    <row r="62" spans="1:12" x14ac:dyDescent="0.15">
      <c r="A62" s="98" t="s">
        <v>52</v>
      </c>
      <c r="B62" s="98" t="s">
        <v>1855</v>
      </c>
      <c r="C62" s="98" t="s">
        <v>1855</v>
      </c>
      <c r="D62" s="179" t="s">
        <v>727</v>
      </c>
      <c r="E62" s="12">
        <f t="shared" si="0"/>
        <v>4201</v>
      </c>
      <c r="F62" s="184">
        <v>4400</v>
      </c>
      <c r="I62" s="186"/>
      <c r="J62" s="186"/>
      <c r="K62" s="186"/>
      <c r="L62" s="101"/>
    </row>
    <row r="63" spans="1:12" x14ac:dyDescent="0.15">
      <c r="A63" s="98" t="s">
        <v>52</v>
      </c>
      <c r="B63" s="98" t="s">
        <v>1855</v>
      </c>
      <c r="C63" s="98" t="s">
        <v>1855</v>
      </c>
      <c r="D63" s="179" t="s">
        <v>743</v>
      </c>
      <c r="E63" s="12">
        <f t="shared" si="0"/>
        <v>4401</v>
      </c>
      <c r="F63" s="184">
        <v>4600</v>
      </c>
      <c r="I63" s="186"/>
      <c r="J63" s="186"/>
      <c r="K63" s="186"/>
      <c r="L63" s="101"/>
    </row>
    <row r="64" spans="1:12" x14ac:dyDescent="0.15">
      <c r="A64" s="98" t="s">
        <v>52</v>
      </c>
      <c r="B64" s="98" t="s">
        <v>1855</v>
      </c>
      <c r="C64" s="98" t="s">
        <v>1855</v>
      </c>
      <c r="D64" s="179" t="s">
        <v>504</v>
      </c>
      <c r="E64" s="12">
        <f t="shared" si="0"/>
        <v>4601</v>
      </c>
      <c r="F64" s="184">
        <v>4700</v>
      </c>
      <c r="I64" s="186"/>
      <c r="J64" s="186"/>
      <c r="K64" s="186"/>
      <c r="L64" s="10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8C30-69AF-440B-94C1-E0EA91295E8F}">
  <sheetPr>
    <tabColor rgb="FFFFFF00"/>
  </sheetPr>
  <dimension ref="A1:L70"/>
  <sheetViews>
    <sheetView topLeftCell="A14" workbookViewId="0">
      <selection activeCell="L68" sqref="L68"/>
    </sheetView>
  </sheetViews>
  <sheetFormatPr defaultRowHeight="10.5" x14ac:dyDescent="0.15"/>
  <cols>
    <col min="1" max="1" width="10.28515625" style="98" bestFit="1" customWidth="1"/>
    <col min="2" max="2" width="43.7109375" style="98" bestFit="1" customWidth="1"/>
    <col min="3" max="3" width="11.85546875" style="98" bestFit="1" customWidth="1"/>
    <col min="4" max="4" width="65.8554687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104" t="s">
        <v>588</v>
      </c>
      <c r="L1" s="84" t="s">
        <v>2348</v>
      </c>
    </row>
    <row r="2" spans="1:12" s="100" customFormat="1" x14ac:dyDescent="0.15">
      <c r="A2" s="100" t="s">
        <v>757</v>
      </c>
      <c r="B2" s="100" t="s">
        <v>1759</v>
      </c>
      <c r="C2" s="100" t="s">
        <v>1759</v>
      </c>
      <c r="D2" s="177" t="s">
        <v>940</v>
      </c>
      <c r="E2" s="216">
        <v>0</v>
      </c>
      <c r="F2" s="217">
        <v>10</v>
      </c>
      <c r="G2" s="101">
        <v>0.05</v>
      </c>
      <c r="H2" s="101">
        <v>0.01</v>
      </c>
      <c r="I2" s="186">
        <v>0.05</v>
      </c>
      <c r="J2" s="186">
        <v>0.15</v>
      </c>
      <c r="K2" s="186">
        <v>0.5</v>
      </c>
      <c r="L2" s="101">
        <v>0.78</v>
      </c>
    </row>
    <row r="3" spans="1:12" x14ac:dyDescent="0.15">
      <c r="A3" s="98" t="s">
        <v>757</v>
      </c>
      <c r="B3" s="98" t="s">
        <v>1759</v>
      </c>
      <c r="C3" s="98" t="s">
        <v>1759</v>
      </c>
      <c r="D3" s="179" t="s">
        <v>374</v>
      </c>
      <c r="E3" s="12">
        <f>F2+1</f>
        <v>11</v>
      </c>
      <c r="F3" s="184">
        <v>30</v>
      </c>
      <c r="G3" s="102"/>
      <c r="H3" s="102"/>
      <c r="I3" s="187"/>
      <c r="J3" s="186"/>
      <c r="K3" s="186"/>
      <c r="L3" s="101"/>
    </row>
    <row r="4" spans="1:12" x14ac:dyDescent="0.15">
      <c r="A4" s="98" t="s">
        <v>757</v>
      </c>
      <c r="B4" s="98" t="s">
        <v>1759</v>
      </c>
      <c r="C4" s="98" t="s">
        <v>1759</v>
      </c>
      <c r="D4" s="179" t="s">
        <v>375</v>
      </c>
      <c r="E4" s="12">
        <f t="shared" ref="E4:E67" si="0">F3+1</f>
        <v>31</v>
      </c>
      <c r="F4" s="184">
        <v>60</v>
      </c>
      <c r="I4" s="186"/>
      <c r="J4" s="186"/>
      <c r="K4" s="186"/>
      <c r="L4" s="101"/>
    </row>
    <row r="5" spans="1:12" x14ac:dyDescent="0.15">
      <c r="A5" s="98" t="s">
        <v>757</v>
      </c>
      <c r="B5" s="98" t="s">
        <v>1759</v>
      </c>
      <c r="C5" s="98" t="s">
        <v>1759</v>
      </c>
      <c r="D5" s="179" t="s">
        <v>414</v>
      </c>
      <c r="E5" s="12">
        <f t="shared" si="0"/>
        <v>61</v>
      </c>
      <c r="F5" s="184">
        <v>90</v>
      </c>
      <c r="I5" s="186"/>
      <c r="J5" s="186"/>
      <c r="K5" s="186"/>
      <c r="L5" s="101"/>
    </row>
    <row r="6" spans="1:12" x14ac:dyDescent="0.15">
      <c r="A6" s="98" t="s">
        <v>757</v>
      </c>
      <c r="B6" s="98" t="s">
        <v>1759</v>
      </c>
      <c r="C6" s="98" t="s">
        <v>1759</v>
      </c>
      <c r="D6" s="179" t="s">
        <v>644</v>
      </c>
      <c r="E6" s="12">
        <f t="shared" si="0"/>
        <v>91</v>
      </c>
      <c r="F6" s="184">
        <v>110</v>
      </c>
      <c r="I6" s="186"/>
      <c r="J6" s="186"/>
      <c r="K6" s="186"/>
      <c r="L6" s="101"/>
    </row>
    <row r="7" spans="1:12" x14ac:dyDescent="0.15">
      <c r="A7" s="98" t="s">
        <v>757</v>
      </c>
      <c r="B7" s="98" t="s">
        <v>1759</v>
      </c>
      <c r="C7" s="98" t="s">
        <v>1759</v>
      </c>
      <c r="D7" s="179" t="s">
        <v>645</v>
      </c>
      <c r="E7" s="12">
        <f t="shared" si="0"/>
        <v>111</v>
      </c>
      <c r="F7" s="184">
        <v>140</v>
      </c>
      <c r="I7" s="186"/>
      <c r="J7" s="186"/>
      <c r="K7" s="186"/>
      <c r="L7" s="101"/>
    </row>
    <row r="8" spans="1:12" s="100" customFormat="1" x14ac:dyDescent="0.15">
      <c r="A8" s="100" t="s">
        <v>757</v>
      </c>
      <c r="B8" s="100" t="s">
        <v>1887</v>
      </c>
      <c r="C8" s="100" t="s">
        <v>1760</v>
      </c>
      <c r="D8" s="177" t="s">
        <v>380</v>
      </c>
      <c r="E8" s="216">
        <f t="shared" si="0"/>
        <v>141</v>
      </c>
      <c r="F8" s="217">
        <v>180</v>
      </c>
      <c r="G8" s="101">
        <v>1.5</v>
      </c>
      <c r="H8" s="101">
        <v>0.3</v>
      </c>
      <c r="I8" s="186">
        <v>1.8</v>
      </c>
      <c r="J8" s="186">
        <v>0.45</v>
      </c>
      <c r="K8" s="186">
        <v>0.6</v>
      </c>
      <c r="L8" s="101">
        <v>0.6</v>
      </c>
    </row>
    <row r="9" spans="1:12" x14ac:dyDescent="0.15">
      <c r="A9" s="98" t="s">
        <v>757</v>
      </c>
      <c r="B9" s="98" t="s">
        <v>1887</v>
      </c>
      <c r="C9" s="98" t="s">
        <v>1760</v>
      </c>
      <c r="D9" s="179" t="s">
        <v>646</v>
      </c>
      <c r="E9" s="12">
        <f t="shared" si="0"/>
        <v>181</v>
      </c>
      <c r="F9" s="184">
        <v>220</v>
      </c>
      <c r="G9" s="102"/>
      <c r="H9" s="102"/>
      <c r="I9" s="187"/>
      <c r="J9" s="186"/>
      <c r="K9" s="186"/>
      <c r="L9" s="101"/>
    </row>
    <row r="10" spans="1:12" x14ac:dyDescent="0.15">
      <c r="A10" s="98" t="s">
        <v>757</v>
      </c>
      <c r="B10" s="98" t="s">
        <v>1887</v>
      </c>
      <c r="C10" s="98" t="s">
        <v>1760</v>
      </c>
      <c r="D10" s="179" t="s">
        <v>647</v>
      </c>
      <c r="E10" s="12">
        <f t="shared" si="0"/>
        <v>221</v>
      </c>
      <c r="F10" s="184">
        <v>260</v>
      </c>
      <c r="I10" s="186"/>
      <c r="J10" s="186"/>
      <c r="K10" s="186"/>
      <c r="L10" s="101"/>
    </row>
    <row r="11" spans="1:12" x14ac:dyDescent="0.15">
      <c r="A11" s="98" t="s">
        <v>757</v>
      </c>
      <c r="B11" s="98" t="s">
        <v>1887</v>
      </c>
      <c r="C11" s="98" t="s">
        <v>1760</v>
      </c>
      <c r="D11" s="179" t="s">
        <v>648</v>
      </c>
      <c r="E11" s="12">
        <f t="shared" si="0"/>
        <v>261</v>
      </c>
      <c r="F11" s="184">
        <v>300</v>
      </c>
      <c r="I11" s="186"/>
      <c r="J11" s="186"/>
      <c r="K11" s="186"/>
      <c r="L11" s="101"/>
    </row>
    <row r="12" spans="1:12" x14ac:dyDescent="0.15">
      <c r="A12" s="98" t="s">
        <v>757</v>
      </c>
      <c r="B12" s="98" t="s">
        <v>1887</v>
      </c>
      <c r="C12" s="98" t="s">
        <v>1760</v>
      </c>
      <c r="D12" s="179" t="s">
        <v>649</v>
      </c>
      <c r="E12" s="12">
        <f t="shared" si="0"/>
        <v>301</v>
      </c>
      <c r="F12" s="184">
        <v>480</v>
      </c>
      <c r="I12" s="186"/>
      <c r="J12" s="186"/>
      <c r="K12" s="186"/>
      <c r="L12" s="101"/>
    </row>
    <row r="13" spans="1:12" s="100" customFormat="1" x14ac:dyDescent="0.15">
      <c r="A13" s="100" t="s">
        <v>757</v>
      </c>
      <c r="B13" s="100" t="s">
        <v>1857</v>
      </c>
      <c r="C13" s="100" t="s">
        <v>1760</v>
      </c>
      <c r="D13" s="177" t="s">
        <v>650</v>
      </c>
      <c r="E13" s="216">
        <f t="shared" si="0"/>
        <v>481</v>
      </c>
      <c r="F13" s="217">
        <v>520</v>
      </c>
      <c r="G13" s="101">
        <v>2.5</v>
      </c>
      <c r="H13" s="101">
        <v>0.4</v>
      </c>
      <c r="I13" s="186">
        <v>2.5</v>
      </c>
      <c r="J13" s="186">
        <v>0.7</v>
      </c>
      <c r="K13" s="186">
        <v>0.65</v>
      </c>
      <c r="L13" s="101">
        <v>0.68</v>
      </c>
    </row>
    <row r="14" spans="1:12" x14ac:dyDescent="0.15">
      <c r="A14" s="98" t="s">
        <v>757</v>
      </c>
      <c r="B14" s="98" t="s">
        <v>1857</v>
      </c>
      <c r="C14" s="98" t="s">
        <v>1760</v>
      </c>
      <c r="D14" s="179" t="s">
        <v>423</v>
      </c>
      <c r="E14" s="12">
        <f t="shared" si="0"/>
        <v>521</v>
      </c>
      <c r="F14" s="184">
        <v>560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757</v>
      </c>
      <c r="B15" s="98" t="s">
        <v>1857</v>
      </c>
      <c r="C15" s="98" t="s">
        <v>1760</v>
      </c>
      <c r="D15" s="179" t="s">
        <v>424</v>
      </c>
      <c r="E15" s="12">
        <f t="shared" si="0"/>
        <v>561</v>
      </c>
      <c r="F15" s="184">
        <v>600</v>
      </c>
      <c r="I15" s="186"/>
      <c r="J15" s="186"/>
      <c r="K15" s="186"/>
      <c r="L15" s="101"/>
    </row>
    <row r="16" spans="1:12" x14ac:dyDescent="0.15">
      <c r="A16" s="98" t="s">
        <v>757</v>
      </c>
      <c r="B16" s="98" t="s">
        <v>1857</v>
      </c>
      <c r="C16" s="98" t="s">
        <v>1760</v>
      </c>
      <c r="D16" s="179" t="s">
        <v>651</v>
      </c>
      <c r="E16" s="12">
        <f t="shared" si="0"/>
        <v>601</v>
      </c>
      <c r="F16" s="184">
        <v>660</v>
      </c>
      <c r="I16" s="186"/>
      <c r="J16" s="186"/>
      <c r="K16" s="186"/>
      <c r="L16" s="101"/>
    </row>
    <row r="17" spans="1:12" x14ac:dyDescent="0.15">
      <c r="A17" s="98" t="s">
        <v>757</v>
      </c>
      <c r="B17" s="98" t="s">
        <v>1857</v>
      </c>
      <c r="C17" s="98" t="s">
        <v>1760</v>
      </c>
      <c r="D17" s="179" t="s">
        <v>1744</v>
      </c>
      <c r="E17" s="12">
        <f t="shared" si="0"/>
        <v>661</v>
      </c>
      <c r="F17" s="184">
        <v>820</v>
      </c>
      <c r="I17" s="186"/>
      <c r="J17" s="186"/>
      <c r="K17" s="186"/>
      <c r="L17" s="101"/>
    </row>
    <row r="18" spans="1:12" s="100" customFormat="1" x14ac:dyDescent="0.15">
      <c r="A18" s="100" t="s">
        <v>757</v>
      </c>
      <c r="B18" s="100" t="s">
        <v>1906</v>
      </c>
      <c r="C18" s="100" t="s">
        <v>1760</v>
      </c>
      <c r="D18" s="177" t="s">
        <v>652</v>
      </c>
      <c r="E18" s="216">
        <f t="shared" si="0"/>
        <v>821</v>
      </c>
      <c r="F18" s="217">
        <v>860</v>
      </c>
      <c r="G18" s="101">
        <v>4</v>
      </c>
      <c r="H18" s="101">
        <v>0.6</v>
      </c>
      <c r="I18" s="186">
        <v>4.5</v>
      </c>
      <c r="J18" s="186">
        <v>1.1000000000000001</v>
      </c>
      <c r="K18" s="186">
        <v>0.7</v>
      </c>
      <c r="L18" s="101">
        <v>0.72</v>
      </c>
    </row>
    <row r="19" spans="1:12" x14ac:dyDescent="0.15">
      <c r="A19" s="98" t="s">
        <v>757</v>
      </c>
      <c r="B19" s="98" t="s">
        <v>1906</v>
      </c>
      <c r="C19" s="98" t="s">
        <v>1760</v>
      </c>
      <c r="D19" s="179" t="s">
        <v>653</v>
      </c>
      <c r="E19" s="12">
        <f t="shared" si="0"/>
        <v>861</v>
      </c>
      <c r="F19" s="184">
        <v>900</v>
      </c>
      <c r="G19" s="102"/>
      <c r="H19" s="102"/>
      <c r="I19" s="187"/>
      <c r="J19" s="186"/>
      <c r="K19" s="186"/>
      <c r="L19" s="101"/>
    </row>
    <row r="20" spans="1:12" x14ac:dyDescent="0.15">
      <c r="A20" s="98" t="s">
        <v>757</v>
      </c>
      <c r="B20" s="98" t="s">
        <v>1906</v>
      </c>
      <c r="C20" s="98" t="s">
        <v>1760</v>
      </c>
      <c r="D20" s="179" t="s">
        <v>654</v>
      </c>
      <c r="E20" s="12">
        <f t="shared" si="0"/>
        <v>901</v>
      </c>
      <c r="F20" s="184">
        <v>940</v>
      </c>
      <c r="I20" s="186"/>
      <c r="J20" s="186"/>
      <c r="K20" s="186"/>
      <c r="L20" s="101"/>
    </row>
    <row r="21" spans="1:12" x14ac:dyDescent="0.15">
      <c r="A21" s="98" t="s">
        <v>757</v>
      </c>
      <c r="B21" s="98" t="s">
        <v>1906</v>
      </c>
      <c r="C21" s="98" t="s">
        <v>1760</v>
      </c>
      <c r="D21" s="179" t="s">
        <v>655</v>
      </c>
      <c r="E21" s="12">
        <f t="shared" si="0"/>
        <v>941</v>
      </c>
      <c r="F21" s="184">
        <v>980</v>
      </c>
      <c r="I21" s="186"/>
      <c r="J21" s="186"/>
      <c r="K21" s="186"/>
      <c r="L21" s="101"/>
    </row>
    <row r="22" spans="1:12" x14ac:dyDescent="0.15">
      <c r="A22" s="98" t="s">
        <v>757</v>
      </c>
      <c r="B22" s="98" t="s">
        <v>1906</v>
      </c>
      <c r="C22" s="98" t="s">
        <v>1760</v>
      </c>
      <c r="D22" s="179" t="s">
        <v>656</v>
      </c>
      <c r="E22" s="12">
        <f t="shared" si="0"/>
        <v>981</v>
      </c>
      <c r="F22" s="184">
        <v>1020</v>
      </c>
      <c r="I22" s="186"/>
      <c r="J22" s="186"/>
      <c r="K22" s="186"/>
      <c r="L22" s="101"/>
    </row>
    <row r="23" spans="1:12" x14ac:dyDescent="0.15">
      <c r="A23" s="98" t="s">
        <v>757</v>
      </c>
      <c r="B23" s="98" t="s">
        <v>1906</v>
      </c>
      <c r="C23" s="98" t="s">
        <v>1760</v>
      </c>
      <c r="D23" s="179" t="s">
        <v>657</v>
      </c>
      <c r="E23" s="12">
        <f t="shared" si="0"/>
        <v>1021</v>
      </c>
      <c r="F23" s="184">
        <v>1060</v>
      </c>
      <c r="I23" s="186"/>
      <c r="J23" s="186"/>
      <c r="K23" s="186"/>
      <c r="L23" s="101"/>
    </row>
    <row r="24" spans="1:12" x14ac:dyDescent="0.15">
      <c r="A24" s="98" t="s">
        <v>757</v>
      </c>
      <c r="B24" s="98" t="s">
        <v>1906</v>
      </c>
      <c r="C24" s="98" t="s">
        <v>1760</v>
      </c>
      <c r="D24" s="179" t="s">
        <v>658</v>
      </c>
      <c r="E24" s="12">
        <f t="shared" si="0"/>
        <v>1061</v>
      </c>
      <c r="F24" s="184">
        <v>1100</v>
      </c>
      <c r="I24" s="186"/>
      <c r="J24" s="186"/>
      <c r="K24" s="186"/>
      <c r="L24" s="101"/>
    </row>
    <row r="25" spans="1:12" x14ac:dyDescent="0.15">
      <c r="A25" s="98" t="s">
        <v>757</v>
      </c>
      <c r="B25" s="98" t="s">
        <v>1906</v>
      </c>
      <c r="C25" s="98" t="s">
        <v>1760</v>
      </c>
      <c r="D25" s="179" t="s">
        <v>659</v>
      </c>
      <c r="E25" s="12">
        <f t="shared" si="0"/>
        <v>1101</v>
      </c>
      <c r="F25" s="184">
        <v>1140</v>
      </c>
      <c r="I25" s="186"/>
      <c r="J25" s="186"/>
      <c r="K25" s="186"/>
      <c r="L25" s="101"/>
    </row>
    <row r="26" spans="1:12" x14ac:dyDescent="0.15">
      <c r="A26" s="98" t="s">
        <v>757</v>
      </c>
      <c r="B26" s="98" t="s">
        <v>1906</v>
      </c>
      <c r="C26" s="98" t="s">
        <v>1760</v>
      </c>
      <c r="D26" s="179" t="s">
        <v>660</v>
      </c>
      <c r="E26" s="12">
        <f t="shared" si="0"/>
        <v>1141</v>
      </c>
      <c r="F26" s="184">
        <v>1150</v>
      </c>
      <c r="I26" s="186"/>
      <c r="J26" s="186"/>
      <c r="K26" s="186"/>
      <c r="L26" s="101"/>
    </row>
    <row r="27" spans="1:12" s="100" customFormat="1" x14ac:dyDescent="0.15">
      <c r="A27" s="100" t="s">
        <v>757</v>
      </c>
      <c r="B27" s="100" t="s">
        <v>1888</v>
      </c>
      <c r="C27" s="100" t="s">
        <v>1760</v>
      </c>
      <c r="D27" s="177" t="s">
        <v>661</v>
      </c>
      <c r="E27" s="216">
        <f t="shared" si="0"/>
        <v>1151</v>
      </c>
      <c r="F27" s="217">
        <v>1200</v>
      </c>
      <c r="G27" s="101">
        <v>3.5</v>
      </c>
      <c r="H27" s="101">
        <v>0.5</v>
      </c>
      <c r="I27" s="186">
        <v>3</v>
      </c>
      <c r="J27" s="186">
        <v>1</v>
      </c>
      <c r="K27" s="186">
        <v>0.65</v>
      </c>
      <c r="L27" s="101">
        <v>0.8</v>
      </c>
    </row>
    <row r="28" spans="1:12" x14ac:dyDescent="0.15">
      <c r="A28" s="98" t="s">
        <v>757</v>
      </c>
      <c r="B28" s="98" t="s">
        <v>1888</v>
      </c>
      <c r="C28" s="98" t="s">
        <v>1760</v>
      </c>
      <c r="D28" s="179" t="s">
        <v>758</v>
      </c>
      <c r="E28" s="12">
        <f t="shared" si="0"/>
        <v>1201</v>
      </c>
      <c r="F28" s="184">
        <v>1250</v>
      </c>
      <c r="G28" s="102"/>
      <c r="H28" s="102"/>
      <c r="I28" s="187"/>
      <c r="J28" s="186"/>
      <c r="K28" s="186"/>
      <c r="L28" s="101"/>
    </row>
    <row r="29" spans="1:12" x14ac:dyDescent="0.15">
      <c r="A29" s="98" t="s">
        <v>757</v>
      </c>
      <c r="B29" s="98" t="s">
        <v>1888</v>
      </c>
      <c r="C29" s="98" t="s">
        <v>1760</v>
      </c>
      <c r="D29" s="179" t="s">
        <v>662</v>
      </c>
      <c r="E29" s="12">
        <f t="shared" si="0"/>
        <v>1251</v>
      </c>
      <c r="F29" s="184">
        <v>1300</v>
      </c>
      <c r="I29" s="186"/>
      <c r="J29" s="186"/>
      <c r="K29" s="186"/>
      <c r="L29" s="101"/>
    </row>
    <row r="30" spans="1:12" x14ac:dyDescent="0.15">
      <c r="A30" s="98" t="s">
        <v>757</v>
      </c>
      <c r="B30" s="98" t="s">
        <v>1888</v>
      </c>
      <c r="C30" s="98" t="s">
        <v>1760</v>
      </c>
      <c r="D30" s="179" t="s">
        <v>759</v>
      </c>
      <c r="E30" s="12">
        <f t="shared" si="0"/>
        <v>1301</v>
      </c>
      <c r="F30" s="184">
        <v>1350</v>
      </c>
      <c r="I30" s="186"/>
      <c r="J30" s="186"/>
      <c r="K30" s="186"/>
      <c r="L30" s="101"/>
    </row>
    <row r="31" spans="1:12" x14ac:dyDescent="0.15">
      <c r="A31" s="98" t="s">
        <v>757</v>
      </c>
      <c r="B31" s="98" t="s">
        <v>1888</v>
      </c>
      <c r="C31" s="98" t="s">
        <v>1760</v>
      </c>
      <c r="D31" s="179" t="s">
        <v>663</v>
      </c>
      <c r="E31" s="12">
        <f t="shared" si="0"/>
        <v>1351</v>
      </c>
      <c r="F31" s="184">
        <v>1400</v>
      </c>
      <c r="I31" s="186"/>
      <c r="J31" s="186"/>
      <c r="K31" s="186"/>
      <c r="L31" s="101"/>
    </row>
    <row r="32" spans="1:12" x14ac:dyDescent="0.15">
      <c r="A32" s="98" t="s">
        <v>757</v>
      </c>
      <c r="B32" s="98" t="s">
        <v>1888</v>
      </c>
      <c r="C32" s="98" t="s">
        <v>1760</v>
      </c>
      <c r="D32" s="179" t="s">
        <v>664</v>
      </c>
      <c r="E32" s="12">
        <f t="shared" si="0"/>
        <v>1401</v>
      </c>
      <c r="F32" s="184">
        <v>1450</v>
      </c>
      <c r="I32" s="186"/>
      <c r="J32" s="186"/>
      <c r="K32" s="186"/>
      <c r="L32" s="101"/>
    </row>
    <row r="33" spans="1:12" x14ac:dyDescent="0.15">
      <c r="A33" s="98" t="s">
        <v>757</v>
      </c>
      <c r="B33" s="98" t="s">
        <v>1888</v>
      </c>
      <c r="C33" s="98" t="s">
        <v>1760</v>
      </c>
      <c r="D33" s="179" t="s">
        <v>665</v>
      </c>
      <c r="E33" s="12">
        <f t="shared" si="0"/>
        <v>1451</v>
      </c>
      <c r="F33" s="184">
        <v>1500</v>
      </c>
      <c r="I33" s="186"/>
      <c r="J33" s="186"/>
      <c r="K33" s="186"/>
      <c r="L33" s="101"/>
    </row>
    <row r="34" spans="1:12" x14ac:dyDescent="0.15">
      <c r="A34" s="98" t="s">
        <v>757</v>
      </c>
      <c r="B34" s="98" t="s">
        <v>1888</v>
      </c>
      <c r="C34" s="98" t="s">
        <v>1760</v>
      </c>
      <c r="D34" s="179" t="s">
        <v>666</v>
      </c>
      <c r="E34" s="12">
        <f t="shared" si="0"/>
        <v>1501</v>
      </c>
      <c r="F34" s="184">
        <v>1525</v>
      </c>
      <c r="I34" s="186"/>
      <c r="J34" s="186"/>
      <c r="K34" s="186"/>
      <c r="L34" s="101"/>
    </row>
    <row r="35" spans="1:12" x14ac:dyDescent="0.15">
      <c r="A35" s="98" t="s">
        <v>757</v>
      </c>
      <c r="B35" s="98" t="s">
        <v>1888</v>
      </c>
      <c r="C35" s="98" t="s">
        <v>1760</v>
      </c>
      <c r="D35" s="179" t="s">
        <v>667</v>
      </c>
      <c r="E35" s="12">
        <f t="shared" si="0"/>
        <v>1526</v>
      </c>
      <c r="F35" s="184">
        <v>1550</v>
      </c>
      <c r="I35" s="186"/>
      <c r="J35" s="186"/>
      <c r="K35" s="186"/>
      <c r="L35" s="101"/>
    </row>
    <row r="36" spans="1:12" s="100" customFormat="1" x14ac:dyDescent="0.15">
      <c r="A36" s="100" t="s">
        <v>757</v>
      </c>
      <c r="B36" s="100" t="s">
        <v>1858</v>
      </c>
      <c r="C36" s="100" t="s">
        <v>1761</v>
      </c>
      <c r="D36" s="177" t="s">
        <v>668</v>
      </c>
      <c r="E36" s="216">
        <f t="shared" si="0"/>
        <v>1551</v>
      </c>
      <c r="F36" s="217">
        <v>1600</v>
      </c>
      <c r="G36" s="101">
        <v>2.5</v>
      </c>
      <c r="H36" s="101">
        <v>0.4</v>
      </c>
      <c r="I36" s="186">
        <v>2.5</v>
      </c>
      <c r="J36" s="186">
        <v>0.9</v>
      </c>
      <c r="K36" s="186">
        <v>0.6</v>
      </c>
      <c r="L36" s="101">
        <v>0.75</v>
      </c>
    </row>
    <row r="37" spans="1:12" x14ac:dyDescent="0.15">
      <c r="A37" s="98" t="s">
        <v>757</v>
      </c>
      <c r="B37" s="98" t="s">
        <v>1858</v>
      </c>
      <c r="C37" s="98" t="s">
        <v>1761</v>
      </c>
      <c r="D37" s="179" t="s">
        <v>669</v>
      </c>
      <c r="E37" s="12">
        <f t="shared" si="0"/>
        <v>1601</v>
      </c>
      <c r="F37" s="184">
        <v>1650</v>
      </c>
      <c r="G37" s="102"/>
      <c r="H37" s="102"/>
      <c r="I37" s="187"/>
      <c r="J37" s="186"/>
      <c r="K37" s="186"/>
      <c r="L37" s="101"/>
    </row>
    <row r="38" spans="1:12" x14ac:dyDescent="0.15">
      <c r="A38" s="98" t="s">
        <v>757</v>
      </c>
      <c r="B38" s="98" t="s">
        <v>1858</v>
      </c>
      <c r="C38" s="98" t="s">
        <v>1761</v>
      </c>
      <c r="D38" s="179" t="s">
        <v>670</v>
      </c>
      <c r="E38" s="12">
        <f t="shared" si="0"/>
        <v>1651</v>
      </c>
      <c r="F38" s="184">
        <v>1700</v>
      </c>
      <c r="I38" s="186"/>
      <c r="J38" s="186"/>
      <c r="K38" s="186"/>
      <c r="L38" s="101"/>
    </row>
    <row r="39" spans="1:12" s="100" customFormat="1" x14ac:dyDescent="0.15">
      <c r="A39" s="100" t="s">
        <v>757</v>
      </c>
      <c r="B39" s="100" t="s">
        <v>1859</v>
      </c>
      <c r="C39" s="100" t="s">
        <v>1761</v>
      </c>
      <c r="D39" s="177" t="s">
        <v>671</v>
      </c>
      <c r="E39" s="216">
        <f t="shared" si="0"/>
        <v>1701</v>
      </c>
      <c r="F39" s="217">
        <v>1750</v>
      </c>
      <c r="G39" s="101">
        <v>2</v>
      </c>
      <c r="H39" s="101">
        <v>0.3</v>
      </c>
      <c r="I39" s="186">
        <v>2</v>
      </c>
      <c r="J39" s="186">
        <v>0.8</v>
      </c>
      <c r="K39" s="186">
        <v>0.6</v>
      </c>
      <c r="L39" s="101">
        <v>0.7</v>
      </c>
    </row>
    <row r="40" spans="1:12" x14ac:dyDescent="0.15">
      <c r="A40" s="98" t="s">
        <v>757</v>
      </c>
      <c r="B40" s="98" t="s">
        <v>1859</v>
      </c>
      <c r="C40" s="98" t="s">
        <v>1761</v>
      </c>
      <c r="D40" s="179" t="s">
        <v>430</v>
      </c>
      <c r="E40" s="12">
        <f t="shared" si="0"/>
        <v>1751</v>
      </c>
      <c r="F40" s="184">
        <v>1800</v>
      </c>
      <c r="G40" s="102"/>
      <c r="H40" s="102"/>
      <c r="I40" s="187"/>
      <c r="J40" s="186"/>
      <c r="K40" s="186"/>
      <c r="L40" s="101"/>
    </row>
    <row r="41" spans="1:12" x14ac:dyDescent="0.15">
      <c r="A41" s="98" t="s">
        <v>757</v>
      </c>
      <c r="B41" s="98" t="s">
        <v>1859</v>
      </c>
      <c r="C41" s="98" t="s">
        <v>1761</v>
      </c>
      <c r="D41" s="179" t="s">
        <v>431</v>
      </c>
      <c r="E41" s="12">
        <f t="shared" si="0"/>
        <v>1801</v>
      </c>
      <c r="F41" s="184">
        <v>1850</v>
      </c>
      <c r="I41" s="186"/>
      <c r="J41" s="186"/>
      <c r="K41" s="186"/>
      <c r="L41" s="101"/>
    </row>
    <row r="42" spans="1:12" x14ac:dyDescent="0.15">
      <c r="A42" s="98" t="s">
        <v>757</v>
      </c>
      <c r="B42" s="98" t="s">
        <v>1859</v>
      </c>
      <c r="C42" s="98" t="s">
        <v>1761</v>
      </c>
      <c r="D42" s="179" t="s">
        <v>432</v>
      </c>
      <c r="E42" s="12">
        <f t="shared" si="0"/>
        <v>1851</v>
      </c>
      <c r="F42" s="184">
        <v>1900</v>
      </c>
      <c r="I42" s="186"/>
      <c r="J42" s="186"/>
      <c r="K42" s="186"/>
      <c r="L42" s="101"/>
    </row>
    <row r="43" spans="1:12" x14ac:dyDescent="0.15">
      <c r="A43" s="98" t="s">
        <v>757</v>
      </c>
      <c r="B43" s="98" t="s">
        <v>1859</v>
      </c>
      <c r="C43" s="98" t="s">
        <v>1761</v>
      </c>
      <c r="D43" s="179" t="s">
        <v>433</v>
      </c>
      <c r="E43" s="12">
        <f t="shared" si="0"/>
        <v>1901</v>
      </c>
      <c r="F43" s="184">
        <v>1925</v>
      </c>
      <c r="I43" s="186"/>
      <c r="J43" s="186"/>
      <c r="K43" s="186"/>
      <c r="L43" s="101"/>
    </row>
    <row r="44" spans="1:12" x14ac:dyDescent="0.15">
      <c r="A44" s="98" t="s">
        <v>757</v>
      </c>
      <c r="B44" s="98" t="s">
        <v>1859</v>
      </c>
      <c r="C44" s="98" t="s">
        <v>1761</v>
      </c>
      <c r="D44" s="179" t="s">
        <v>434</v>
      </c>
      <c r="E44" s="12">
        <f t="shared" si="0"/>
        <v>1926</v>
      </c>
      <c r="F44" s="184">
        <v>1950</v>
      </c>
      <c r="I44" s="186"/>
      <c r="J44" s="186"/>
      <c r="K44" s="186"/>
      <c r="L44" s="101"/>
    </row>
    <row r="45" spans="1:12" x14ac:dyDescent="0.15">
      <c r="A45" s="98" t="s">
        <v>757</v>
      </c>
      <c r="B45" s="98" t="s">
        <v>1859</v>
      </c>
      <c r="C45" s="98" t="s">
        <v>1761</v>
      </c>
      <c r="D45" s="179" t="s">
        <v>760</v>
      </c>
      <c r="E45" s="12">
        <f t="shared" si="0"/>
        <v>1951</v>
      </c>
      <c r="F45" s="184">
        <v>1980</v>
      </c>
      <c r="I45" s="186"/>
      <c r="J45" s="186"/>
      <c r="K45" s="186"/>
      <c r="L45" s="101"/>
    </row>
    <row r="46" spans="1:12" x14ac:dyDescent="0.15">
      <c r="A46" s="98" t="s">
        <v>757</v>
      </c>
      <c r="B46" s="98" t="s">
        <v>1859</v>
      </c>
      <c r="C46" s="98" t="s">
        <v>1761</v>
      </c>
      <c r="D46" s="179" t="s">
        <v>435</v>
      </c>
      <c r="E46" s="12">
        <f t="shared" si="0"/>
        <v>1981</v>
      </c>
      <c r="F46" s="184">
        <v>1990</v>
      </c>
      <c r="I46" s="186"/>
      <c r="J46" s="186"/>
      <c r="K46" s="186"/>
      <c r="L46" s="101"/>
    </row>
    <row r="47" spans="1:12" x14ac:dyDescent="0.15">
      <c r="A47" s="98" t="s">
        <v>757</v>
      </c>
      <c r="B47" s="98" t="s">
        <v>1859</v>
      </c>
      <c r="C47" s="98" t="s">
        <v>1761</v>
      </c>
      <c r="D47" s="179" t="s">
        <v>761</v>
      </c>
      <c r="E47" s="12">
        <f t="shared" si="0"/>
        <v>1991</v>
      </c>
      <c r="F47" s="184">
        <v>1995</v>
      </c>
      <c r="I47" s="186"/>
      <c r="J47" s="186"/>
      <c r="K47" s="186"/>
      <c r="L47" s="101"/>
    </row>
    <row r="48" spans="1:12" x14ac:dyDescent="0.15">
      <c r="A48" s="98" t="s">
        <v>757</v>
      </c>
      <c r="B48" s="98" t="s">
        <v>1859</v>
      </c>
      <c r="C48" s="98" t="s">
        <v>1761</v>
      </c>
      <c r="D48" s="179" t="s">
        <v>521</v>
      </c>
      <c r="E48" s="12">
        <f t="shared" si="0"/>
        <v>1996</v>
      </c>
      <c r="F48" s="184">
        <v>2000</v>
      </c>
      <c r="I48" s="186"/>
      <c r="J48" s="186"/>
      <c r="K48" s="186"/>
      <c r="L48" s="101"/>
    </row>
    <row r="49" spans="1:12" s="100" customFormat="1" x14ac:dyDescent="0.15">
      <c r="A49" s="100" t="s">
        <v>757</v>
      </c>
      <c r="B49" s="100" t="s">
        <v>1886</v>
      </c>
      <c r="C49" s="100" t="s">
        <v>1761</v>
      </c>
      <c r="D49" s="177" t="s">
        <v>672</v>
      </c>
      <c r="E49" s="216">
        <f t="shared" si="0"/>
        <v>2001</v>
      </c>
      <c r="F49" s="217">
        <v>2100</v>
      </c>
      <c r="G49" s="101">
        <v>1.5</v>
      </c>
      <c r="H49" s="101">
        <v>0.2</v>
      </c>
      <c r="I49" s="186">
        <v>1.5</v>
      </c>
      <c r="J49" s="186">
        <v>0.6</v>
      </c>
      <c r="K49" s="186">
        <v>0.55000000000000004</v>
      </c>
      <c r="L49" s="101">
        <v>0.55000000000000004</v>
      </c>
    </row>
    <row r="50" spans="1:12" x14ac:dyDescent="0.15">
      <c r="A50" s="98" t="s">
        <v>757</v>
      </c>
      <c r="B50" s="98" t="s">
        <v>1886</v>
      </c>
      <c r="C50" s="98" t="s">
        <v>1761</v>
      </c>
      <c r="D50" s="179" t="s">
        <v>673</v>
      </c>
      <c r="E50" s="12">
        <f t="shared" si="0"/>
        <v>2101</v>
      </c>
      <c r="F50" s="184">
        <v>2125</v>
      </c>
      <c r="G50" s="102"/>
      <c r="H50" s="102"/>
      <c r="I50" s="187"/>
      <c r="J50" s="186"/>
      <c r="K50" s="186"/>
      <c r="L50" s="101"/>
    </row>
    <row r="51" spans="1:12" x14ac:dyDescent="0.15">
      <c r="A51" s="98" t="s">
        <v>757</v>
      </c>
      <c r="B51" s="98" t="s">
        <v>1886</v>
      </c>
      <c r="C51" s="98" t="s">
        <v>1761</v>
      </c>
      <c r="D51" s="179" t="s">
        <v>674</v>
      </c>
      <c r="E51" s="12">
        <f t="shared" si="0"/>
        <v>2126</v>
      </c>
      <c r="F51" s="184">
        <v>2150</v>
      </c>
      <c r="I51" s="186"/>
      <c r="J51" s="186"/>
      <c r="K51" s="186"/>
      <c r="L51" s="101"/>
    </row>
    <row r="52" spans="1:12" x14ac:dyDescent="0.15">
      <c r="A52" s="98" t="s">
        <v>757</v>
      </c>
      <c r="B52" s="98" t="s">
        <v>1886</v>
      </c>
      <c r="C52" s="98" t="s">
        <v>1761</v>
      </c>
      <c r="D52" s="179" t="s">
        <v>675</v>
      </c>
      <c r="E52" s="12">
        <f t="shared" si="0"/>
        <v>2151</v>
      </c>
      <c r="F52" s="184">
        <v>2175</v>
      </c>
      <c r="I52" s="186"/>
      <c r="J52" s="186"/>
      <c r="K52" s="186"/>
      <c r="L52" s="101"/>
    </row>
    <row r="53" spans="1:12" x14ac:dyDescent="0.15">
      <c r="A53" s="98" t="s">
        <v>757</v>
      </c>
      <c r="B53" s="98" t="s">
        <v>1886</v>
      </c>
      <c r="C53" s="98" t="s">
        <v>1761</v>
      </c>
      <c r="D53" s="179" t="s">
        <v>676</v>
      </c>
      <c r="E53" s="12">
        <f t="shared" si="0"/>
        <v>2176</v>
      </c>
      <c r="F53" s="184">
        <v>2200</v>
      </c>
      <c r="I53" s="186"/>
      <c r="J53" s="186"/>
      <c r="K53" s="186"/>
      <c r="L53" s="101"/>
    </row>
    <row r="54" spans="1:12" x14ac:dyDescent="0.15">
      <c r="A54" s="98" t="s">
        <v>757</v>
      </c>
      <c r="B54" s="98" t="s">
        <v>1886</v>
      </c>
      <c r="C54" s="98" t="s">
        <v>1761</v>
      </c>
      <c r="D54" s="179" t="s">
        <v>677</v>
      </c>
      <c r="E54" s="12">
        <f t="shared" si="0"/>
        <v>2201</v>
      </c>
      <c r="F54" s="184">
        <v>2225</v>
      </c>
      <c r="I54" s="186"/>
      <c r="J54" s="186"/>
      <c r="K54" s="186"/>
      <c r="L54" s="101"/>
    </row>
    <row r="55" spans="1:12" x14ac:dyDescent="0.15">
      <c r="A55" s="98" t="s">
        <v>757</v>
      </c>
      <c r="B55" s="98" t="s">
        <v>1886</v>
      </c>
      <c r="C55" s="98" t="s">
        <v>1761</v>
      </c>
      <c r="D55" s="179" t="s">
        <v>678</v>
      </c>
      <c r="E55" s="12">
        <f t="shared" si="0"/>
        <v>2226</v>
      </c>
      <c r="F55" s="184">
        <v>2250</v>
      </c>
      <c r="I55" s="186"/>
      <c r="J55" s="186"/>
      <c r="K55" s="186"/>
      <c r="L55" s="101"/>
    </row>
    <row r="56" spans="1:12" x14ac:dyDescent="0.15">
      <c r="A56" s="98" t="s">
        <v>757</v>
      </c>
      <c r="B56" s="98" t="s">
        <v>1886</v>
      </c>
      <c r="C56" s="98" t="s">
        <v>1761</v>
      </c>
      <c r="D56" s="179" t="s">
        <v>679</v>
      </c>
      <c r="E56" s="12">
        <f t="shared" si="0"/>
        <v>2251</v>
      </c>
      <c r="F56" s="184">
        <v>2300</v>
      </c>
      <c r="I56" s="186"/>
      <c r="J56" s="186"/>
      <c r="K56" s="186"/>
      <c r="L56" s="101"/>
    </row>
    <row r="57" spans="1:12" x14ac:dyDescent="0.15">
      <c r="A57" s="98" t="s">
        <v>757</v>
      </c>
      <c r="B57" s="98" t="s">
        <v>1886</v>
      </c>
      <c r="C57" s="98" t="s">
        <v>1761</v>
      </c>
      <c r="D57" s="179" t="s">
        <v>680</v>
      </c>
      <c r="E57" s="12">
        <f t="shared" si="0"/>
        <v>2301</v>
      </c>
      <c r="F57" s="184">
        <v>2400</v>
      </c>
      <c r="I57" s="186"/>
      <c r="J57" s="186"/>
      <c r="K57" s="186"/>
      <c r="L57" s="101"/>
    </row>
    <row r="58" spans="1:12" s="100" customFormat="1" x14ac:dyDescent="0.15">
      <c r="A58" s="100" t="s">
        <v>757</v>
      </c>
      <c r="B58" s="100" t="s">
        <v>1860</v>
      </c>
      <c r="C58" s="100" t="s">
        <v>1762</v>
      </c>
      <c r="D58" s="177" t="s">
        <v>681</v>
      </c>
      <c r="E58" s="216">
        <f t="shared" si="0"/>
        <v>2401</v>
      </c>
      <c r="F58" s="217">
        <v>2540</v>
      </c>
      <c r="G58" s="101">
        <v>1</v>
      </c>
      <c r="H58" s="101">
        <v>0.1</v>
      </c>
      <c r="I58" s="186">
        <v>1</v>
      </c>
      <c r="J58" s="186">
        <v>0.4</v>
      </c>
      <c r="K58" s="186">
        <v>0.5</v>
      </c>
      <c r="L58" s="101">
        <v>0.38</v>
      </c>
    </row>
    <row r="59" spans="1:12" x14ac:dyDescent="0.15">
      <c r="A59" s="98" t="s">
        <v>757</v>
      </c>
      <c r="B59" s="98" t="s">
        <v>1860</v>
      </c>
      <c r="C59" s="98" t="s">
        <v>1762</v>
      </c>
      <c r="D59" s="179" t="s">
        <v>682</v>
      </c>
      <c r="E59" s="12">
        <f t="shared" si="0"/>
        <v>2541</v>
      </c>
      <c r="F59" s="184">
        <v>2580</v>
      </c>
      <c r="G59" s="102"/>
      <c r="H59" s="102"/>
      <c r="I59" s="187"/>
      <c r="J59" s="186"/>
      <c r="K59" s="186"/>
      <c r="L59" s="101"/>
    </row>
    <row r="60" spans="1:12" x14ac:dyDescent="0.15">
      <c r="A60" s="98" t="s">
        <v>757</v>
      </c>
      <c r="B60" s="98" t="s">
        <v>1860</v>
      </c>
      <c r="C60" s="98" t="s">
        <v>1762</v>
      </c>
      <c r="D60" s="179" t="s">
        <v>683</v>
      </c>
      <c r="E60" s="12">
        <f t="shared" si="0"/>
        <v>2581</v>
      </c>
      <c r="F60" s="184">
        <v>2620</v>
      </c>
      <c r="I60" s="186"/>
      <c r="J60" s="186"/>
      <c r="K60" s="186"/>
      <c r="L60" s="101"/>
    </row>
    <row r="61" spans="1:12" x14ac:dyDescent="0.15">
      <c r="A61" s="98" t="s">
        <v>757</v>
      </c>
      <c r="B61" s="98" t="s">
        <v>1860</v>
      </c>
      <c r="C61" s="98" t="s">
        <v>1762</v>
      </c>
      <c r="D61" s="179" t="s">
        <v>684</v>
      </c>
      <c r="E61" s="12">
        <f t="shared" si="0"/>
        <v>2621</v>
      </c>
      <c r="F61" s="184">
        <v>2660</v>
      </c>
      <c r="I61" s="186"/>
      <c r="J61" s="186"/>
      <c r="K61" s="186"/>
      <c r="L61" s="101"/>
    </row>
    <row r="62" spans="1:12" x14ac:dyDescent="0.15">
      <c r="A62" s="98" t="s">
        <v>757</v>
      </c>
      <c r="B62" s="98" t="s">
        <v>1860</v>
      </c>
      <c r="C62" s="98" t="s">
        <v>1762</v>
      </c>
      <c r="D62" s="179" t="s">
        <v>685</v>
      </c>
      <c r="E62" s="12">
        <f t="shared" si="0"/>
        <v>2661</v>
      </c>
      <c r="F62" s="184">
        <v>2700</v>
      </c>
      <c r="I62" s="186"/>
      <c r="J62" s="186"/>
      <c r="K62" s="186"/>
      <c r="L62" s="101"/>
    </row>
    <row r="63" spans="1:12" x14ac:dyDescent="0.15">
      <c r="A63" s="98" t="s">
        <v>757</v>
      </c>
      <c r="B63" s="98" t="s">
        <v>1860</v>
      </c>
      <c r="C63" s="98" t="s">
        <v>1762</v>
      </c>
      <c r="D63" s="179" t="s">
        <v>686</v>
      </c>
      <c r="E63" s="12">
        <f t="shared" si="0"/>
        <v>2701</v>
      </c>
      <c r="F63" s="184">
        <v>2740</v>
      </c>
      <c r="I63" s="186"/>
      <c r="J63" s="186"/>
      <c r="K63" s="186"/>
      <c r="L63" s="101"/>
    </row>
    <row r="64" spans="1:12" x14ac:dyDescent="0.15">
      <c r="A64" s="98" t="s">
        <v>757</v>
      </c>
      <c r="B64" s="98" t="s">
        <v>1860</v>
      </c>
      <c r="C64" s="98" t="s">
        <v>1762</v>
      </c>
      <c r="D64" s="179" t="s">
        <v>687</v>
      </c>
      <c r="E64" s="12">
        <f t="shared" si="0"/>
        <v>2741</v>
      </c>
      <c r="F64" s="184">
        <v>2780</v>
      </c>
      <c r="I64" s="186"/>
      <c r="J64" s="186"/>
      <c r="K64" s="186"/>
      <c r="L64" s="101"/>
    </row>
    <row r="65" spans="1:12" x14ac:dyDescent="0.15">
      <c r="A65" s="98" t="s">
        <v>757</v>
      </c>
      <c r="B65" s="98" t="s">
        <v>1860</v>
      </c>
      <c r="C65" s="98" t="s">
        <v>1762</v>
      </c>
      <c r="D65" s="179" t="s">
        <v>688</v>
      </c>
      <c r="E65" s="12">
        <f t="shared" si="0"/>
        <v>2781</v>
      </c>
      <c r="F65" s="184">
        <v>2820</v>
      </c>
      <c r="I65" s="186"/>
      <c r="J65" s="186"/>
      <c r="K65" s="186"/>
      <c r="L65" s="101"/>
    </row>
    <row r="66" spans="1:12" x14ac:dyDescent="0.15">
      <c r="A66" s="98" t="s">
        <v>757</v>
      </c>
      <c r="B66" s="98" t="s">
        <v>1860</v>
      </c>
      <c r="C66" s="98" t="s">
        <v>1762</v>
      </c>
      <c r="D66" s="179" t="s">
        <v>689</v>
      </c>
      <c r="E66" s="12">
        <f t="shared" si="0"/>
        <v>2821</v>
      </c>
      <c r="F66" s="184">
        <v>2860</v>
      </c>
      <c r="I66" s="186"/>
      <c r="J66" s="186"/>
      <c r="K66" s="186"/>
      <c r="L66" s="101"/>
    </row>
    <row r="67" spans="1:12" s="100" customFormat="1" x14ac:dyDescent="0.15">
      <c r="A67" s="100" t="s">
        <v>757</v>
      </c>
      <c r="B67" s="100" t="s">
        <v>1855</v>
      </c>
      <c r="C67" s="100" t="s">
        <v>1855</v>
      </c>
      <c r="D67" s="177" t="s">
        <v>690</v>
      </c>
      <c r="E67" s="216">
        <f t="shared" si="0"/>
        <v>2861</v>
      </c>
      <c r="F67" s="217">
        <v>2920</v>
      </c>
      <c r="G67" s="101">
        <v>0.5</v>
      </c>
      <c r="H67" s="101">
        <v>0.05</v>
      </c>
      <c r="I67" s="186">
        <v>0.5</v>
      </c>
      <c r="J67" s="186">
        <v>0.25</v>
      </c>
      <c r="K67" s="186">
        <v>0.4</v>
      </c>
      <c r="L67" s="101">
        <v>0.2</v>
      </c>
    </row>
    <row r="68" spans="1:12" x14ac:dyDescent="0.15">
      <c r="A68" s="98" t="s">
        <v>757</v>
      </c>
      <c r="B68" s="98" t="s">
        <v>1855</v>
      </c>
      <c r="C68" s="98" t="s">
        <v>1855</v>
      </c>
      <c r="D68" s="179" t="s">
        <v>691</v>
      </c>
      <c r="E68" s="12">
        <f t="shared" ref="E68:E70" si="1">F67+1</f>
        <v>2921</v>
      </c>
      <c r="F68" s="184">
        <v>2980</v>
      </c>
      <c r="I68" s="186"/>
      <c r="J68" s="186"/>
      <c r="K68" s="186"/>
      <c r="L68" s="101"/>
    </row>
    <row r="69" spans="1:12" x14ac:dyDescent="0.15">
      <c r="A69" s="98" t="s">
        <v>757</v>
      </c>
      <c r="B69" s="98" t="s">
        <v>1855</v>
      </c>
      <c r="C69" s="98" t="s">
        <v>1855</v>
      </c>
      <c r="D69" s="179" t="s">
        <v>455</v>
      </c>
      <c r="E69" s="12">
        <f t="shared" si="1"/>
        <v>2981</v>
      </c>
      <c r="F69" s="184">
        <v>3040</v>
      </c>
      <c r="I69" s="186"/>
      <c r="J69" s="186"/>
      <c r="K69" s="186"/>
      <c r="L69" s="101"/>
    </row>
    <row r="70" spans="1:12" x14ac:dyDescent="0.15">
      <c r="A70" s="98" t="s">
        <v>757</v>
      </c>
      <c r="B70" s="98" t="s">
        <v>1855</v>
      </c>
      <c r="C70" s="98" t="s">
        <v>1855</v>
      </c>
      <c r="D70" s="179" t="s">
        <v>504</v>
      </c>
      <c r="E70" s="12">
        <f t="shared" si="1"/>
        <v>3041</v>
      </c>
      <c r="F70" s="184">
        <v>3100</v>
      </c>
      <c r="I70" s="186"/>
      <c r="J70" s="186"/>
      <c r="K70" s="186"/>
      <c r="L70" s="10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E771-4C90-451E-96E1-80869F90430E}">
  <sheetPr>
    <tabColor rgb="FFFFFF00"/>
  </sheetPr>
  <dimension ref="A1:L53"/>
  <sheetViews>
    <sheetView workbookViewId="0">
      <selection activeCell="L51" sqref="L51"/>
    </sheetView>
  </sheetViews>
  <sheetFormatPr defaultRowHeight="10.5" x14ac:dyDescent="0.15"/>
  <cols>
    <col min="1" max="1" width="13.7109375" style="98" bestFit="1" customWidth="1"/>
    <col min="2" max="2" width="22.42578125" style="98" bestFit="1" customWidth="1"/>
    <col min="3" max="3" width="12.7109375" style="98" customWidth="1"/>
    <col min="4" max="4" width="49.5703125" style="98" bestFit="1" customWidth="1"/>
    <col min="5" max="5" width="11.7109375" style="98" customWidth="1"/>
    <col min="6" max="6" width="10.42578125" style="98" customWidth="1"/>
    <col min="7" max="9" width="15" style="101" customWidth="1"/>
    <col min="10" max="10" width="16.42578125" style="101" customWidth="1"/>
    <col min="11" max="11" width="12.85546875" style="10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41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76" t="s">
        <v>769</v>
      </c>
      <c r="B2" s="100" t="s">
        <v>1759</v>
      </c>
      <c r="C2" s="100" t="s">
        <v>1759</v>
      </c>
      <c r="D2" s="177" t="s">
        <v>373</v>
      </c>
      <c r="E2" s="218">
        <v>0</v>
      </c>
      <c r="F2" s="217">
        <v>30</v>
      </c>
      <c r="G2" s="101">
        <v>0.03</v>
      </c>
      <c r="H2" s="101">
        <v>0.01</v>
      </c>
      <c r="I2" s="186">
        <v>0.03</v>
      </c>
      <c r="J2" s="186">
        <v>0.15</v>
      </c>
      <c r="K2" s="186">
        <v>0.5</v>
      </c>
      <c r="L2" s="186">
        <v>0.86</v>
      </c>
    </row>
    <row r="3" spans="1:12" x14ac:dyDescent="0.15">
      <c r="A3" s="178" t="s">
        <v>769</v>
      </c>
      <c r="B3" s="98" t="s">
        <v>1759</v>
      </c>
      <c r="C3" s="98" t="s">
        <v>1759</v>
      </c>
      <c r="D3" s="179" t="s">
        <v>374</v>
      </c>
      <c r="E3" s="219">
        <f>F2+1</f>
        <v>31</v>
      </c>
      <c r="F3" s="184">
        <v>80</v>
      </c>
      <c r="G3" s="102"/>
      <c r="H3" s="102"/>
      <c r="I3" s="187"/>
      <c r="J3" s="186"/>
      <c r="K3" s="186"/>
      <c r="L3" s="186"/>
    </row>
    <row r="4" spans="1:12" x14ac:dyDescent="0.15">
      <c r="A4" s="178" t="s">
        <v>769</v>
      </c>
      <c r="B4" s="98" t="s">
        <v>1759</v>
      </c>
      <c r="C4" s="98" t="s">
        <v>1759</v>
      </c>
      <c r="D4" s="179" t="s">
        <v>375</v>
      </c>
      <c r="E4" s="219">
        <f t="shared" ref="E4:E53" si="0">F3+1</f>
        <v>81</v>
      </c>
      <c r="F4" s="184">
        <v>130</v>
      </c>
      <c r="I4" s="186"/>
      <c r="J4" s="186"/>
      <c r="K4" s="186"/>
      <c r="L4" s="186"/>
    </row>
    <row r="5" spans="1:12" x14ac:dyDescent="0.15">
      <c r="A5" s="178" t="s">
        <v>769</v>
      </c>
      <c r="B5" s="98" t="s">
        <v>1759</v>
      </c>
      <c r="C5" s="98" t="s">
        <v>1759</v>
      </c>
      <c r="D5" s="179" t="s">
        <v>414</v>
      </c>
      <c r="E5" s="219">
        <f t="shared" si="0"/>
        <v>131</v>
      </c>
      <c r="F5" s="184">
        <v>170</v>
      </c>
      <c r="I5" s="186"/>
      <c r="J5" s="186"/>
      <c r="K5" s="186"/>
      <c r="L5" s="186"/>
    </row>
    <row r="6" spans="1:12" x14ac:dyDescent="0.15">
      <c r="A6" s="178" t="s">
        <v>769</v>
      </c>
      <c r="B6" s="98" t="s">
        <v>1759</v>
      </c>
      <c r="C6" s="98" t="s">
        <v>1759</v>
      </c>
      <c r="D6" s="179" t="s">
        <v>415</v>
      </c>
      <c r="E6" s="219">
        <f t="shared" si="0"/>
        <v>171</v>
      </c>
      <c r="F6" s="184">
        <v>190</v>
      </c>
      <c r="I6" s="186"/>
      <c r="J6" s="186"/>
      <c r="K6" s="186"/>
      <c r="L6" s="186"/>
    </row>
    <row r="7" spans="1:12" x14ac:dyDescent="0.15">
      <c r="A7" s="178" t="s">
        <v>769</v>
      </c>
      <c r="B7" s="98" t="s">
        <v>1759</v>
      </c>
      <c r="C7" s="98" t="s">
        <v>1759</v>
      </c>
      <c r="D7" s="179" t="s">
        <v>416</v>
      </c>
      <c r="E7" s="219">
        <f t="shared" si="0"/>
        <v>191</v>
      </c>
      <c r="F7" s="184">
        <v>195</v>
      </c>
      <c r="I7" s="186"/>
      <c r="J7" s="186"/>
      <c r="K7" s="186"/>
      <c r="L7" s="186"/>
    </row>
    <row r="8" spans="1:12" x14ac:dyDescent="0.15">
      <c r="A8" s="178" t="s">
        <v>769</v>
      </c>
      <c r="B8" s="98" t="s">
        <v>1759</v>
      </c>
      <c r="C8" s="98" t="s">
        <v>1759</v>
      </c>
      <c r="D8" s="179" t="s">
        <v>417</v>
      </c>
      <c r="E8" s="219">
        <f t="shared" si="0"/>
        <v>196</v>
      </c>
      <c r="F8" s="184">
        <v>200</v>
      </c>
      <c r="I8" s="186"/>
      <c r="J8" s="186"/>
      <c r="K8" s="186"/>
      <c r="L8" s="186"/>
    </row>
    <row r="9" spans="1:12" s="100" customFormat="1" x14ac:dyDescent="0.15">
      <c r="A9" s="176" t="s">
        <v>769</v>
      </c>
      <c r="B9" s="100" t="s">
        <v>1861</v>
      </c>
      <c r="C9" s="100" t="s">
        <v>1760</v>
      </c>
      <c r="D9" s="177" t="s">
        <v>380</v>
      </c>
      <c r="E9" s="218">
        <f t="shared" si="0"/>
        <v>201</v>
      </c>
      <c r="F9" s="217">
        <v>240</v>
      </c>
      <c r="G9" s="101">
        <v>0.8</v>
      </c>
      <c r="H9" s="101">
        <v>0.2</v>
      </c>
      <c r="I9" s="186">
        <v>1</v>
      </c>
      <c r="J9" s="186">
        <v>0.3</v>
      </c>
      <c r="K9" s="186">
        <v>0.6</v>
      </c>
      <c r="L9" s="186">
        <v>0.67</v>
      </c>
    </row>
    <row r="10" spans="1:12" x14ac:dyDescent="0.15">
      <c r="A10" s="178" t="s">
        <v>769</v>
      </c>
      <c r="B10" s="98" t="s">
        <v>1861</v>
      </c>
      <c r="C10" s="98" t="s">
        <v>1760</v>
      </c>
      <c r="D10" s="179" t="s">
        <v>418</v>
      </c>
      <c r="E10" s="219">
        <f t="shared" si="0"/>
        <v>241</v>
      </c>
      <c r="F10" s="184">
        <v>300</v>
      </c>
      <c r="G10" s="102"/>
      <c r="H10" s="102"/>
      <c r="I10" s="187"/>
      <c r="J10" s="186"/>
      <c r="K10" s="186"/>
      <c r="L10" s="186"/>
    </row>
    <row r="11" spans="1:12" x14ac:dyDescent="0.15">
      <c r="A11" s="178" t="s">
        <v>769</v>
      </c>
      <c r="B11" s="98" t="s">
        <v>1861</v>
      </c>
      <c r="C11" s="98" t="s">
        <v>1760</v>
      </c>
      <c r="D11" s="179" t="s">
        <v>419</v>
      </c>
      <c r="E11" s="219">
        <f t="shared" si="0"/>
        <v>301</v>
      </c>
      <c r="F11" s="184">
        <v>350</v>
      </c>
      <c r="I11" s="186"/>
      <c r="J11" s="186"/>
      <c r="K11" s="186"/>
      <c r="L11" s="186"/>
    </row>
    <row r="12" spans="1:12" x14ac:dyDescent="0.15">
      <c r="A12" s="178" t="s">
        <v>769</v>
      </c>
      <c r="B12" s="98" t="s">
        <v>1861</v>
      </c>
      <c r="C12" s="98" t="s">
        <v>1760</v>
      </c>
      <c r="D12" s="179" t="s">
        <v>762</v>
      </c>
      <c r="E12" s="219">
        <f t="shared" si="0"/>
        <v>351</v>
      </c>
      <c r="F12" s="184">
        <v>480</v>
      </c>
      <c r="I12" s="186"/>
      <c r="J12" s="186"/>
      <c r="K12" s="186"/>
      <c r="L12" s="186"/>
    </row>
    <row r="13" spans="1:12" s="100" customFormat="1" x14ac:dyDescent="0.15">
      <c r="A13" s="176" t="s">
        <v>769</v>
      </c>
      <c r="B13" s="100" t="s">
        <v>1857</v>
      </c>
      <c r="C13" s="100" t="s">
        <v>1760</v>
      </c>
      <c r="D13" s="177" t="s">
        <v>422</v>
      </c>
      <c r="E13" s="218">
        <f t="shared" si="0"/>
        <v>481</v>
      </c>
      <c r="F13" s="217">
        <v>510</v>
      </c>
      <c r="G13" s="101">
        <v>1.2</v>
      </c>
      <c r="H13" s="101">
        <v>0.3</v>
      </c>
      <c r="I13" s="186">
        <v>1.4</v>
      </c>
      <c r="J13" s="186">
        <v>0.5</v>
      </c>
      <c r="K13" s="186">
        <v>0.65</v>
      </c>
      <c r="L13" s="186">
        <v>0.72</v>
      </c>
    </row>
    <row r="14" spans="1:12" x14ac:dyDescent="0.15">
      <c r="A14" s="178" t="s">
        <v>769</v>
      </c>
      <c r="B14" s="98" t="s">
        <v>1857</v>
      </c>
      <c r="C14" s="98" t="s">
        <v>1760</v>
      </c>
      <c r="D14" s="179" t="s">
        <v>423</v>
      </c>
      <c r="E14" s="219">
        <f t="shared" si="0"/>
        <v>511</v>
      </c>
      <c r="F14" s="184">
        <v>540</v>
      </c>
      <c r="G14" s="102"/>
      <c r="H14" s="102"/>
      <c r="I14" s="187"/>
      <c r="J14" s="186"/>
      <c r="K14" s="186"/>
      <c r="L14" s="186"/>
    </row>
    <row r="15" spans="1:12" x14ac:dyDescent="0.15">
      <c r="A15" s="178" t="s">
        <v>769</v>
      </c>
      <c r="B15" s="98" t="s">
        <v>1857</v>
      </c>
      <c r="C15" s="98" t="s">
        <v>1760</v>
      </c>
      <c r="D15" s="179" t="s">
        <v>424</v>
      </c>
      <c r="E15" s="219">
        <f t="shared" si="0"/>
        <v>541</v>
      </c>
      <c r="F15" s="184">
        <v>555</v>
      </c>
      <c r="I15" s="186"/>
      <c r="J15" s="186"/>
      <c r="K15" s="186"/>
      <c r="L15" s="186"/>
    </row>
    <row r="16" spans="1:12" x14ac:dyDescent="0.15">
      <c r="A16" s="178" t="s">
        <v>769</v>
      </c>
      <c r="B16" s="98" t="s">
        <v>1857</v>
      </c>
      <c r="C16" s="98" t="s">
        <v>1760</v>
      </c>
      <c r="D16" s="179" t="s">
        <v>651</v>
      </c>
      <c r="E16" s="219">
        <f t="shared" si="0"/>
        <v>556</v>
      </c>
      <c r="F16" s="184">
        <v>560</v>
      </c>
      <c r="I16" s="186"/>
      <c r="J16" s="186"/>
      <c r="K16" s="186"/>
      <c r="L16" s="186"/>
    </row>
    <row r="17" spans="1:12" s="100" customFormat="1" x14ac:dyDescent="0.15">
      <c r="A17" s="176" t="s">
        <v>769</v>
      </c>
      <c r="B17" s="100" t="s">
        <v>1858</v>
      </c>
      <c r="C17" s="100" t="s">
        <v>1761</v>
      </c>
      <c r="D17" s="177" t="s">
        <v>425</v>
      </c>
      <c r="E17" s="218">
        <f t="shared" si="0"/>
        <v>561</v>
      </c>
      <c r="F17" s="217">
        <v>650</v>
      </c>
      <c r="G17" s="101">
        <v>1.5</v>
      </c>
      <c r="H17" s="101">
        <v>0.4</v>
      </c>
      <c r="I17" s="186">
        <v>1.8</v>
      </c>
      <c r="J17" s="186">
        <v>0.75</v>
      </c>
      <c r="K17" s="186">
        <v>0.6</v>
      </c>
      <c r="L17" s="186">
        <v>0.8</v>
      </c>
    </row>
    <row r="18" spans="1:12" x14ac:dyDescent="0.15">
      <c r="A18" s="178" t="s">
        <v>769</v>
      </c>
      <c r="B18" s="98" t="s">
        <v>1858</v>
      </c>
      <c r="C18" s="98" t="s">
        <v>1761</v>
      </c>
      <c r="D18" s="179" t="s">
        <v>764</v>
      </c>
      <c r="E18" s="219">
        <f t="shared" si="0"/>
        <v>651</v>
      </c>
      <c r="F18" s="184">
        <v>720</v>
      </c>
      <c r="G18" s="102"/>
      <c r="H18" s="102"/>
      <c r="I18" s="187"/>
      <c r="J18" s="186"/>
      <c r="K18" s="186"/>
      <c r="L18" s="186"/>
    </row>
    <row r="19" spans="1:12" x14ac:dyDescent="0.15">
      <c r="A19" s="178" t="s">
        <v>769</v>
      </c>
      <c r="B19" s="98" t="s">
        <v>1858</v>
      </c>
      <c r="C19" s="98" t="s">
        <v>1761</v>
      </c>
      <c r="D19" s="179" t="s">
        <v>766</v>
      </c>
      <c r="E19" s="219">
        <f t="shared" si="0"/>
        <v>721</v>
      </c>
      <c r="F19" s="184">
        <v>780</v>
      </c>
      <c r="I19" s="186"/>
      <c r="J19" s="186"/>
      <c r="K19" s="186"/>
      <c r="L19" s="186"/>
    </row>
    <row r="20" spans="1:12" x14ac:dyDescent="0.15">
      <c r="A20" s="178" t="s">
        <v>769</v>
      </c>
      <c r="B20" s="98" t="s">
        <v>1858</v>
      </c>
      <c r="C20" s="98" t="s">
        <v>1761</v>
      </c>
      <c r="D20" s="179" t="s">
        <v>765</v>
      </c>
      <c r="E20" s="219">
        <f t="shared" si="0"/>
        <v>781</v>
      </c>
      <c r="F20" s="184">
        <v>800</v>
      </c>
      <c r="I20" s="186"/>
      <c r="J20" s="186"/>
      <c r="K20" s="186"/>
      <c r="L20" s="186"/>
    </row>
    <row r="21" spans="1:12" x14ac:dyDescent="0.15">
      <c r="A21" s="178" t="s">
        <v>769</v>
      </c>
      <c r="B21" s="98" t="s">
        <v>1858</v>
      </c>
      <c r="C21" s="98" t="s">
        <v>1761</v>
      </c>
      <c r="D21" s="179" t="s">
        <v>427</v>
      </c>
      <c r="E21" s="219">
        <f t="shared" si="0"/>
        <v>801</v>
      </c>
      <c r="F21" s="184">
        <v>830</v>
      </c>
      <c r="I21" s="186"/>
      <c r="J21" s="186"/>
      <c r="K21" s="186"/>
      <c r="L21" s="186"/>
    </row>
    <row r="22" spans="1:12" s="100" customFormat="1" x14ac:dyDescent="0.15">
      <c r="A22" s="176" t="s">
        <v>769</v>
      </c>
      <c r="B22" s="100" t="s">
        <v>1859</v>
      </c>
      <c r="C22" s="100" t="s">
        <v>1761</v>
      </c>
      <c r="D22" s="177" t="s">
        <v>429</v>
      </c>
      <c r="E22" s="218">
        <f t="shared" si="0"/>
        <v>831</v>
      </c>
      <c r="F22" s="217">
        <v>870</v>
      </c>
      <c r="G22" s="101">
        <v>1.8</v>
      </c>
      <c r="H22" s="101">
        <v>0.4</v>
      </c>
      <c r="I22" s="186">
        <v>2</v>
      </c>
      <c r="J22" s="186">
        <v>0.9</v>
      </c>
      <c r="K22" s="186">
        <v>0.55000000000000004</v>
      </c>
      <c r="L22" s="186">
        <v>0.9</v>
      </c>
    </row>
    <row r="23" spans="1:12" x14ac:dyDescent="0.15">
      <c r="A23" s="178" t="s">
        <v>769</v>
      </c>
      <c r="B23" s="98" t="s">
        <v>1859</v>
      </c>
      <c r="C23" s="98" t="s">
        <v>1761</v>
      </c>
      <c r="D23" s="179" t="s">
        <v>430</v>
      </c>
      <c r="E23" s="219">
        <f t="shared" si="0"/>
        <v>871</v>
      </c>
      <c r="F23" s="184">
        <v>900</v>
      </c>
      <c r="G23" s="102"/>
      <c r="H23" s="102"/>
      <c r="I23" s="187"/>
      <c r="J23" s="186"/>
      <c r="K23" s="186"/>
      <c r="L23" s="186"/>
    </row>
    <row r="24" spans="1:12" x14ac:dyDescent="0.15">
      <c r="A24" s="178" t="s">
        <v>769</v>
      </c>
      <c r="B24" s="98" t="s">
        <v>1859</v>
      </c>
      <c r="C24" s="98" t="s">
        <v>1761</v>
      </c>
      <c r="D24" s="179" t="s">
        <v>431</v>
      </c>
      <c r="E24" s="219">
        <f t="shared" si="0"/>
        <v>901</v>
      </c>
      <c r="F24" s="184">
        <v>930</v>
      </c>
      <c r="I24" s="186"/>
      <c r="J24" s="186"/>
      <c r="K24" s="186"/>
      <c r="L24" s="186"/>
    </row>
    <row r="25" spans="1:12" x14ac:dyDescent="0.15">
      <c r="A25" s="178" t="s">
        <v>769</v>
      </c>
      <c r="B25" s="98" t="s">
        <v>1859</v>
      </c>
      <c r="C25" s="98" t="s">
        <v>1761</v>
      </c>
      <c r="D25" s="179" t="s">
        <v>432</v>
      </c>
      <c r="E25" s="219">
        <f t="shared" si="0"/>
        <v>931</v>
      </c>
      <c r="F25" s="184">
        <v>960</v>
      </c>
      <c r="I25" s="186"/>
      <c r="J25" s="186"/>
      <c r="K25" s="186"/>
      <c r="L25" s="186"/>
    </row>
    <row r="26" spans="1:12" x14ac:dyDescent="0.15">
      <c r="A26" s="178" t="s">
        <v>769</v>
      </c>
      <c r="B26" s="98" t="s">
        <v>1859</v>
      </c>
      <c r="C26" s="98" t="s">
        <v>1761</v>
      </c>
      <c r="D26" s="179" t="s">
        <v>433</v>
      </c>
      <c r="E26" s="219">
        <f t="shared" si="0"/>
        <v>961</v>
      </c>
      <c r="F26" s="184">
        <v>1000</v>
      </c>
      <c r="I26" s="186"/>
      <c r="J26" s="186"/>
      <c r="K26" s="186"/>
      <c r="L26" s="186"/>
    </row>
    <row r="27" spans="1:12" x14ac:dyDescent="0.15">
      <c r="A27" s="178" t="s">
        <v>769</v>
      </c>
      <c r="B27" s="98" t="s">
        <v>1859</v>
      </c>
      <c r="C27" s="98" t="s">
        <v>1761</v>
      </c>
      <c r="D27" s="179" t="s">
        <v>434</v>
      </c>
      <c r="E27" s="219">
        <f t="shared" si="0"/>
        <v>1001</v>
      </c>
      <c r="F27" s="184">
        <v>1030</v>
      </c>
      <c r="I27" s="186"/>
      <c r="J27" s="186"/>
      <c r="K27" s="186"/>
      <c r="L27" s="186"/>
    </row>
    <row r="28" spans="1:12" x14ac:dyDescent="0.15">
      <c r="A28" s="178" t="s">
        <v>769</v>
      </c>
      <c r="B28" s="98" t="s">
        <v>1859</v>
      </c>
      <c r="C28" s="98" t="s">
        <v>1761</v>
      </c>
      <c r="D28" s="179" t="s">
        <v>763</v>
      </c>
      <c r="E28" s="219">
        <f t="shared" si="0"/>
        <v>1031</v>
      </c>
      <c r="F28" s="184">
        <v>1050</v>
      </c>
      <c r="I28" s="186"/>
      <c r="J28" s="186"/>
      <c r="K28" s="186"/>
      <c r="L28" s="186"/>
    </row>
    <row r="29" spans="1:12" x14ac:dyDescent="0.15">
      <c r="A29" s="178" t="s">
        <v>769</v>
      </c>
      <c r="B29" s="98" t="s">
        <v>1859</v>
      </c>
      <c r="C29" s="98" t="s">
        <v>1761</v>
      </c>
      <c r="D29" s="179" t="s">
        <v>435</v>
      </c>
      <c r="E29" s="219">
        <f t="shared" si="0"/>
        <v>1051</v>
      </c>
      <c r="F29" s="184">
        <v>1080</v>
      </c>
      <c r="I29" s="186"/>
      <c r="J29" s="186"/>
      <c r="K29" s="186"/>
      <c r="L29" s="186"/>
    </row>
    <row r="30" spans="1:12" x14ac:dyDescent="0.15">
      <c r="A30" s="178" t="s">
        <v>769</v>
      </c>
      <c r="B30" s="98" t="s">
        <v>1859</v>
      </c>
      <c r="C30" s="98" t="s">
        <v>1761</v>
      </c>
      <c r="D30" s="179" t="s">
        <v>767</v>
      </c>
      <c r="E30" s="219">
        <f t="shared" si="0"/>
        <v>1081</v>
      </c>
      <c r="F30" s="184">
        <v>1100</v>
      </c>
      <c r="I30" s="186"/>
      <c r="J30" s="186"/>
      <c r="K30" s="186"/>
      <c r="L30" s="186"/>
    </row>
    <row r="31" spans="1:12" x14ac:dyDescent="0.15">
      <c r="A31" s="178" t="s">
        <v>769</v>
      </c>
      <c r="B31" s="98" t="s">
        <v>1859</v>
      </c>
      <c r="C31" s="98" t="s">
        <v>1761</v>
      </c>
      <c r="D31" s="179" t="s">
        <v>436</v>
      </c>
      <c r="E31" s="219">
        <f t="shared" si="0"/>
        <v>1101</v>
      </c>
      <c r="F31" s="184">
        <v>1130</v>
      </c>
      <c r="I31" s="186"/>
      <c r="J31" s="186"/>
      <c r="K31" s="186"/>
      <c r="L31" s="186"/>
    </row>
    <row r="32" spans="1:12" s="100" customFormat="1" x14ac:dyDescent="0.15">
      <c r="A32" s="176" t="s">
        <v>769</v>
      </c>
      <c r="B32" s="100" t="s">
        <v>1886</v>
      </c>
      <c r="C32" s="100" t="s">
        <v>1761</v>
      </c>
      <c r="D32" s="177" t="s">
        <v>437</v>
      </c>
      <c r="E32" s="218">
        <f t="shared" si="0"/>
        <v>1131</v>
      </c>
      <c r="F32" s="217">
        <v>1170</v>
      </c>
      <c r="G32" s="101">
        <v>1</v>
      </c>
      <c r="H32" s="101">
        <v>0.3</v>
      </c>
      <c r="I32" s="186">
        <v>1.6</v>
      </c>
      <c r="J32" s="186">
        <v>0.75</v>
      </c>
      <c r="K32" s="186">
        <v>0.5</v>
      </c>
      <c r="L32" s="186">
        <v>0.68</v>
      </c>
    </row>
    <row r="33" spans="1:12" x14ac:dyDescent="0.15">
      <c r="A33" s="178" t="s">
        <v>769</v>
      </c>
      <c r="B33" s="98" t="s">
        <v>1886</v>
      </c>
      <c r="C33" s="98" t="s">
        <v>1761</v>
      </c>
      <c r="D33" s="179" t="s">
        <v>438</v>
      </c>
      <c r="E33" s="219">
        <f t="shared" si="0"/>
        <v>1171</v>
      </c>
      <c r="F33" s="184">
        <v>1210</v>
      </c>
      <c r="G33" s="102"/>
      <c r="H33" s="102"/>
      <c r="I33" s="187"/>
      <c r="J33" s="186"/>
      <c r="K33" s="186"/>
      <c r="L33" s="186"/>
    </row>
    <row r="34" spans="1:12" x14ac:dyDescent="0.15">
      <c r="A34" s="178" t="s">
        <v>769</v>
      </c>
      <c r="B34" s="98" t="s">
        <v>1886</v>
      </c>
      <c r="C34" s="98" t="s">
        <v>1761</v>
      </c>
      <c r="D34" s="179" t="s">
        <v>439</v>
      </c>
      <c r="E34" s="219">
        <f t="shared" si="0"/>
        <v>1211</v>
      </c>
      <c r="F34" s="184">
        <v>1250</v>
      </c>
      <c r="I34" s="186"/>
      <c r="J34" s="186"/>
      <c r="K34" s="186"/>
      <c r="L34" s="186"/>
    </row>
    <row r="35" spans="1:12" x14ac:dyDescent="0.15">
      <c r="A35" s="178" t="s">
        <v>769</v>
      </c>
      <c r="B35" s="98" t="s">
        <v>1886</v>
      </c>
      <c r="C35" s="98" t="s">
        <v>1761</v>
      </c>
      <c r="D35" s="179" t="s">
        <v>440</v>
      </c>
      <c r="E35" s="219">
        <f t="shared" si="0"/>
        <v>1251</v>
      </c>
      <c r="F35" s="184">
        <v>1280</v>
      </c>
      <c r="I35" s="186"/>
      <c r="J35" s="186"/>
      <c r="K35" s="186"/>
      <c r="L35" s="186"/>
    </row>
    <row r="36" spans="1:12" x14ac:dyDescent="0.15">
      <c r="A36" s="178" t="s">
        <v>769</v>
      </c>
      <c r="B36" s="98" t="s">
        <v>1886</v>
      </c>
      <c r="C36" s="98" t="s">
        <v>1761</v>
      </c>
      <c r="D36" s="179" t="s">
        <v>441</v>
      </c>
      <c r="E36" s="219">
        <f t="shared" si="0"/>
        <v>1281</v>
      </c>
      <c r="F36" s="184">
        <v>1310</v>
      </c>
      <c r="I36" s="186"/>
      <c r="J36" s="186"/>
      <c r="K36" s="186"/>
      <c r="L36" s="186"/>
    </row>
    <row r="37" spans="1:12" x14ac:dyDescent="0.15">
      <c r="A37" s="178" t="s">
        <v>769</v>
      </c>
      <c r="B37" s="98" t="s">
        <v>1886</v>
      </c>
      <c r="C37" s="98" t="s">
        <v>1761</v>
      </c>
      <c r="D37" s="179" t="s">
        <v>442</v>
      </c>
      <c r="E37" s="219">
        <f t="shared" si="0"/>
        <v>1311</v>
      </c>
      <c r="F37" s="184">
        <v>1330</v>
      </c>
      <c r="I37" s="186"/>
      <c r="J37" s="186"/>
      <c r="K37" s="186"/>
      <c r="L37" s="186"/>
    </row>
    <row r="38" spans="1:12" x14ac:dyDescent="0.15">
      <c r="A38" s="178" t="s">
        <v>769</v>
      </c>
      <c r="B38" s="98" t="s">
        <v>1886</v>
      </c>
      <c r="C38" s="98" t="s">
        <v>1761</v>
      </c>
      <c r="D38" s="179" t="s">
        <v>443</v>
      </c>
      <c r="E38" s="219">
        <f t="shared" si="0"/>
        <v>1331</v>
      </c>
      <c r="F38" s="184">
        <v>1340</v>
      </c>
      <c r="I38" s="186"/>
      <c r="J38" s="186"/>
      <c r="K38" s="186"/>
      <c r="L38" s="186"/>
    </row>
    <row r="39" spans="1:12" x14ac:dyDescent="0.15">
      <c r="A39" s="178" t="s">
        <v>769</v>
      </c>
      <c r="B39" s="98" t="s">
        <v>1886</v>
      </c>
      <c r="C39" s="98" t="s">
        <v>1761</v>
      </c>
      <c r="D39" s="179" t="s">
        <v>444</v>
      </c>
      <c r="E39" s="219">
        <f t="shared" si="0"/>
        <v>1341</v>
      </c>
      <c r="F39" s="184">
        <v>1350</v>
      </c>
      <c r="I39" s="186"/>
      <c r="J39" s="186"/>
      <c r="K39" s="186"/>
      <c r="L39" s="186"/>
    </row>
    <row r="40" spans="1:12" x14ac:dyDescent="0.15">
      <c r="A40" s="178" t="s">
        <v>769</v>
      </c>
      <c r="B40" s="98" t="s">
        <v>1886</v>
      </c>
      <c r="C40" s="98" t="s">
        <v>1761</v>
      </c>
      <c r="D40" s="179" t="s">
        <v>445</v>
      </c>
      <c r="E40" s="219">
        <f t="shared" si="0"/>
        <v>1351</v>
      </c>
      <c r="F40" s="184">
        <v>1400</v>
      </c>
      <c r="I40" s="186"/>
      <c r="J40" s="186"/>
      <c r="K40" s="186"/>
      <c r="L40" s="186"/>
    </row>
    <row r="41" spans="1:12" s="100" customFormat="1" x14ac:dyDescent="0.15">
      <c r="A41" s="176" t="s">
        <v>769</v>
      </c>
      <c r="B41" s="100" t="s">
        <v>1904</v>
      </c>
      <c r="C41" s="100" t="s">
        <v>1762</v>
      </c>
      <c r="D41" s="177" t="s">
        <v>446</v>
      </c>
      <c r="E41" s="218">
        <f t="shared" si="0"/>
        <v>1401</v>
      </c>
      <c r="F41" s="217">
        <v>1440</v>
      </c>
      <c r="G41" s="101">
        <v>0.5</v>
      </c>
      <c r="H41" s="101">
        <v>0.2</v>
      </c>
      <c r="I41" s="186">
        <v>1</v>
      </c>
      <c r="J41" s="186">
        <v>0.5</v>
      </c>
      <c r="K41" s="186">
        <v>0.45</v>
      </c>
      <c r="L41" s="186">
        <v>0.38</v>
      </c>
    </row>
    <row r="42" spans="1:12" x14ac:dyDescent="0.15">
      <c r="A42" s="178" t="s">
        <v>769</v>
      </c>
      <c r="B42" s="98" t="s">
        <v>1904</v>
      </c>
      <c r="C42" s="98" t="s">
        <v>1762</v>
      </c>
      <c r="D42" s="179" t="s">
        <v>447</v>
      </c>
      <c r="E42" s="219">
        <f t="shared" si="0"/>
        <v>1441</v>
      </c>
      <c r="F42" s="184">
        <v>1480</v>
      </c>
      <c r="G42" s="102"/>
      <c r="H42" s="102"/>
      <c r="I42" s="187"/>
      <c r="J42" s="186"/>
      <c r="K42" s="186"/>
      <c r="L42" s="186"/>
    </row>
    <row r="43" spans="1:12" x14ac:dyDescent="0.15">
      <c r="A43" s="178" t="s">
        <v>769</v>
      </c>
      <c r="B43" s="98" t="s">
        <v>1904</v>
      </c>
      <c r="C43" s="98" t="s">
        <v>1762</v>
      </c>
      <c r="D43" s="179" t="s">
        <v>448</v>
      </c>
      <c r="E43" s="219">
        <f t="shared" si="0"/>
        <v>1481</v>
      </c>
      <c r="F43" s="184">
        <v>1520</v>
      </c>
      <c r="I43" s="186"/>
      <c r="J43" s="186"/>
      <c r="K43" s="186"/>
      <c r="L43" s="186"/>
    </row>
    <row r="44" spans="1:12" x14ac:dyDescent="0.15">
      <c r="A44" s="178" t="s">
        <v>769</v>
      </c>
      <c r="B44" s="98" t="s">
        <v>1904</v>
      </c>
      <c r="C44" s="98" t="s">
        <v>1762</v>
      </c>
      <c r="D44" s="179" t="s">
        <v>449</v>
      </c>
      <c r="E44" s="219">
        <f t="shared" si="0"/>
        <v>1521</v>
      </c>
      <c r="F44" s="184">
        <v>1550</v>
      </c>
      <c r="I44" s="186"/>
      <c r="J44" s="186"/>
      <c r="K44" s="186"/>
      <c r="L44" s="186"/>
    </row>
    <row r="45" spans="1:12" x14ac:dyDescent="0.15">
      <c r="A45" s="178" t="s">
        <v>769</v>
      </c>
      <c r="B45" s="98" t="s">
        <v>1904</v>
      </c>
      <c r="C45" s="98" t="s">
        <v>1762</v>
      </c>
      <c r="D45" s="179" t="s">
        <v>450</v>
      </c>
      <c r="E45" s="219">
        <f t="shared" si="0"/>
        <v>1551</v>
      </c>
      <c r="F45" s="184">
        <v>1570</v>
      </c>
      <c r="I45" s="186"/>
      <c r="J45" s="186"/>
      <c r="K45" s="186"/>
      <c r="L45" s="186"/>
    </row>
    <row r="46" spans="1:12" x14ac:dyDescent="0.15">
      <c r="A46" s="178" t="s">
        <v>769</v>
      </c>
      <c r="B46" s="98" t="s">
        <v>1904</v>
      </c>
      <c r="C46" s="98" t="s">
        <v>1762</v>
      </c>
      <c r="D46" s="179" t="s">
        <v>451</v>
      </c>
      <c r="E46" s="219">
        <f t="shared" si="0"/>
        <v>1571</v>
      </c>
      <c r="F46" s="184">
        <v>1585</v>
      </c>
      <c r="I46" s="186"/>
      <c r="J46" s="186"/>
      <c r="K46" s="186"/>
      <c r="L46" s="186"/>
    </row>
    <row r="47" spans="1:12" x14ac:dyDescent="0.15">
      <c r="A47" s="178" t="s">
        <v>769</v>
      </c>
      <c r="B47" s="98" t="s">
        <v>1904</v>
      </c>
      <c r="C47" s="98" t="s">
        <v>1762</v>
      </c>
      <c r="D47" s="179" t="s">
        <v>452</v>
      </c>
      <c r="E47" s="219">
        <f t="shared" si="0"/>
        <v>1586</v>
      </c>
      <c r="F47" s="184">
        <v>1595</v>
      </c>
      <c r="I47" s="186"/>
      <c r="J47" s="186"/>
      <c r="K47" s="186"/>
      <c r="L47" s="186"/>
    </row>
    <row r="48" spans="1:12" x14ac:dyDescent="0.15">
      <c r="A48" s="178" t="s">
        <v>769</v>
      </c>
      <c r="B48" s="98" t="s">
        <v>1904</v>
      </c>
      <c r="C48" s="98" t="s">
        <v>1762</v>
      </c>
      <c r="D48" s="179" t="s">
        <v>453</v>
      </c>
      <c r="E48" s="219">
        <f t="shared" si="0"/>
        <v>1596</v>
      </c>
      <c r="F48" s="184">
        <v>1600</v>
      </c>
      <c r="I48" s="186"/>
      <c r="J48" s="186"/>
      <c r="K48" s="186"/>
      <c r="L48" s="186"/>
    </row>
    <row r="49" spans="1:12" x14ac:dyDescent="0.15">
      <c r="A49" s="178" t="s">
        <v>769</v>
      </c>
      <c r="B49" s="98" t="s">
        <v>1904</v>
      </c>
      <c r="C49" s="98" t="s">
        <v>1762</v>
      </c>
      <c r="D49" s="179" t="s">
        <v>454</v>
      </c>
      <c r="E49" s="219">
        <f t="shared" si="0"/>
        <v>1601</v>
      </c>
      <c r="F49" s="184">
        <v>1620</v>
      </c>
      <c r="I49" s="186"/>
      <c r="J49" s="186"/>
      <c r="K49" s="186"/>
      <c r="L49" s="186"/>
    </row>
    <row r="50" spans="1:12" s="100" customFormat="1" x14ac:dyDescent="0.15">
      <c r="A50" s="176" t="s">
        <v>769</v>
      </c>
      <c r="B50" s="100" t="s">
        <v>1903</v>
      </c>
      <c r="C50" s="100" t="s">
        <v>1903</v>
      </c>
      <c r="D50" s="177" t="s">
        <v>768</v>
      </c>
      <c r="E50" s="218">
        <f t="shared" si="0"/>
        <v>1621</v>
      </c>
      <c r="F50" s="217">
        <v>1640</v>
      </c>
      <c r="G50" s="101">
        <v>0.2</v>
      </c>
      <c r="H50" s="101">
        <v>0.1</v>
      </c>
      <c r="I50" s="186">
        <v>0.5</v>
      </c>
      <c r="J50" s="186">
        <v>0.25</v>
      </c>
      <c r="K50" s="186">
        <v>0.4</v>
      </c>
      <c r="L50" s="186">
        <v>0.18</v>
      </c>
    </row>
    <row r="51" spans="1:12" x14ac:dyDescent="0.15">
      <c r="A51" s="178" t="s">
        <v>769</v>
      </c>
      <c r="B51" s="98" t="s">
        <v>1903</v>
      </c>
      <c r="C51" s="98" t="s">
        <v>1903</v>
      </c>
      <c r="D51" s="179" t="s">
        <v>727</v>
      </c>
      <c r="E51" s="219">
        <f t="shared" si="0"/>
        <v>1641</v>
      </c>
      <c r="F51" s="184">
        <v>1670</v>
      </c>
      <c r="I51" s="186"/>
      <c r="J51" s="186"/>
      <c r="K51" s="186"/>
      <c r="L51" s="186"/>
    </row>
    <row r="52" spans="1:12" x14ac:dyDescent="0.15">
      <c r="A52" s="178" t="s">
        <v>769</v>
      </c>
      <c r="B52" s="98" t="s">
        <v>1903</v>
      </c>
      <c r="C52" s="98" t="s">
        <v>1903</v>
      </c>
      <c r="D52" s="179" t="s">
        <v>455</v>
      </c>
      <c r="E52" s="219">
        <f t="shared" si="0"/>
        <v>1671</v>
      </c>
      <c r="F52" s="184">
        <v>1690</v>
      </c>
      <c r="I52" s="186"/>
      <c r="J52" s="186"/>
      <c r="K52" s="186"/>
      <c r="L52" s="186"/>
    </row>
    <row r="53" spans="1:12" x14ac:dyDescent="0.15">
      <c r="A53" s="196" t="s">
        <v>769</v>
      </c>
      <c r="B53" s="197" t="s">
        <v>1903</v>
      </c>
      <c r="C53" s="197" t="s">
        <v>1903</v>
      </c>
      <c r="D53" s="198" t="s">
        <v>456</v>
      </c>
      <c r="E53" s="220">
        <f t="shared" si="0"/>
        <v>1691</v>
      </c>
      <c r="F53" s="204">
        <v>1700</v>
      </c>
      <c r="G53" s="208"/>
      <c r="H53" s="208"/>
      <c r="I53" s="209"/>
      <c r="J53" s="209"/>
      <c r="K53" s="209"/>
      <c r="L53" s="209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91FB-4058-4F1F-AAAB-B7B1C9216D81}">
  <sheetPr>
    <tabColor rgb="FFFFFF00"/>
  </sheetPr>
  <dimension ref="A1:L60"/>
  <sheetViews>
    <sheetView workbookViewId="0">
      <selection activeCell="L58" sqref="L58"/>
    </sheetView>
  </sheetViews>
  <sheetFormatPr defaultRowHeight="10.5" x14ac:dyDescent="0.15"/>
  <cols>
    <col min="1" max="1" width="15.7109375" style="98" bestFit="1" customWidth="1"/>
    <col min="2" max="2" width="43.7109375" style="98" bestFit="1" customWidth="1"/>
    <col min="3" max="3" width="12.7109375" style="98" customWidth="1"/>
    <col min="4" max="4" width="50.7109375" style="98" bestFit="1" customWidth="1"/>
    <col min="5" max="5" width="11.7109375" style="98" customWidth="1"/>
    <col min="6" max="6" width="10.42578125" style="98" customWidth="1"/>
    <col min="7" max="9" width="15" style="101" customWidth="1"/>
    <col min="10" max="10" width="16.42578125" style="101" customWidth="1"/>
    <col min="11" max="11" width="12.85546875" style="10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1743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15</v>
      </c>
      <c r="G2" s="101">
        <v>0.02</v>
      </c>
      <c r="H2" s="101">
        <v>5.0000000000000001E-3</v>
      </c>
      <c r="I2" s="186">
        <v>0.02</v>
      </c>
      <c r="J2" s="186">
        <v>0.15</v>
      </c>
      <c r="K2" s="186">
        <v>0.5</v>
      </c>
      <c r="L2" s="101">
        <v>0.78</v>
      </c>
    </row>
    <row r="3" spans="1:12" x14ac:dyDescent="0.15">
      <c r="A3" s="98" t="s">
        <v>1743</v>
      </c>
      <c r="B3" s="98" t="s">
        <v>1759</v>
      </c>
      <c r="C3" s="98" t="s">
        <v>1759</v>
      </c>
      <c r="D3" s="179" t="s">
        <v>374</v>
      </c>
      <c r="E3" s="12">
        <f t="shared" ref="E3:E60" si="0">F2+1</f>
        <v>16</v>
      </c>
      <c r="F3" s="184">
        <v>35</v>
      </c>
      <c r="G3" s="102"/>
      <c r="H3" s="102"/>
      <c r="I3" s="187"/>
      <c r="J3" s="186"/>
      <c r="K3" s="186"/>
      <c r="L3" s="101"/>
    </row>
    <row r="4" spans="1:12" x14ac:dyDescent="0.15">
      <c r="A4" s="98" t="s">
        <v>1743</v>
      </c>
      <c r="B4" s="98" t="s">
        <v>1759</v>
      </c>
      <c r="C4" s="98" t="s">
        <v>1759</v>
      </c>
      <c r="D4" s="179" t="s">
        <v>375</v>
      </c>
      <c r="E4" s="12">
        <f t="shared" si="0"/>
        <v>36</v>
      </c>
      <c r="F4" s="184">
        <v>55</v>
      </c>
      <c r="I4" s="186"/>
      <c r="J4" s="186"/>
      <c r="K4" s="186"/>
      <c r="L4" s="101"/>
    </row>
    <row r="5" spans="1:12" x14ac:dyDescent="0.15">
      <c r="A5" s="98" t="s">
        <v>1743</v>
      </c>
      <c r="B5" s="98" t="s">
        <v>1759</v>
      </c>
      <c r="C5" s="98" t="s">
        <v>1759</v>
      </c>
      <c r="D5" s="179" t="s">
        <v>414</v>
      </c>
      <c r="E5" s="12">
        <f t="shared" si="0"/>
        <v>56</v>
      </c>
      <c r="F5" s="184">
        <v>85</v>
      </c>
      <c r="I5" s="186"/>
      <c r="J5" s="186"/>
      <c r="K5" s="186"/>
      <c r="L5" s="101"/>
    </row>
    <row r="6" spans="1:12" x14ac:dyDescent="0.15">
      <c r="A6" s="98" t="s">
        <v>1743</v>
      </c>
      <c r="B6" s="98" t="s">
        <v>1759</v>
      </c>
      <c r="C6" s="98" t="s">
        <v>1759</v>
      </c>
      <c r="D6" s="179" t="s">
        <v>377</v>
      </c>
      <c r="E6" s="12">
        <f t="shared" si="0"/>
        <v>86</v>
      </c>
      <c r="F6" s="184">
        <v>105</v>
      </c>
      <c r="I6" s="186"/>
      <c r="J6" s="186"/>
      <c r="K6" s="186"/>
      <c r="L6" s="101"/>
    </row>
    <row r="7" spans="1:12" x14ac:dyDescent="0.15">
      <c r="A7" s="98" t="s">
        <v>1743</v>
      </c>
      <c r="B7" s="98" t="s">
        <v>1759</v>
      </c>
      <c r="C7" s="98" t="s">
        <v>1759</v>
      </c>
      <c r="D7" s="179" t="s">
        <v>457</v>
      </c>
      <c r="E7" s="12">
        <f t="shared" si="0"/>
        <v>106</v>
      </c>
      <c r="F7" s="184">
        <v>135</v>
      </c>
      <c r="I7" s="186"/>
      <c r="J7" s="186"/>
      <c r="K7" s="186"/>
      <c r="L7" s="101"/>
    </row>
    <row r="8" spans="1:12" s="100" customFormat="1" x14ac:dyDescent="0.15">
      <c r="A8" s="100" t="s">
        <v>1743</v>
      </c>
      <c r="B8" s="100" t="s">
        <v>1887</v>
      </c>
      <c r="C8" s="100" t="s">
        <v>1760</v>
      </c>
      <c r="D8" s="177" t="s">
        <v>380</v>
      </c>
      <c r="E8" s="216">
        <f t="shared" si="0"/>
        <v>136</v>
      </c>
      <c r="F8" s="217">
        <v>150</v>
      </c>
      <c r="G8" s="101">
        <v>0.5</v>
      </c>
      <c r="H8" s="101">
        <v>0.1</v>
      </c>
      <c r="I8" s="186">
        <v>0.5</v>
      </c>
      <c r="J8" s="186">
        <v>0.3</v>
      </c>
      <c r="K8" s="186">
        <v>0.55000000000000004</v>
      </c>
      <c r="L8" s="101">
        <v>0.6</v>
      </c>
    </row>
    <row r="9" spans="1:12" x14ac:dyDescent="0.15">
      <c r="A9" s="98" t="s">
        <v>1743</v>
      </c>
      <c r="B9" s="98" t="s">
        <v>1887</v>
      </c>
      <c r="C9" s="98" t="s">
        <v>1760</v>
      </c>
      <c r="D9" s="179" t="s">
        <v>792</v>
      </c>
      <c r="E9" s="12">
        <f t="shared" si="0"/>
        <v>151</v>
      </c>
      <c r="F9" s="184">
        <v>180</v>
      </c>
      <c r="G9" s="102"/>
      <c r="H9" s="102"/>
      <c r="I9" s="187"/>
      <c r="J9" s="186"/>
      <c r="K9" s="186"/>
      <c r="L9" s="101"/>
    </row>
    <row r="10" spans="1:12" x14ac:dyDescent="0.15">
      <c r="A10" s="98" t="s">
        <v>1743</v>
      </c>
      <c r="B10" s="98" t="s">
        <v>1887</v>
      </c>
      <c r="C10" s="98" t="s">
        <v>1760</v>
      </c>
      <c r="D10" s="179" t="s">
        <v>418</v>
      </c>
      <c r="E10" s="12">
        <f t="shared" si="0"/>
        <v>181</v>
      </c>
      <c r="F10" s="184">
        <v>230</v>
      </c>
      <c r="I10" s="186"/>
      <c r="J10" s="186"/>
      <c r="K10" s="186"/>
      <c r="L10" s="101"/>
    </row>
    <row r="11" spans="1:12" x14ac:dyDescent="0.15">
      <c r="A11" s="98" t="s">
        <v>1743</v>
      </c>
      <c r="B11" s="98" t="s">
        <v>1887</v>
      </c>
      <c r="C11" s="98" t="s">
        <v>1760</v>
      </c>
      <c r="D11" s="179" t="s">
        <v>419</v>
      </c>
      <c r="E11" s="12">
        <f t="shared" si="0"/>
        <v>231</v>
      </c>
      <c r="F11" s="184">
        <v>300</v>
      </c>
      <c r="I11" s="186"/>
      <c r="J11" s="186"/>
      <c r="K11" s="186"/>
      <c r="L11" s="101"/>
    </row>
    <row r="12" spans="1:12" x14ac:dyDescent="0.15">
      <c r="A12" s="98" t="s">
        <v>1743</v>
      </c>
      <c r="B12" s="98" t="s">
        <v>1887</v>
      </c>
      <c r="C12" s="98" t="s">
        <v>1760</v>
      </c>
      <c r="D12" s="179" t="s">
        <v>538</v>
      </c>
      <c r="E12" s="12">
        <f t="shared" si="0"/>
        <v>301</v>
      </c>
      <c r="F12" s="184">
        <v>350</v>
      </c>
      <c r="I12" s="186"/>
      <c r="J12" s="186"/>
      <c r="K12" s="186"/>
      <c r="L12" s="101"/>
    </row>
    <row r="13" spans="1:12" s="100" customFormat="1" x14ac:dyDescent="0.15">
      <c r="A13" s="100" t="s">
        <v>1743</v>
      </c>
      <c r="B13" s="100" t="s">
        <v>1907</v>
      </c>
      <c r="C13" s="100" t="s">
        <v>1760</v>
      </c>
      <c r="D13" s="177" t="s">
        <v>770</v>
      </c>
      <c r="E13" s="216">
        <f t="shared" si="0"/>
        <v>351</v>
      </c>
      <c r="F13" s="217">
        <v>420</v>
      </c>
      <c r="G13" s="101">
        <v>1.5</v>
      </c>
      <c r="H13" s="101">
        <v>0.2</v>
      </c>
      <c r="I13" s="186">
        <v>1.5</v>
      </c>
      <c r="J13" s="186">
        <v>0.45</v>
      </c>
      <c r="K13" s="186">
        <v>0.6</v>
      </c>
      <c r="L13" s="101">
        <v>0.65</v>
      </c>
    </row>
    <row r="14" spans="1:12" x14ac:dyDescent="0.15">
      <c r="A14" s="98" t="s">
        <v>1743</v>
      </c>
      <c r="B14" s="98" t="s">
        <v>1907</v>
      </c>
      <c r="C14" s="98" t="s">
        <v>1760</v>
      </c>
      <c r="D14" s="179" t="s">
        <v>771</v>
      </c>
      <c r="E14" s="12">
        <f t="shared" si="0"/>
        <v>421</v>
      </c>
      <c r="F14" s="184">
        <v>460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1743</v>
      </c>
      <c r="B15" s="98" t="s">
        <v>1907</v>
      </c>
      <c r="C15" s="98" t="s">
        <v>1760</v>
      </c>
      <c r="D15" s="179" t="s">
        <v>772</v>
      </c>
      <c r="E15" s="12">
        <f t="shared" si="0"/>
        <v>461</v>
      </c>
      <c r="F15" s="184">
        <v>500</v>
      </c>
      <c r="I15" s="186"/>
      <c r="J15" s="186"/>
      <c r="K15" s="186"/>
      <c r="L15" s="101"/>
    </row>
    <row r="16" spans="1:12" x14ac:dyDescent="0.15">
      <c r="A16" s="98" t="s">
        <v>1743</v>
      </c>
      <c r="B16" s="98" t="s">
        <v>1907</v>
      </c>
      <c r="C16" s="98" t="s">
        <v>1760</v>
      </c>
      <c r="D16" s="179" t="s">
        <v>773</v>
      </c>
      <c r="E16" s="12">
        <f t="shared" si="0"/>
        <v>501</v>
      </c>
      <c r="F16" s="184">
        <v>550</v>
      </c>
      <c r="I16" s="186"/>
      <c r="J16" s="186"/>
      <c r="K16" s="186"/>
      <c r="L16" s="101"/>
    </row>
    <row r="17" spans="1:12" s="100" customFormat="1" x14ac:dyDescent="0.15">
      <c r="A17" s="100" t="s">
        <v>1743</v>
      </c>
      <c r="B17" s="100" t="s">
        <v>1888</v>
      </c>
      <c r="C17" s="100" t="s">
        <v>1760</v>
      </c>
      <c r="D17" s="177" t="s">
        <v>774</v>
      </c>
      <c r="E17" s="216">
        <f t="shared" si="0"/>
        <v>551</v>
      </c>
      <c r="F17" s="217">
        <v>580</v>
      </c>
      <c r="G17" s="101">
        <v>2.5</v>
      </c>
      <c r="H17" s="101">
        <v>0.4</v>
      </c>
      <c r="I17" s="186">
        <v>2.5</v>
      </c>
      <c r="J17" s="186">
        <v>0.65</v>
      </c>
      <c r="K17" s="186">
        <v>0.65</v>
      </c>
      <c r="L17" s="101">
        <v>0.68</v>
      </c>
    </row>
    <row r="18" spans="1:12" x14ac:dyDescent="0.15">
      <c r="A18" s="98" t="s">
        <v>1743</v>
      </c>
      <c r="B18" s="98" t="s">
        <v>1888</v>
      </c>
      <c r="C18" s="98" t="s">
        <v>1760</v>
      </c>
      <c r="D18" s="179" t="s">
        <v>775</v>
      </c>
      <c r="E18" s="12">
        <f t="shared" si="0"/>
        <v>581</v>
      </c>
      <c r="F18" s="184">
        <v>600</v>
      </c>
      <c r="G18" s="102"/>
      <c r="H18" s="102"/>
      <c r="I18" s="187"/>
      <c r="J18" s="186"/>
      <c r="K18" s="186"/>
      <c r="L18" s="101"/>
    </row>
    <row r="19" spans="1:12" x14ac:dyDescent="0.15">
      <c r="A19" s="98" t="s">
        <v>1743</v>
      </c>
      <c r="B19" s="98" t="s">
        <v>1888</v>
      </c>
      <c r="C19" s="98" t="s">
        <v>1760</v>
      </c>
      <c r="D19" s="179" t="s">
        <v>776</v>
      </c>
      <c r="E19" s="12">
        <f t="shared" si="0"/>
        <v>601</v>
      </c>
      <c r="F19" s="184">
        <v>620</v>
      </c>
      <c r="I19" s="186"/>
      <c r="J19" s="186"/>
      <c r="K19" s="186"/>
      <c r="L19" s="101"/>
    </row>
    <row r="20" spans="1:12" x14ac:dyDescent="0.15">
      <c r="A20" s="98" t="s">
        <v>1743</v>
      </c>
      <c r="B20" s="98" t="s">
        <v>1888</v>
      </c>
      <c r="C20" s="98" t="s">
        <v>1760</v>
      </c>
      <c r="D20" s="179" t="s">
        <v>777</v>
      </c>
      <c r="E20" s="12">
        <f t="shared" si="0"/>
        <v>621</v>
      </c>
      <c r="F20" s="184">
        <v>640</v>
      </c>
      <c r="I20" s="186"/>
      <c r="J20" s="186"/>
      <c r="K20" s="186"/>
      <c r="L20" s="101"/>
    </row>
    <row r="21" spans="1:12" x14ac:dyDescent="0.15">
      <c r="A21" s="98" t="s">
        <v>1743</v>
      </c>
      <c r="B21" s="98" t="s">
        <v>1888</v>
      </c>
      <c r="C21" s="98" t="s">
        <v>1760</v>
      </c>
      <c r="D21" s="179" t="s">
        <v>778</v>
      </c>
      <c r="E21" s="12">
        <f t="shared" si="0"/>
        <v>641</v>
      </c>
      <c r="F21" s="184">
        <v>660</v>
      </c>
      <c r="I21" s="186"/>
      <c r="J21" s="186"/>
      <c r="K21" s="186"/>
      <c r="L21" s="101"/>
    </row>
    <row r="22" spans="1:12" x14ac:dyDescent="0.15">
      <c r="A22" s="98" t="s">
        <v>1743</v>
      </c>
      <c r="B22" s="98" t="s">
        <v>1888</v>
      </c>
      <c r="C22" s="98" t="s">
        <v>1760</v>
      </c>
      <c r="D22" s="179" t="s">
        <v>779</v>
      </c>
      <c r="E22" s="12">
        <f t="shared" si="0"/>
        <v>661</v>
      </c>
      <c r="F22" s="184">
        <v>690</v>
      </c>
      <c r="I22" s="186"/>
      <c r="J22" s="186"/>
      <c r="K22" s="186"/>
      <c r="L22" s="101"/>
    </row>
    <row r="23" spans="1:12" x14ac:dyDescent="0.15">
      <c r="A23" s="98" t="s">
        <v>1743</v>
      </c>
      <c r="B23" s="98" t="s">
        <v>1888</v>
      </c>
      <c r="C23" s="98" t="s">
        <v>1760</v>
      </c>
      <c r="D23" s="179" t="s">
        <v>780</v>
      </c>
      <c r="E23" s="12">
        <f t="shared" si="0"/>
        <v>691</v>
      </c>
      <c r="F23" s="184">
        <v>710</v>
      </c>
      <c r="I23" s="186"/>
      <c r="J23" s="186"/>
      <c r="K23" s="186"/>
      <c r="L23" s="101"/>
    </row>
    <row r="24" spans="1:12" x14ac:dyDescent="0.15">
      <c r="A24" s="98" t="s">
        <v>1743</v>
      </c>
      <c r="B24" s="98" t="s">
        <v>1888</v>
      </c>
      <c r="C24" s="98" t="s">
        <v>1760</v>
      </c>
      <c r="D24" s="179" t="s">
        <v>781</v>
      </c>
      <c r="E24" s="12">
        <f t="shared" si="0"/>
        <v>711</v>
      </c>
      <c r="F24" s="184">
        <v>730</v>
      </c>
      <c r="I24" s="186"/>
      <c r="J24" s="186"/>
      <c r="K24" s="186"/>
      <c r="L24" s="101"/>
    </row>
    <row r="25" spans="1:12" x14ac:dyDescent="0.15">
      <c r="A25" s="98" t="s">
        <v>1743</v>
      </c>
      <c r="B25" s="98" t="s">
        <v>1888</v>
      </c>
      <c r="C25" s="98" t="s">
        <v>1760</v>
      </c>
      <c r="D25" s="179" t="s">
        <v>782</v>
      </c>
      <c r="E25" s="12">
        <f t="shared" si="0"/>
        <v>731</v>
      </c>
      <c r="F25" s="184">
        <v>750</v>
      </c>
      <c r="I25" s="186"/>
      <c r="J25" s="186"/>
      <c r="K25" s="186"/>
      <c r="L25" s="101"/>
    </row>
    <row r="26" spans="1:12" s="100" customFormat="1" x14ac:dyDescent="0.15">
      <c r="A26" s="100" t="s">
        <v>1743</v>
      </c>
      <c r="B26" s="100" t="s">
        <v>1858</v>
      </c>
      <c r="C26" s="100" t="s">
        <v>1761</v>
      </c>
      <c r="D26" s="177" t="s">
        <v>740</v>
      </c>
      <c r="E26" s="216">
        <f t="shared" si="0"/>
        <v>751</v>
      </c>
      <c r="F26" s="217">
        <v>800</v>
      </c>
      <c r="G26" s="101">
        <v>2</v>
      </c>
      <c r="H26" s="101">
        <v>0.3</v>
      </c>
      <c r="I26" s="186">
        <v>1.8</v>
      </c>
      <c r="J26" s="186">
        <v>0.55000000000000004</v>
      </c>
      <c r="K26" s="186">
        <v>0.6</v>
      </c>
      <c r="L26" s="101">
        <v>0.75</v>
      </c>
    </row>
    <row r="27" spans="1:12" x14ac:dyDescent="0.15">
      <c r="A27" s="98" t="s">
        <v>1743</v>
      </c>
      <c r="B27" s="98" t="s">
        <v>1858</v>
      </c>
      <c r="C27" s="98" t="s">
        <v>1761</v>
      </c>
      <c r="D27" s="179" t="s">
        <v>715</v>
      </c>
      <c r="E27" s="12">
        <f t="shared" si="0"/>
        <v>801</v>
      </c>
      <c r="F27" s="184">
        <v>830</v>
      </c>
      <c r="G27" s="102"/>
      <c r="H27" s="102"/>
      <c r="I27" s="187"/>
      <c r="J27" s="186"/>
      <c r="K27" s="186"/>
      <c r="L27" s="101"/>
    </row>
    <row r="28" spans="1:12" x14ac:dyDescent="0.15">
      <c r="A28" s="98" t="s">
        <v>1743</v>
      </c>
      <c r="B28" s="98" t="s">
        <v>1858</v>
      </c>
      <c r="C28" s="98" t="s">
        <v>1761</v>
      </c>
      <c r="D28" s="179" t="s">
        <v>716</v>
      </c>
      <c r="E28" s="12">
        <f t="shared" si="0"/>
        <v>831</v>
      </c>
      <c r="F28" s="184">
        <v>860</v>
      </c>
      <c r="I28" s="186"/>
      <c r="J28" s="186"/>
      <c r="K28" s="186"/>
      <c r="L28" s="101"/>
    </row>
    <row r="29" spans="1:12" x14ac:dyDescent="0.15">
      <c r="A29" s="98" t="s">
        <v>1743</v>
      </c>
      <c r="B29" s="98" t="s">
        <v>1858</v>
      </c>
      <c r="C29" s="98" t="s">
        <v>1761</v>
      </c>
      <c r="D29" s="179" t="s">
        <v>670</v>
      </c>
      <c r="E29" s="12">
        <f t="shared" si="0"/>
        <v>861</v>
      </c>
      <c r="F29" s="184">
        <v>900</v>
      </c>
      <c r="I29" s="186"/>
      <c r="J29" s="186"/>
      <c r="K29" s="186"/>
      <c r="L29" s="101"/>
    </row>
    <row r="30" spans="1:12" s="100" customFormat="1" x14ac:dyDescent="0.15">
      <c r="A30" s="100" t="s">
        <v>1743</v>
      </c>
      <c r="B30" s="100" t="s">
        <v>1859</v>
      </c>
      <c r="C30" s="100" t="s">
        <v>1761</v>
      </c>
      <c r="D30" s="177" t="s">
        <v>671</v>
      </c>
      <c r="E30" s="216">
        <f t="shared" si="0"/>
        <v>901</v>
      </c>
      <c r="F30" s="217">
        <v>940</v>
      </c>
      <c r="G30" s="101">
        <v>1</v>
      </c>
      <c r="H30" s="101">
        <v>0.2</v>
      </c>
      <c r="I30" s="186">
        <v>1</v>
      </c>
      <c r="J30" s="186">
        <v>0.4</v>
      </c>
      <c r="K30" s="186">
        <v>0.55000000000000004</v>
      </c>
      <c r="L30" s="101">
        <v>0.7</v>
      </c>
    </row>
    <row r="31" spans="1:12" x14ac:dyDescent="0.15">
      <c r="A31" s="98" t="s">
        <v>1743</v>
      </c>
      <c r="B31" s="98" t="s">
        <v>1859</v>
      </c>
      <c r="C31" s="98" t="s">
        <v>1761</v>
      </c>
      <c r="D31" s="179" t="s">
        <v>430</v>
      </c>
      <c r="E31" s="12">
        <f t="shared" si="0"/>
        <v>941</v>
      </c>
      <c r="F31" s="184">
        <v>950</v>
      </c>
      <c r="G31" s="102"/>
      <c r="H31" s="102"/>
      <c r="I31" s="187"/>
      <c r="J31" s="186"/>
      <c r="K31" s="186"/>
      <c r="L31" s="101"/>
    </row>
    <row r="32" spans="1:12" x14ac:dyDescent="0.15">
      <c r="A32" s="98" t="s">
        <v>1743</v>
      </c>
      <c r="B32" s="98" t="s">
        <v>1859</v>
      </c>
      <c r="C32" s="98" t="s">
        <v>1761</v>
      </c>
      <c r="D32" s="179" t="s">
        <v>431</v>
      </c>
      <c r="E32" s="12">
        <f t="shared" si="0"/>
        <v>951</v>
      </c>
      <c r="F32" s="184">
        <v>970</v>
      </c>
      <c r="I32" s="186"/>
      <c r="J32" s="186"/>
      <c r="K32" s="186"/>
      <c r="L32" s="101"/>
    </row>
    <row r="33" spans="1:12" x14ac:dyDescent="0.15">
      <c r="A33" s="98" t="s">
        <v>1743</v>
      </c>
      <c r="B33" s="98" t="s">
        <v>1859</v>
      </c>
      <c r="C33" s="98" t="s">
        <v>1761</v>
      </c>
      <c r="D33" s="179" t="s">
        <v>432</v>
      </c>
      <c r="E33" s="12">
        <f t="shared" si="0"/>
        <v>971</v>
      </c>
      <c r="F33" s="184">
        <v>980</v>
      </c>
      <c r="I33" s="186"/>
      <c r="J33" s="186"/>
      <c r="K33" s="186"/>
      <c r="L33" s="101"/>
    </row>
    <row r="34" spans="1:12" x14ac:dyDescent="0.15">
      <c r="A34" s="98" t="s">
        <v>1743</v>
      </c>
      <c r="B34" s="98" t="s">
        <v>1859</v>
      </c>
      <c r="C34" s="98" t="s">
        <v>1761</v>
      </c>
      <c r="D34" s="179" t="s">
        <v>433</v>
      </c>
      <c r="E34" s="12">
        <f t="shared" si="0"/>
        <v>981</v>
      </c>
      <c r="F34" s="184">
        <v>995</v>
      </c>
      <c r="I34" s="186"/>
      <c r="J34" s="186"/>
      <c r="K34" s="186"/>
      <c r="L34" s="101"/>
    </row>
    <row r="35" spans="1:12" x14ac:dyDescent="0.15">
      <c r="A35" s="98" t="s">
        <v>1743</v>
      </c>
      <c r="B35" s="98" t="s">
        <v>1859</v>
      </c>
      <c r="C35" s="98" t="s">
        <v>1761</v>
      </c>
      <c r="D35" s="179" t="s">
        <v>434</v>
      </c>
      <c r="E35" s="12">
        <f t="shared" si="0"/>
        <v>996</v>
      </c>
      <c r="F35" s="184">
        <v>1015</v>
      </c>
      <c r="I35" s="186"/>
      <c r="J35" s="186"/>
      <c r="K35" s="186"/>
      <c r="L35" s="101"/>
    </row>
    <row r="36" spans="1:12" x14ac:dyDescent="0.15">
      <c r="A36" s="98" t="s">
        <v>1743</v>
      </c>
      <c r="B36" s="98" t="s">
        <v>1859</v>
      </c>
      <c r="C36" s="98" t="s">
        <v>1761</v>
      </c>
      <c r="D36" s="179" t="s">
        <v>749</v>
      </c>
      <c r="E36" s="12">
        <f t="shared" si="0"/>
        <v>1016</v>
      </c>
      <c r="F36" s="184">
        <v>1050</v>
      </c>
      <c r="I36" s="186"/>
      <c r="J36" s="186"/>
      <c r="K36" s="186"/>
      <c r="L36" s="101"/>
    </row>
    <row r="37" spans="1:12" x14ac:dyDescent="0.15">
      <c r="A37" s="98" t="s">
        <v>1743</v>
      </c>
      <c r="B37" s="98" t="s">
        <v>1859</v>
      </c>
      <c r="C37" s="98" t="s">
        <v>1761</v>
      </c>
      <c r="D37" s="179" t="s">
        <v>435</v>
      </c>
      <c r="E37" s="12">
        <f t="shared" si="0"/>
        <v>1051</v>
      </c>
      <c r="F37" s="184">
        <v>1080</v>
      </c>
      <c r="I37" s="186"/>
      <c r="J37" s="186"/>
      <c r="K37" s="186"/>
      <c r="L37" s="101"/>
    </row>
    <row r="38" spans="1:12" x14ac:dyDescent="0.15">
      <c r="A38" s="98" t="s">
        <v>1743</v>
      </c>
      <c r="B38" s="98" t="s">
        <v>1859</v>
      </c>
      <c r="C38" s="98" t="s">
        <v>1761</v>
      </c>
      <c r="D38" s="179" t="s">
        <v>761</v>
      </c>
      <c r="E38" s="12">
        <f t="shared" si="0"/>
        <v>1081</v>
      </c>
      <c r="F38" s="184">
        <v>1100</v>
      </c>
      <c r="I38" s="186"/>
      <c r="J38" s="186"/>
      <c r="K38" s="186"/>
      <c r="L38" s="101"/>
    </row>
    <row r="39" spans="1:12" s="100" customFormat="1" x14ac:dyDescent="0.15">
      <c r="A39" s="100" t="s">
        <v>1743</v>
      </c>
      <c r="B39" s="100" t="s">
        <v>1886</v>
      </c>
      <c r="C39" s="100" t="s">
        <v>1761</v>
      </c>
      <c r="D39" s="177" t="s">
        <v>672</v>
      </c>
      <c r="E39" s="216">
        <f t="shared" si="0"/>
        <v>1101</v>
      </c>
      <c r="F39" s="217">
        <v>1150</v>
      </c>
      <c r="G39" s="101">
        <v>0.8</v>
      </c>
      <c r="H39" s="101">
        <v>0.15</v>
      </c>
      <c r="I39" s="186">
        <v>0.8</v>
      </c>
      <c r="J39" s="186">
        <v>0.35</v>
      </c>
      <c r="K39" s="186">
        <v>0.5</v>
      </c>
      <c r="L39" s="101">
        <v>0.55000000000000004</v>
      </c>
    </row>
    <row r="40" spans="1:12" x14ac:dyDescent="0.15">
      <c r="A40" s="98" t="s">
        <v>1743</v>
      </c>
      <c r="B40" s="98" t="s">
        <v>1886</v>
      </c>
      <c r="C40" s="98" t="s">
        <v>1761</v>
      </c>
      <c r="D40" s="179" t="s">
        <v>673</v>
      </c>
      <c r="E40" s="12">
        <f t="shared" si="0"/>
        <v>1151</v>
      </c>
      <c r="F40" s="184">
        <v>1176</v>
      </c>
      <c r="G40" s="102"/>
      <c r="H40" s="102"/>
      <c r="I40" s="187"/>
      <c r="J40" s="186"/>
      <c r="K40" s="186"/>
      <c r="L40" s="101"/>
    </row>
    <row r="41" spans="1:12" x14ac:dyDescent="0.15">
      <c r="A41" s="98" t="s">
        <v>1743</v>
      </c>
      <c r="B41" s="98" t="s">
        <v>1886</v>
      </c>
      <c r="C41" s="98" t="s">
        <v>1761</v>
      </c>
      <c r="D41" s="179" t="s">
        <v>674</v>
      </c>
      <c r="E41" s="12">
        <f t="shared" si="0"/>
        <v>1177</v>
      </c>
      <c r="F41" s="184">
        <v>1200</v>
      </c>
      <c r="I41" s="186"/>
      <c r="J41" s="186"/>
      <c r="K41" s="186"/>
      <c r="L41" s="101"/>
    </row>
    <row r="42" spans="1:12" x14ac:dyDescent="0.15">
      <c r="A42" s="98" t="s">
        <v>1743</v>
      </c>
      <c r="B42" s="98" t="s">
        <v>1886</v>
      </c>
      <c r="C42" s="98" t="s">
        <v>1761</v>
      </c>
      <c r="D42" s="179" t="s">
        <v>675</v>
      </c>
      <c r="E42" s="12">
        <f t="shared" si="0"/>
        <v>1201</v>
      </c>
      <c r="F42" s="184">
        <v>1230</v>
      </c>
      <c r="I42" s="186"/>
      <c r="J42" s="186"/>
      <c r="K42" s="186"/>
      <c r="L42" s="101"/>
    </row>
    <row r="43" spans="1:12" x14ac:dyDescent="0.15">
      <c r="A43" s="98" t="s">
        <v>1743</v>
      </c>
      <c r="B43" s="98" t="s">
        <v>1886</v>
      </c>
      <c r="C43" s="98" t="s">
        <v>1761</v>
      </c>
      <c r="D43" s="179" t="s">
        <v>676</v>
      </c>
      <c r="E43" s="12">
        <f t="shared" si="0"/>
        <v>1231</v>
      </c>
      <c r="F43" s="184">
        <v>1260</v>
      </c>
      <c r="I43" s="186"/>
      <c r="J43" s="186"/>
      <c r="K43" s="186"/>
      <c r="L43" s="101"/>
    </row>
    <row r="44" spans="1:12" x14ac:dyDescent="0.15">
      <c r="A44" s="98" t="s">
        <v>1743</v>
      </c>
      <c r="B44" s="98" t="s">
        <v>1886</v>
      </c>
      <c r="C44" s="98" t="s">
        <v>1761</v>
      </c>
      <c r="D44" s="179" t="s">
        <v>677</v>
      </c>
      <c r="E44" s="12">
        <f t="shared" si="0"/>
        <v>1261</v>
      </c>
      <c r="F44" s="184">
        <v>1290</v>
      </c>
      <c r="I44" s="186"/>
      <c r="J44" s="186"/>
      <c r="K44" s="186"/>
      <c r="L44" s="101"/>
    </row>
    <row r="45" spans="1:12" x14ac:dyDescent="0.15">
      <c r="A45" s="98" t="s">
        <v>1743</v>
      </c>
      <c r="B45" s="98" t="s">
        <v>1886</v>
      </c>
      <c r="C45" s="98" t="s">
        <v>1761</v>
      </c>
      <c r="D45" s="179" t="s">
        <v>678</v>
      </c>
      <c r="E45" s="12">
        <f t="shared" si="0"/>
        <v>1291</v>
      </c>
      <c r="F45" s="184">
        <v>1300</v>
      </c>
      <c r="I45" s="186"/>
      <c r="J45" s="186"/>
      <c r="K45" s="186"/>
      <c r="L45" s="101"/>
    </row>
    <row r="46" spans="1:12" x14ac:dyDescent="0.15">
      <c r="A46" s="98" t="s">
        <v>1743</v>
      </c>
      <c r="B46" s="98" t="s">
        <v>1886</v>
      </c>
      <c r="C46" s="98" t="s">
        <v>1761</v>
      </c>
      <c r="D46" s="179" t="s">
        <v>679</v>
      </c>
      <c r="E46" s="12">
        <f t="shared" si="0"/>
        <v>1301</v>
      </c>
      <c r="F46" s="184">
        <v>1340</v>
      </c>
      <c r="I46" s="186"/>
      <c r="J46" s="186"/>
      <c r="K46" s="186"/>
      <c r="L46" s="101"/>
    </row>
    <row r="47" spans="1:12" x14ac:dyDescent="0.15">
      <c r="A47" s="98" t="s">
        <v>1743</v>
      </c>
      <c r="B47" s="98" t="s">
        <v>1886</v>
      </c>
      <c r="C47" s="98" t="s">
        <v>1761</v>
      </c>
      <c r="D47" s="179" t="s">
        <v>680</v>
      </c>
      <c r="E47" s="12">
        <f t="shared" si="0"/>
        <v>1341</v>
      </c>
      <c r="F47" s="184">
        <v>1350</v>
      </c>
      <c r="I47" s="186"/>
      <c r="J47" s="186"/>
      <c r="K47" s="186"/>
      <c r="L47" s="101"/>
    </row>
    <row r="48" spans="1:12" s="100" customFormat="1" x14ac:dyDescent="0.15">
      <c r="A48" s="100" t="s">
        <v>1743</v>
      </c>
      <c r="B48" s="100" t="s">
        <v>1860</v>
      </c>
      <c r="C48" s="100" t="s">
        <v>1762</v>
      </c>
      <c r="D48" s="177" t="s">
        <v>783</v>
      </c>
      <c r="E48" s="216">
        <f t="shared" si="0"/>
        <v>1351</v>
      </c>
      <c r="F48" s="217">
        <v>1400</v>
      </c>
      <c r="G48" s="101">
        <v>0.3</v>
      </c>
      <c r="H48" s="101">
        <v>0.05</v>
      </c>
      <c r="I48" s="186">
        <v>0.3</v>
      </c>
      <c r="J48" s="186">
        <v>0.25</v>
      </c>
      <c r="K48" s="186">
        <v>0.45</v>
      </c>
      <c r="L48" s="101">
        <v>0.35</v>
      </c>
    </row>
    <row r="49" spans="1:12" x14ac:dyDescent="0.15">
      <c r="A49" s="98" t="s">
        <v>1743</v>
      </c>
      <c r="B49" s="98" t="s">
        <v>1860</v>
      </c>
      <c r="C49" s="98" t="s">
        <v>1762</v>
      </c>
      <c r="D49" s="179" t="s">
        <v>784</v>
      </c>
      <c r="E49" s="12">
        <f t="shared" si="0"/>
        <v>1401</v>
      </c>
      <c r="F49" s="184">
        <v>1440</v>
      </c>
      <c r="G49" s="102"/>
      <c r="H49" s="102"/>
      <c r="I49" s="187"/>
      <c r="J49" s="186"/>
      <c r="K49" s="186"/>
      <c r="L49" s="101"/>
    </row>
    <row r="50" spans="1:12" x14ac:dyDescent="0.15">
      <c r="A50" s="98" t="s">
        <v>1743</v>
      </c>
      <c r="B50" s="98" t="s">
        <v>1860</v>
      </c>
      <c r="C50" s="98" t="s">
        <v>1762</v>
      </c>
      <c r="D50" s="179" t="s">
        <v>785</v>
      </c>
      <c r="E50" s="12">
        <f t="shared" si="0"/>
        <v>1441</v>
      </c>
      <c r="F50" s="184">
        <v>1470</v>
      </c>
      <c r="I50" s="186"/>
      <c r="J50" s="186"/>
      <c r="K50" s="186"/>
      <c r="L50" s="101"/>
    </row>
    <row r="51" spans="1:12" x14ac:dyDescent="0.15">
      <c r="A51" s="98" t="s">
        <v>1743</v>
      </c>
      <c r="B51" s="98" t="s">
        <v>1860</v>
      </c>
      <c r="C51" s="98" t="s">
        <v>1762</v>
      </c>
      <c r="D51" s="179" t="s">
        <v>786</v>
      </c>
      <c r="E51" s="12">
        <f t="shared" si="0"/>
        <v>1471</v>
      </c>
      <c r="F51" s="184">
        <v>1500</v>
      </c>
      <c r="I51" s="186"/>
      <c r="J51" s="186"/>
      <c r="K51" s="186"/>
      <c r="L51" s="101"/>
    </row>
    <row r="52" spans="1:12" x14ac:dyDescent="0.15">
      <c r="A52" s="98" t="s">
        <v>1743</v>
      </c>
      <c r="B52" s="98" t="s">
        <v>1860</v>
      </c>
      <c r="C52" s="98" t="s">
        <v>1762</v>
      </c>
      <c r="D52" s="179" t="s">
        <v>787</v>
      </c>
      <c r="E52" s="12">
        <f t="shared" si="0"/>
        <v>1501</v>
      </c>
      <c r="F52" s="184">
        <v>1550</v>
      </c>
      <c r="I52" s="186"/>
      <c r="J52" s="186"/>
      <c r="K52" s="186"/>
      <c r="L52" s="101"/>
    </row>
    <row r="53" spans="1:12" x14ac:dyDescent="0.15">
      <c r="A53" s="98" t="s">
        <v>1743</v>
      </c>
      <c r="B53" s="98" t="s">
        <v>1860</v>
      </c>
      <c r="C53" s="98" t="s">
        <v>1762</v>
      </c>
      <c r="D53" s="179" t="s">
        <v>788</v>
      </c>
      <c r="E53" s="12">
        <f t="shared" si="0"/>
        <v>1551</v>
      </c>
      <c r="F53" s="184">
        <v>1580</v>
      </c>
      <c r="I53" s="186"/>
      <c r="J53" s="186"/>
      <c r="K53" s="186"/>
      <c r="L53" s="101"/>
    </row>
    <row r="54" spans="1:12" x14ac:dyDescent="0.15">
      <c r="A54" s="98" t="s">
        <v>1743</v>
      </c>
      <c r="B54" s="98" t="s">
        <v>1860</v>
      </c>
      <c r="C54" s="98" t="s">
        <v>1762</v>
      </c>
      <c r="D54" s="179" t="s">
        <v>789</v>
      </c>
      <c r="E54" s="12">
        <f t="shared" si="0"/>
        <v>1581</v>
      </c>
      <c r="F54" s="184">
        <v>1610</v>
      </c>
      <c r="I54" s="186"/>
      <c r="J54" s="186"/>
      <c r="K54" s="186"/>
      <c r="L54" s="101"/>
    </row>
    <row r="55" spans="1:12" x14ac:dyDescent="0.15">
      <c r="A55" s="98" t="s">
        <v>1743</v>
      </c>
      <c r="B55" s="98" t="s">
        <v>1860</v>
      </c>
      <c r="C55" s="98" t="s">
        <v>1762</v>
      </c>
      <c r="D55" s="179" t="s">
        <v>790</v>
      </c>
      <c r="E55" s="12">
        <f t="shared" si="0"/>
        <v>1611</v>
      </c>
      <c r="F55" s="184">
        <v>1640</v>
      </c>
      <c r="I55" s="186"/>
      <c r="J55" s="186"/>
      <c r="K55" s="186"/>
      <c r="L55" s="101"/>
    </row>
    <row r="56" spans="1:12" x14ac:dyDescent="0.15">
      <c r="A56" s="98" t="s">
        <v>1743</v>
      </c>
      <c r="B56" s="98" t="s">
        <v>1860</v>
      </c>
      <c r="C56" s="98" t="s">
        <v>1762</v>
      </c>
      <c r="D56" s="179" t="s">
        <v>726</v>
      </c>
      <c r="E56" s="12">
        <f t="shared" si="0"/>
        <v>1641</v>
      </c>
      <c r="F56" s="184">
        <v>1700</v>
      </c>
      <c r="I56" s="186"/>
      <c r="J56" s="186"/>
      <c r="K56" s="186"/>
      <c r="L56" s="101"/>
    </row>
    <row r="57" spans="1:12" s="100" customFormat="1" x14ac:dyDescent="0.15">
      <c r="A57" s="100" t="s">
        <v>1743</v>
      </c>
      <c r="B57" s="100" t="s">
        <v>1855</v>
      </c>
      <c r="C57" s="100" t="s">
        <v>1855</v>
      </c>
      <c r="D57" s="177" t="s">
        <v>791</v>
      </c>
      <c r="E57" s="216">
        <f t="shared" si="0"/>
        <v>1701</v>
      </c>
      <c r="F57" s="217">
        <v>1750</v>
      </c>
      <c r="G57" s="101">
        <v>0.1</v>
      </c>
      <c r="H57" s="101">
        <v>0.02</v>
      </c>
      <c r="I57" s="186">
        <v>0.1</v>
      </c>
      <c r="J57" s="186">
        <v>0.15</v>
      </c>
      <c r="K57" s="186">
        <v>0.4</v>
      </c>
      <c r="L57" s="101">
        <v>0.18</v>
      </c>
    </row>
    <row r="58" spans="1:12" x14ac:dyDescent="0.15">
      <c r="A58" s="98" t="s">
        <v>1743</v>
      </c>
      <c r="B58" s="98" t="s">
        <v>1855</v>
      </c>
      <c r="C58" s="98" t="s">
        <v>1855</v>
      </c>
      <c r="D58" s="179" t="s">
        <v>727</v>
      </c>
      <c r="E58" s="12">
        <f t="shared" si="0"/>
        <v>1751</v>
      </c>
      <c r="F58" s="184">
        <v>1850</v>
      </c>
      <c r="I58" s="186"/>
      <c r="J58" s="186"/>
      <c r="K58" s="186"/>
      <c r="L58" s="101"/>
    </row>
    <row r="59" spans="1:12" x14ac:dyDescent="0.15">
      <c r="A59" s="98" t="s">
        <v>1743</v>
      </c>
      <c r="B59" s="98" t="s">
        <v>1855</v>
      </c>
      <c r="C59" s="98" t="s">
        <v>1855</v>
      </c>
      <c r="D59" s="179" t="s">
        <v>483</v>
      </c>
      <c r="E59" s="12">
        <f t="shared" si="0"/>
        <v>1851</v>
      </c>
      <c r="F59" s="184">
        <v>1920</v>
      </c>
      <c r="I59" s="186"/>
      <c r="J59" s="186"/>
      <c r="K59" s="186"/>
      <c r="L59" s="101"/>
    </row>
    <row r="60" spans="1:12" x14ac:dyDescent="0.15">
      <c r="A60" s="98" t="s">
        <v>1743</v>
      </c>
      <c r="B60" s="98" t="s">
        <v>1855</v>
      </c>
      <c r="C60" s="98" t="s">
        <v>1855</v>
      </c>
      <c r="D60" s="179" t="s">
        <v>504</v>
      </c>
      <c r="E60" s="12">
        <f t="shared" si="0"/>
        <v>1921</v>
      </c>
      <c r="F60" s="184">
        <v>2000</v>
      </c>
      <c r="I60" s="186"/>
      <c r="J60" s="186"/>
      <c r="K60" s="186"/>
      <c r="L60" s="101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8FA9-87C9-4AD6-A4DF-C7E262819C27}">
  <sheetPr>
    <tabColor rgb="FFFFFF00"/>
  </sheetPr>
  <dimension ref="A1:L63"/>
  <sheetViews>
    <sheetView workbookViewId="0">
      <selection activeCell="L57" sqref="L57"/>
    </sheetView>
  </sheetViews>
  <sheetFormatPr defaultRowHeight="10.5" x14ac:dyDescent="0.15"/>
  <cols>
    <col min="1" max="1" width="10.28515625" style="98" bestFit="1" customWidth="1"/>
    <col min="2" max="2" width="33" style="98" bestFit="1" customWidth="1"/>
    <col min="3" max="3" width="11.85546875" style="98" bestFit="1" customWidth="1"/>
    <col min="4" max="4" width="63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72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5</v>
      </c>
      <c r="G2" s="101">
        <v>0.05</v>
      </c>
      <c r="H2" s="101">
        <v>0.01</v>
      </c>
      <c r="I2" s="186">
        <v>0.05</v>
      </c>
      <c r="J2" s="186">
        <v>0.15</v>
      </c>
      <c r="K2" s="186">
        <v>0.5</v>
      </c>
      <c r="L2" s="101">
        <v>0.7</v>
      </c>
    </row>
    <row r="3" spans="1:12" x14ac:dyDescent="0.15">
      <c r="A3" s="98" t="s">
        <v>72</v>
      </c>
      <c r="B3" s="98" t="s">
        <v>1759</v>
      </c>
      <c r="C3" s="98" t="s">
        <v>1759</v>
      </c>
      <c r="D3" s="179" t="s">
        <v>374</v>
      </c>
      <c r="E3" s="12">
        <f>F2+1</f>
        <v>6</v>
      </c>
      <c r="F3" s="184">
        <v>10</v>
      </c>
      <c r="G3" s="102"/>
      <c r="H3" s="102"/>
      <c r="I3" s="187"/>
      <c r="J3" s="186"/>
      <c r="K3" s="186"/>
      <c r="L3" s="101"/>
    </row>
    <row r="4" spans="1:12" x14ac:dyDescent="0.15">
      <c r="A4" s="98" t="s">
        <v>72</v>
      </c>
      <c r="B4" s="98" t="s">
        <v>1759</v>
      </c>
      <c r="C4" s="98" t="s">
        <v>1759</v>
      </c>
      <c r="D4" s="179" t="s">
        <v>375</v>
      </c>
      <c r="E4" s="12">
        <f t="shared" ref="E4:E63" si="0">F3+1</f>
        <v>11</v>
      </c>
      <c r="F4" s="184">
        <v>15</v>
      </c>
      <c r="I4" s="186"/>
      <c r="J4" s="186"/>
      <c r="K4" s="186"/>
      <c r="L4" s="101"/>
    </row>
    <row r="5" spans="1:12" x14ac:dyDescent="0.15">
      <c r="A5" s="98" t="s">
        <v>72</v>
      </c>
      <c r="B5" s="98" t="s">
        <v>1759</v>
      </c>
      <c r="C5" s="98" t="s">
        <v>1759</v>
      </c>
      <c r="D5" s="179" t="s">
        <v>414</v>
      </c>
      <c r="E5" s="12">
        <f t="shared" si="0"/>
        <v>16</v>
      </c>
      <c r="F5" s="184">
        <v>25</v>
      </c>
      <c r="I5" s="186"/>
      <c r="J5" s="186"/>
      <c r="K5" s="186"/>
      <c r="L5" s="101"/>
    </row>
    <row r="6" spans="1:12" x14ac:dyDescent="0.15">
      <c r="A6" s="98" t="s">
        <v>72</v>
      </c>
      <c r="B6" s="98" t="s">
        <v>1759</v>
      </c>
      <c r="C6" s="98" t="s">
        <v>1759</v>
      </c>
      <c r="D6" s="179" t="s">
        <v>794</v>
      </c>
      <c r="E6" s="12">
        <f t="shared" si="0"/>
        <v>26</v>
      </c>
      <c r="F6" s="184">
        <v>35</v>
      </c>
      <c r="I6" s="186"/>
      <c r="J6" s="186"/>
      <c r="K6" s="186"/>
      <c r="L6" s="101"/>
    </row>
    <row r="7" spans="1:12" x14ac:dyDescent="0.15">
      <c r="A7" s="98" t="s">
        <v>72</v>
      </c>
      <c r="B7" s="98" t="s">
        <v>1759</v>
      </c>
      <c r="C7" s="98" t="s">
        <v>1759</v>
      </c>
      <c r="D7" s="179" t="s">
        <v>377</v>
      </c>
      <c r="E7" s="12">
        <f t="shared" si="0"/>
        <v>36</v>
      </c>
      <c r="F7" s="184">
        <v>45</v>
      </c>
      <c r="I7" s="186"/>
      <c r="J7" s="186"/>
      <c r="K7" s="186"/>
      <c r="L7" s="101"/>
    </row>
    <row r="8" spans="1:12" x14ac:dyDescent="0.15">
      <c r="A8" s="98" t="s">
        <v>72</v>
      </c>
      <c r="B8" s="98" t="s">
        <v>1759</v>
      </c>
      <c r="C8" s="98" t="s">
        <v>1759</v>
      </c>
      <c r="D8" s="179" t="s">
        <v>596</v>
      </c>
      <c r="E8" s="12">
        <f t="shared" si="0"/>
        <v>46</v>
      </c>
      <c r="F8" s="184">
        <v>50</v>
      </c>
      <c r="I8" s="186"/>
      <c r="J8" s="186"/>
      <c r="K8" s="186"/>
      <c r="L8" s="101"/>
    </row>
    <row r="9" spans="1:12" x14ac:dyDescent="0.15">
      <c r="A9" s="98" t="s">
        <v>72</v>
      </c>
      <c r="B9" s="98" t="s">
        <v>1759</v>
      </c>
      <c r="C9" s="98" t="s">
        <v>1759</v>
      </c>
      <c r="D9" s="179" t="s">
        <v>795</v>
      </c>
      <c r="E9" s="12">
        <f t="shared" si="0"/>
        <v>51</v>
      </c>
      <c r="F9" s="184">
        <v>55</v>
      </c>
      <c r="I9" s="186"/>
      <c r="J9" s="186"/>
      <c r="K9" s="186"/>
      <c r="L9" s="101"/>
    </row>
    <row r="10" spans="1:12" s="100" customFormat="1" x14ac:dyDescent="0.15">
      <c r="A10" s="100" t="s">
        <v>72</v>
      </c>
      <c r="B10" s="100" t="s">
        <v>1887</v>
      </c>
      <c r="C10" s="100" t="s">
        <v>1760</v>
      </c>
      <c r="D10" s="177" t="s">
        <v>380</v>
      </c>
      <c r="E10" s="216">
        <f t="shared" si="0"/>
        <v>56</v>
      </c>
      <c r="F10" s="217">
        <v>70</v>
      </c>
      <c r="G10" s="101">
        <v>1</v>
      </c>
      <c r="H10" s="101">
        <v>0.2</v>
      </c>
      <c r="I10" s="186">
        <v>1.2</v>
      </c>
      <c r="J10" s="186">
        <v>0.45</v>
      </c>
      <c r="K10" s="186">
        <v>0.6</v>
      </c>
      <c r="L10" s="101">
        <v>0.55000000000000004</v>
      </c>
    </row>
    <row r="11" spans="1:12" x14ac:dyDescent="0.15">
      <c r="A11" s="98" t="s">
        <v>72</v>
      </c>
      <c r="B11" s="98" t="s">
        <v>1887</v>
      </c>
      <c r="C11" s="98" t="s">
        <v>1760</v>
      </c>
      <c r="D11" s="179" t="s">
        <v>646</v>
      </c>
      <c r="E11" s="12">
        <f t="shared" si="0"/>
        <v>71</v>
      </c>
      <c r="F11" s="184">
        <v>100</v>
      </c>
      <c r="G11" s="102"/>
      <c r="H11" s="102"/>
      <c r="I11" s="187"/>
      <c r="J11" s="186"/>
      <c r="K11" s="186"/>
      <c r="L11" s="101"/>
    </row>
    <row r="12" spans="1:12" x14ac:dyDescent="0.15">
      <c r="A12" s="98" t="s">
        <v>72</v>
      </c>
      <c r="B12" s="98" t="s">
        <v>1887</v>
      </c>
      <c r="C12" s="98" t="s">
        <v>1760</v>
      </c>
      <c r="D12" s="179" t="s">
        <v>647</v>
      </c>
      <c r="E12" s="12">
        <f t="shared" si="0"/>
        <v>101</v>
      </c>
      <c r="F12" s="184">
        <v>120</v>
      </c>
      <c r="I12" s="186"/>
      <c r="J12" s="186"/>
      <c r="K12" s="186"/>
      <c r="L12" s="101"/>
    </row>
    <row r="13" spans="1:12" x14ac:dyDescent="0.15">
      <c r="A13" s="98" t="s">
        <v>72</v>
      </c>
      <c r="B13" s="98" t="s">
        <v>1887</v>
      </c>
      <c r="C13" s="98" t="s">
        <v>1760</v>
      </c>
      <c r="D13" s="179" t="s">
        <v>648</v>
      </c>
      <c r="E13" s="12">
        <f t="shared" si="0"/>
        <v>121</v>
      </c>
      <c r="F13" s="184">
        <v>140</v>
      </c>
      <c r="I13" s="186"/>
      <c r="J13" s="186"/>
      <c r="K13" s="186"/>
      <c r="L13" s="101"/>
    </row>
    <row r="14" spans="1:12" x14ac:dyDescent="0.15">
      <c r="A14" s="98" t="s">
        <v>72</v>
      </c>
      <c r="B14" s="98" t="s">
        <v>1887</v>
      </c>
      <c r="C14" s="98" t="s">
        <v>1760</v>
      </c>
      <c r="D14" s="179" t="s">
        <v>796</v>
      </c>
      <c r="E14" s="12">
        <f t="shared" si="0"/>
        <v>141</v>
      </c>
      <c r="F14" s="184">
        <v>300</v>
      </c>
      <c r="I14" s="186"/>
      <c r="J14" s="186"/>
      <c r="K14" s="186"/>
      <c r="L14" s="101"/>
    </row>
    <row r="15" spans="1:12" s="100" customFormat="1" x14ac:dyDescent="0.15">
      <c r="A15" s="100" t="s">
        <v>72</v>
      </c>
      <c r="B15" s="100" t="s">
        <v>1857</v>
      </c>
      <c r="C15" s="100" t="s">
        <v>1760</v>
      </c>
      <c r="D15" s="177" t="s">
        <v>797</v>
      </c>
      <c r="E15" s="216">
        <f t="shared" si="0"/>
        <v>301</v>
      </c>
      <c r="F15" s="217">
        <v>320</v>
      </c>
      <c r="G15" s="101">
        <v>1.5</v>
      </c>
      <c r="H15" s="101">
        <v>0.3</v>
      </c>
      <c r="I15" s="186">
        <v>1.5</v>
      </c>
      <c r="J15" s="186">
        <v>0.6</v>
      </c>
      <c r="K15" s="186">
        <v>0.65</v>
      </c>
      <c r="L15" s="101">
        <v>0.6</v>
      </c>
    </row>
    <row r="16" spans="1:12" x14ac:dyDescent="0.15">
      <c r="A16" s="98" t="s">
        <v>72</v>
      </c>
      <c r="B16" s="98" t="s">
        <v>1857</v>
      </c>
      <c r="C16" s="98" t="s">
        <v>1760</v>
      </c>
      <c r="D16" s="179" t="s">
        <v>798</v>
      </c>
      <c r="E16" s="12">
        <f t="shared" si="0"/>
        <v>321</v>
      </c>
      <c r="F16" s="184">
        <v>340</v>
      </c>
      <c r="G16" s="102"/>
      <c r="H16" s="102"/>
      <c r="I16" s="187"/>
      <c r="J16" s="186"/>
      <c r="K16" s="186"/>
      <c r="L16" s="101"/>
    </row>
    <row r="17" spans="1:12" x14ac:dyDescent="0.15">
      <c r="A17" s="98" t="s">
        <v>72</v>
      </c>
      <c r="B17" s="98" t="s">
        <v>1857</v>
      </c>
      <c r="C17" s="98" t="s">
        <v>1760</v>
      </c>
      <c r="D17" s="179" t="s">
        <v>799</v>
      </c>
      <c r="E17" s="12">
        <f t="shared" si="0"/>
        <v>341</v>
      </c>
      <c r="F17" s="184">
        <v>360</v>
      </c>
      <c r="I17" s="186"/>
      <c r="J17" s="186"/>
      <c r="K17" s="186"/>
      <c r="L17" s="101"/>
    </row>
    <row r="18" spans="1:12" x14ac:dyDescent="0.15">
      <c r="A18" s="98" t="s">
        <v>72</v>
      </c>
      <c r="B18" s="98" t="s">
        <v>1857</v>
      </c>
      <c r="C18" s="98" t="s">
        <v>1760</v>
      </c>
      <c r="D18" s="179" t="s">
        <v>800</v>
      </c>
      <c r="E18" s="12">
        <f t="shared" si="0"/>
        <v>361</v>
      </c>
      <c r="F18" s="184">
        <v>400</v>
      </c>
      <c r="I18" s="186"/>
      <c r="J18" s="186"/>
      <c r="K18" s="186"/>
      <c r="L18" s="101"/>
    </row>
    <row r="19" spans="1:12" s="100" customFormat="1" x14ac:dyDescent="0.15">
      <c r="A19" s="100" t="s">
        <v>72</v>
      </c>
      <c r="B19" s="100" t="s">
        <v>1901</v>
      </c>
      <c r="C19" s="100" t="s">
        <v>1760</v>
      </c>
      <c r="D19" s="177" t="s">
        <v>801</v>
      </c>
      <c r="E19" s="216">
        <f t="shared" si="0"/>
        <v>401</v>
      </c>
      <c r="F19" s="217">
        <v>450</v>
      </c>
      <c r="G19" s="101">
        <v>2.5</v>
      </c>
      <c r="H19" s="101">
        <v>0.4</v>
      </c>
      <c r="I19" s="186">
        <v>2.8</v>
      </c>
      <c r="J19" s="186">
        <v>0.85</v>
      </c>
      <c r="K19" s="186">
        <v>0.7</v>
      </c>
      <c r="L19" s="101">
        <v>0.65</v>
      </c>
    </row>
    <row r="20" spans="1:12" x14ac:dyDescent="0.15">
      <c r="A20" s="98" t="s">
        <v>72</v>
      </c>
      <c r="B20" s="98" t="s">
        <v>1901</v>
      </c>
      <c r="C20" s="98" t="s">
        <v>1760</v>
      </c>
      <c r="D20" s="179" t="s">
        <v>802</v>
      </c>
      <c r="E20" s="12">
        <f t="shared" si="0"/>
        <v>451</v>
      </c>
      <c r="F20" s="184">
        <v>480</v>
      </c>
      <c r="G20" s="102"/>
      <c r="H20" s="102"/>
      <c r="I20" s="187"/>
      <c r="J20" s="186"/>
      <c r="K20" s="186"/>
      <c r="L20" s="101"/>
    </row>
    <row r="21" spans="1:12" x14ac:dyDescent="0.15">
      <c r="A21" s="98" t="s">
        <v>72</v>
      </c>
      <c r="B21" s="98" t="s">
        <v>1901</v>
      </c>
      <c r="C21" s="98" t="s">
        <v>1760</v>
      </c>
      <c r="D21" s="179" t="s">
        <v>803</v>
      </c>
      <c r="E21" s="12">
        <f t="shared" si="0"/>
        <v>481</v>
      </c>
      <c r="F21" s="184">
        <v>520</v>
      </c>
      <c r="I21" s="186"/>
      <c r="J21" s="186"/>
      <c r="K21" s="186"/>
      <c r="L21" s="101"/>
    </row>
    <row r="22" spans="1:12" x14ac:dyDescent="0.15">
      <c r="A22" s="98" t="s">
        <v>72</v>
      </c>
      <c r="B22" s="98" t="s">
        <v>1901</v>
      </c>
      <c r="C22" s="98" t="s">
        <v>1760</v>
      </c>
      <c r="D22" s="179" t="s">
        <v>804</v>
      </c>
      <c r="E22" s="12">
        <f t="shared" si="0"/>
        <v>521</v>
      </c>
      <c r="F22" s="184">
        <v>550</v>
      </c>
      <c r="I22" s="186"/>
      <c r="J22" s="186"/>
      <c r="K22" s="186"/>
      <c r="L22" s="101"/>
    </row>
    <row r="23" spans="1:12" x14ac:dyDescent="0.15">
      <c r="A23" s="98" t="s">
        <v>72</v>
      </c>
      <c r="B23" s="98" t="s">
        <v>1901</v>
      </c>
      <c r="C23" s="98" t="s">
        <v>1760</v>
      </c>
      <c r="D23" s="179" t="s">
        <v>805</v>
      </c>
      <c r="E23" s="12">
        <f t="shared" si="0"/>
        <v>551</v>
      </c>
      <c r="F23" s="184">
        <v>580</v>
      </c>
      <c r="I23" s="186"/>
      <c r="J23" s="186"/>
      <c r="K23" s="186"/>
      <c r="L23" s="101"/>
    </row>
    <row r="24" spans="1:12" x14ac:dyDescent="0.15">
      <c r="A24" s="98" t="s">
        <v>72</v>
      </c>
      <c r="B24" s="98" t="s">
        <v>1901</v>
      </c>
      <c r="C24" s="98" t="s">
        <v>1760</v>
      </c>
      <c r="D24" s="179" t="s">
        <v>806</v>
      </c>
      <c r="E24" s="12">
        <f t="shared" si="0"/>
        <v>581</v>
      </c>
      <c r="F24" s="184">
        <v>610</v>
      </c>
      <c r="I24" s="186"/>
      <c r="J24" s="186"/>
      <c r="K24" s="186"/>
      <c r="L24" s="101"/>
    </row>
    <row r="25" spans="1:12" x14ac:dyDescent="0.15">
      <c r="A25" s="98" t="s">
        <v>72</v>
      </c>
      <c r="B25" s="98" t="s">
        <v>1901</v>
      </c>
      <c r="C25" s="98" t="s">
        <v>1760</v>
      </c>
      <c r="D25" s="179" t="s">
        <v>807</v>
      </c>
      <c r="E25" s="12">
        <f t="shared" si="0"/>
        <v>611</v>
      </c>
      <c r="F25" s="184">
        <v>640</v>
      </c>
      <c r="I25" s="186"/>
      <c r="J25" s="186"/>
      <c r="K25" s="186"/>
      <c r="L25" s="101"/>
    </row>
    <row r="26" spans="1:12" x14ac:dyDescent="0.15">
      <c r="A26" s="98" t="s">
        <v>72</v>
      </c>
      <c r="B26" s="98" t="s">
        <v>1901</v>
      </c>
      <c r="C26" s="98" t="s">
        <v>1760</v>
      </c>
      <c r="D26" s="179" t="s">
        <v>808</v>
      </c>
      <c r="E26" s="12">
        <f t="shared" si="0"/>
        <v>641</v>
      </c>
      <c r="F26" s="184">
        <v>670</v>
      </c>
      <c r="I26" s="186"/>
      <c r="J26" s="186"/>
      <c r="K26" s="186"/>
      <c r="L26" s="101"/>
    </row>
    <row r="27" spans="1:12" x14ac:dyDescent="0.15">
      <c r="A27" s="98" t="s">
        <v>72</v>
      </c>
      <c r="B27" s="98" t="s">
        <v>1901</v>
      </c>
      <c r="C27" s="98" t="s">
        <v>1760</v>
      </c>
      <c r="D27" s="179" t="s">
        <v>809</v>
      </c>
      <c r="E27" s="12">
        <f t="shared" si="0"/>
        <v>671</v>
      </c>
      <c r="F27" s="184">
        <v>700</v>
      </c>
      <c r="I27" s="186"/>
      <c r="J27" s="186"/>
      <c r="K27" s="186"/>
      <c r="L27" s="101"/>
    </row>
    <row r="28" spans="1:12" s="100" customFormat="1" x14ac:dyDescent="0.15">
      <c r="A28" s="100" t="s">
        <v>72</v>
      </c>
      <c r="B28" s="100" t="s">
        <v>1905</v>
      </c>
      <c r="C28" s="100" t="s">
        <v>1761</v>
      </c>
      <c r="D28" s="177" t="s">
        <v>810</v>
      </c>
      <c r="E28" s="216">
        <f t="shared" si="0"/>
        <v>701</v>
      </c>
      <c r="F28" s="217">
        <v>750</v>
      </c>
      <c r="G28" s="101">
        <v>2</v>
      </c>
      <c r="H28" s="101">
        <v>0.35</v>
      </c>
      <c r="I28" s="186">
        <v>2</v>
      </c>
      <c r="J28" s="186">
        <v>0.75</v>
      </c>
      <c r="K28" s="186">
        <v>0.65</v>
      </c>
      <c r="L28" s="101">
        <v>0.75</v>
      </c>
    </row>
    <row r="29" spans="1:12" x14ac:dyDescent="0.15">
      <c r="A29" s="98" t="s">
        <v>72</v>
      </c>
      <c r="B29" s="98" t="s">
        <v>1905</v>
      </c>
      <c r="C29" s="98" t="s">
        <v>1761</v>
      </c>
      <c r="D29" s="179" t="s">
        <v>811</v>
      </c>
      <c r="E29" s="12">
        <f t="shared" si="0"/>
        <v>751</v>
      </c>
      <c r="F29" s="184">
        <v>800</v>
      </c>
      <c r="G29" s="102"/>
      <c r="H29" s="102"/>
      <c r="I29" s="187"/>
      <c r="J29" s="186"/>
      <c r="K29" s="186"/>
      <c r="L29" s="101"/>
    </row>
    <row r="30" spans="1:12" x14ac:dyDescent="0.15">
      <c r="A30" s="98" t="s">
        <v>72</v>
      </c>
      <c r="B30" s="98" t="s">
        <v>1905</v>
      </c>
      <c r="C30" s="98" t="s">
        <v>1761</v>
      </c>
      <c r="D30" s="179" t="s">
        <v>812</v>
      </c>
      <c r="E30" s="12">
        <f t="shared" si="0"/>
        <v>801</v>
      </c>
      <c r="F30" s="184">
        <v>900</v>
      </c>
      <c r="I30" s="186"/>
      <c r="J30" s="186"/>
      <c r="K30" s="186"/>
      <c r="L30" s="101"/>
    </row>
    <row r="31" spans="1:12" x14ac:dyDescent="0.15">
      <c r="A31" s="98" t="s">
        <v>72</v>
      </c>
      <c r="B31" s="98" t="s">
        <v>1905</v>
      </c>
      <c r="C31" s="98" t="s">
        <v>1761</v>
      </c>
      <c r="D31" s="179" t="s">
        <v>813</v>
      </c>
      <c r="E31" s="12">
        <f t="shared" si="0"/>
        <v>901</v>
      </c>
      <c r="F31" s="184">
        <v>950</v>
      </c>
      <c r="I31" s="186"/>
      <c r="J31" s="186"/>
      <c r="K31" s="186"/>
      <c r="L31" s="101"/>
    </row>
    <row r="32" spans="1:12" s="100" customFormat="1" x14ac:dyDescent="0.15">
      <c r="A32" s="100" t="s">
        <v>72</v>
      </c>
      <c r="B32" s="100" t="s">
        <v>1859</v>
      </c>
      <c r="C32" s="100" t="s">
        <v>1761</v>
      </c>
      <c r="D32" s="177" t="s">
        <v>814</v>
      </c>
      <c r="E32" s="216">
        <f t="shared" si="0"/>
        <v>951</v>
      </c>
      <c r="F32" s="217">
        <v>1000</v>
      </c>
      <c r="G32" s="101">
        <v>1.8</v>
      </c>
      <c r="H32" s="101">
        <v>0.3</v>
      </c>
      <c r="I32" s="186">
        <v>1.8</v>
      </c>
      <c r="J32" s="186">
        <v>0.7</v>
      </c>
      <c r="K32" s="186">
        <v>0.6</v>
      </c>
      <c r="L32" s="101">
        <v>0.8</v>
      </c>
    </row>
    <row r="33" spans="1:12" x14ac:dyDescent="0.15">
      <c r="A33" s="98" t="s">
        <v>72</v>
      </c>
      <c r="B33" s="98" t="s">
        <v>1859</v>
      </c>
      <c r="C33" s="98" t="s">
        <v>1761</v>
      </c>
      <c r="D33" s="179" t="s">
        <v>815</v>
      </c>
      <c r="E33" s="12">
        <f t="shared" si="0"/>
        <v>1001</v>
      </c>
      <c r="F33" s="184">
        <v>1100</v>
      </c>
      <c r="G33" s="102"/>
      <c r="H33" s="102"/>
      <c r="I33" s="187"/>
      <c r="J33" s="186"/>
      <c r="K33" s="186"/>
      <c r="L33" s="101"/>
    </row>
    <row r="34" spans="1:12" x14ac:dyDescent="0.15">
      <c r="A34" s="98" t="s">
        <v>72</v>
      </c>
      <c r="B34" s="98" t="s">
        <v>1859</v>
      </c>
      <c r="C34" s="98" t="s">
        <v>1761</v>
      </c>
      <c r="D34" s="179" t="s">
        <v>816</v>
      </c>
      <c r="E34" s="12">
        <f t="shared" si="0"/>
        <v>1101</v>
      </c>
      <c r="F34" s="184">
        <v>1250</v>
      </c>
      <c r="I34" s="186"/>
      <c r="J34" s="186"/>
      <c r="K34" s="186"/>
      <c r="L34" s="101"/>
    </row>
    <row r="35" spans="1:12" x14ac:dyDescent="0.15">
      <c r="A35" s="98" t="s">
        <v>72</v>
      </c>
      <c r="B35" s="98" t="s">
        <v>1859</v>
      </c>
      <c r="C35" s="98" t="s">
        <v>1761</v>
      </c>
      <c r="D35" s="179" t="s">
        <v>817</v>
      </c>
      <c r="E35" s="12">
        <f t="shared" si="0"/>
        <v>1251</v>
      </c>
      <c r="F35" s="184">
        <v>1325</v>
      </c>
      <c r="I35" s="186"/>
      <c r="J35" s="186"/>
      <c r="K35" s="186"/>
      <c r="L35" s="101"/>
    </row>
    <row r="36" spans="1:12" x14ac:dyDescent="0.15">
      <c r="A36" s="98" t="s">
        <v>72</v>
      </c>
      <c r="B36" s="98" t="s">
        <v>1859</v>
      </c>
      <c r="C36" s="98" t="s">
        <v>1761</v>
      </c>
      <c r="D36" s="179" t="s">
        <v>521</v>
      </c>
      <c r="E36" s="12">
        <f t="shared" si="0"/>
        <v>1326</v>
      </c>
      <c r="F36" s="184">
        <v>1350</v>
      </c>
      <c r="I36" s="186"/>
      <c r="J36" s="186"/>
      <c r="K36" s="186"/>
      <c r="L36" s="101"/>
    </row>
    <row r="37" spans="1:12" s="100" customFormat="1" x14ac:dyDescent="0.15">
      <c r="A37" s="100" t="s">
        <v>72</v>
      </c>
      <c r="B37" s="100" t="s">
        <v>1886</v>
      </c>
      <c r="C37" s="100" t="s">
        <v>1761</v>
      </c>
      <c r="D37" s="177" t="s">
        <v>818</v>
      </c>
      <c r="E37" s="216">
        <f t="shared" si="0"/>
        <v>1351</v>
      </c>
      <c r="F37" s="217">
        <v>1450</v>
      </c>
      <c r="G37" s="101">
        <v>1.2</v>
      </c>
      <c r="H37" s="101">
        <v>0.25</v>
      </c>
      <c r="I37" s="186">
        <v>1.5</v>
      </c>
      <c r="J37" s="186">
        <v>0.6</v>
      </c>
      <c r="K37" s="186">
        <v>0.55000000000000004</v>
      </c>
      <c r="L37" s="101">
        <v>0.55000000000000004</v>
      </c>
    </row>
    <row r="38" spans="1:12" x14ac:dyDescent="0.15">
      <c r="A38" s="98" t="s">
        <v>72</v>
      </c>
      <c r="B38" s="98" t="s">
        <v>1886</v>
      </c>
      <c r="C38" s="98" t="s">
        <v>1761</v>
      </c>
      <c r="D38" s="179" t="s">
        <v>819</v>
      </c>
      <c r="E38" s="12">
        <f t="shared" si="0"/>
        <v>1451</v>
      </c>
      <c r="F38" s="184">
        <v>1550</v>
      </c>
      <c r="G38" s="102"/>
      <c r="H38" s="102"/>
      <c r="I38" s="187"/>
      <c r="J38" s="186"/>
      <c r="K38" s="186"/>
      <c r="L38" s="101"/>
    </row>
    <row r="39" spans="1:12" x14ac:dyDescent="0.15">
      <c r="A39" s="98" t="s">
        <v>72</v>
      </c>
      <c r="B39" s="98" t="s">
        <v>1886</v>
      </c>
      <c r="C39" s="98" t="s">
        <v>1761</v>
      </c>
      <c r="D39" s="179" t="s">
        <v>820</v>
      </c>
      <c r="E39" s="12">
        <f t="shared" si="0"/>
        <v>1551</v>
      </c>
      <c r="F39" s="184">
        <v>1650</v>
      </c>
      <c r="I39" s="186"/>
      <c r="J39" s="186"/>
      <c r="K39" s="186"/>
      <c r="L39" s="101"/>
    </row>
    <row r="40" spans="1:12" x14ac:dyDescent="0.15">
      <c r="A40" s="98" t="s">
        <v>72</v>
      </c>
      <c r="B40" s="98" t="s">
        <v>1886</v>
      </c>
      <c r="C40" s="98" t="s">
        <v>1761</v>
      </c>
      <c r="D40" s="179" t="s">
        <v>844</v>
      </c>
      <c r="E40" s="12">
        <f t="shared" si="0"/>
        <v>1651</v>
      </c>
      <c r="F40" s="184">
        <v>1750</v>
      </c>
      <c r="I40" s="186"/>
      <c r="J40" s="186"/>
      <c r="K40" s="186"/>
      <c r="L40" s="101"/>
    </row>
    <row r="41" spans="1:12" x14ac:dyDescent="0.15">
      <c r="A41" s="98" t="s">
        <v>72</v>
      </c>
      <c r="B41" s="98" t="s">
        <v>1886</v>
      </c>
      <c r="C41" s="98" t="s">
        <v>1761</v>
      </c>
      <c r="D41" s="179" t="s">
        <v>821</v>
      </c>
      <c r="E41" s="12">
        <f t="shared" si="0"/>
        <v>1751</v>
      </c>
      <c r="F41" s="184">
        <v>1850</v>
      </c>
      <c r="I41" s="186"/>
      <c r="J41" s="186"/>
      <c r="K41" s="186"/>
      <c r="L41" s="101"/>
    </row>
    <row r="42" spans="1:12" x14ac:dyDescent="0.15">
      <c r="A42" s="98" t="s">
        <v>72</v>
      </c>
      <c r="B42" s="98" t="s">
        <v>1886</v>
      </c>
      <c r="C42" s="98" t="s">
        <v>1761</v>
      </c>
      <c r="D42" s="179" t="s">
        <v>822</v>
      </c>
      <c r="E42" s="12">
        <f t="shared" si="0"/>
        <v>1851</v>
      </c>
      <c r="F42" s="184">
        <v>1950</v>
      </c>
      <c r="I42" s="186"/>
      <c r="J42" s="186"/>
      <c r="K42" s="186"/>
      <c r="L42" s="101"/>
    </row>
    <row r="43" spans="1:12" x14ac:dyDescent="0.15">
      <c r="A43" s="98" t="s">
        <v>72</v>
      </c>
      <c r="B43" s="98" t="s">
        <v>1886</v>
      </c>
      <c r="C43" s="98" t="s">
        <v>1761</v>
      </c>
      <c r="D43" s="179" t="s">
        <v>823</v>
      </c>
      <c r="E43" s="12">
        <f t="shared" si="0"/>
        <v>1951</v>
      </c>
      <c r="F43" s="184">
        <v>2000</v>
      </c>
      <c r="I43" s="186"/>
      <c r="J43" s="186"/>
      <c r="K43" s="186"/>
      <c r="L43" s="101"/>
    </row>
    <row r="44" spans="1:12" x14ac:dyDescent="0.15">
      <c r="A44" s="98" t="s">
        <v>72</v>
      </c>
      <c r="B44" s="98" t="s">
        <v>1886</v>
      </c>
      <c r="C44" s="98" t="s">
        <v>1761</v>
      </c>
      <c r="D44" s="179" t="s">
        <v>824</v>
      </c>
      <c r="E44" s="12">
        <f t="shared" si="0"/>
        <v>2001</v>
      </c>
      <c r="F44" s="184">
        <v>2050</v>
      </c>
      <c r="I44" s="186"/>
      <c r="J44" s="186"/>
      <c r="K44" s="186"/>
      <c r="L44" s="101"/>
    </row>
    <row r="45" spans="1:12" x14ac:dyDescent="0.15">
      <c r="A45" s="98" t="s">
        <v>72</v>
      </c>
      <c r="B45" s="98" t="s">
        <v>1886</v>
      </c>
      <c r="C45" s="98" t="s">
        <v>1761</v>
      </c>
      <c r="D45" s="179" t="s">
        <v>825</v>
      </c>
      <c r="E45" s="12">
        <f t="shared" si="0"/>
        <v>2051</v>
      </c>
      <c r="F45" s="184">
        <v>2100</v>
      </c>
      <c r="I45" s="186"/>
      <c r="J45" s="186"/>
      <c r="K45" s="186"/>
      <c r="L45" s="101"/>
    </row>
    <row r="46" spans="1:12" s="100" customFormat="1" x14ac:dyDescent="0.15">
      <c r="A46" s="100" t="s">
        <v>72</v>
      </c>
      <c r="B46" s="100" t="s">
        <v>1902</v>
      </c>
      <c r="C46" s="100" t="s">
        <v>1762</v>
      </c>
      <c r="D46" s="177" t="s">
        <v>826</v>
      </c>
      <c r="E46" s="216">
        <f t="shared" si="0"/>
        <v>2101</v>
      </c>
      <c r="F46" s="217">
        <v>2200</v>
      </c>
      <c r="G46" s="101">
        <v>0.6</v>
      </c>
      <c r="H46" s="101">
        <v>0.1</v>
      </c>
      <c r="I46" s="186">
        <v>0.8</v>
      </c>
      <c r="J46" s="186">
        <v>0.4</v>
      </c>
      <c r="K46" s="186">
        <v>0.5</v>
      </c>
      <c r="L46" s="101">
        <v>0.35</v>
      </c>
    </row>
    <row r="47" spans="1:12" x14ac:dyDescent="0.15">
      <c r="A47" s="98" t="s">
        <v>72</v>
      </c>
      <c r="B47" s="98" t="s">
        <v>1902</v>
      </c>
      <c r="C47" s="98" t="s">
        <v>1762</v>
      </c>
      <c r="D47" s="179" t="s">
        <v>827</v>
      </c>
      <c r="E47" s="12">
        <f t="shared" si="0"/>
        <v>2201</v>
      </c>
      <c r="F47" s="184">
        <v>2250</v>
      </c>
      <c r="G47" s="102"/>
      <c r="H47" s="102"/>
      <c r="I47" s="187"/>
      <c r="J47" s="186"/>
      <c r="K47" s="186"/>
      <c r="L47" s="101"/>
    </row>
    <row r="48" spans="1:12" x14ac:dyDescent="0.15">
      <c r="A48" s="98" t="s">
        <v>72</v>
      </c>
      <c r="B48" s="98" t="s">
        <v>1902</v>
      </c>
      <c r="C48" s="98" t="s">
        <v>1762</v>
      </c>
      <c r="D48" s="179" t="s">
        <v>828</v>
      </c>
      <c r="E48" s="12">
        <f t="shared" si="0"/>
        <v>2251</v>
      </c>
      <c r="F48" s="184">
        <v>2300</v>
      </c>
      <c r="I48" s="186"/>
      <c r="J48" s="186"/>
      <c r="K48" s="186"/>
      <c r="L48" s="101"/>
    </row>
    <row r="49" spans="1:12" x14ac:dyDescent="0.15">
      <c r="A49" s="98" t="s">
        <v>72</v>
      </c>
      <c r="B49" s="98" t="s">
        <v>1902</v>
      </c>
      <c r="C49" s="98" t="s">
        <v>1762</v>
      </c>
      <c r="D49" s="179" t="s">
        <v>829</v>
      </c>
      <c r="E49" s="12">
        <f t="shared" si="0"/>
        <v>2301</v>
      </c>
      <c r="F49" s="184">
        <v>2350</v>
      </c>
      <c r="I49" s="186"/>
      <c r="J49" s="186"/>
      <c r="K49" s="186"/>
      <c r="L49" s="101"/>
    </row>
    <row r="50" spans="1:12" x14ac:dyDescent="0.15">
      <c r="A50" s="98" t="s">
        <v>72</v>
      </c>
      <c r="B50" s="98" t="s">
        <v>1902</v>
      </c>
      <c r="C50" s="98" t="s">
        <v>1762</v>
      </c>
      <c r="D50" s="179" t="s">
        <v>830</v>
      </c>
      <c r="E50" s="12">
        <f t="shared" si="0"/>
        <v>2351</v>
      </c>
      <c r="F50" s="184">
        <v>2400</v>
      </c>
      <c r="I50" s="186"/>
      <c r="J50" s="186"/>
      <c r="K50" s="186"/>
      <c r="L50" s="101"/>
    </row>
    <row r="51" spans="1:12" x14ac:dyDescent="0.15">
      <c r="A51" s="98" t="s">
        <v>72</v>
      </c>
      <c r="B51" s="98" t="s">
        <v>1902</v>
      </c>
      <c r="C51" s="98" t="s">
        <v>1762</v>
      </c>
      <c r="D51" s="179" t="s">
        <v>831</v>
      </c>
      <c r="E51" s="12">
        <f t="shared" si="0"/>
        <v>2401</v>
      </c>
      <c r="F51" s="184">
        <v>2450</v>
      </c>
      <c r="I51" s="186"/>
      <c r="J51" s="186"/>
      <c r="K51" s="186"/>
      <c r="L51" s="101"/>
    </row>
    <row r="52" spans="1:12" x14ac:dyDescent="0.15">
      <c r="A52" s="98" t="s">
        <v>72</v>
      </c>
      <c r="B52" s="98" t="s">
        <v>1902</v>
      </c>
      <c r="C52" s="98" t="s">
        <v>1762</v>
      </c>
      <c r="D52" s="179" t="s">
        <v>832</v>
      </c>
      <c r="E52" s="12">
        <f t="shared" si="0"/>
        <v>2451</v>
      </c>
      <c r="F52" s="184">
        <v>2480</v>
      </c>
      <c r="I52" s="186"/>
      <c r="J52" s="186"/>
      <c r="K52" s="186"/>
      <c r="L52" s="101"/>
    </row>
    <row r="53" spans="1:12" x14ac:dyDescent="0.15">
      <c r="A53" s="98" t="s">
        <v>72</v>
      </c>
      <c r="B53" s="98" t="s">
        <v>1902</v>
      </c>
      <c r="C53" s="98" t="s">
        <v>1762</v>
      </c>
      <c r="D53" s="179" t="s">
        <v>833</v>
      </c>
      <c r="E53" s="12">
        <f t="shared" si="0"/>
        <v>2481</v>
      </c>
      <c r="F53" s="184">
        <v>2500</v>
      </c>
      <c r="I53" s="186"/>
      <c r="J53" s="186"/>
      <c r="K53" s="186"/>
      <c r="L53" s="101"/>
    </row>
    <row r="54" spans="1:12" x14ac:dyDescent="0.15">
      <c r="A54" s="98" t="s">
        <v>72</v>
      </c>
      <c r="B54" s="98" t="s">
        <v>1902</v>
      </c>
      <c r="C54" s="98" t="s">
        <v>1762</v>
      </c>
      <c r="D54" s="179" t="s">
        <v>834</v>
      </c>
      <c r="E54" s="12">
        <f t="shared" si="0"/>
        <v>2501</v>
      </c>
      <c r="F54" s="184">
        <v>2550</v>
      </c>
      <c r="I54" s="186"/>
      <c r="J54" s="186"/>
      <c r="K54" s="186"/>
      <c r="L54" s="101"/>
    </row>
    <row r="55" spans="1:12" x14ac:dyDescent="0.15">
      <c r="A55" s="98" t="s">
        <v>72</v>
      </c>
      <c r="B55" s="98" t="s">
        <v>1902</v>
      </c>
      <c r="C55" s="98" t="s">
        <v>1762</v>
      </c>
      <c r="D55" s="179" t="s">
        <v>835</v>
      </c>
      <c r="E55" s="12">
        <f t="shared" si="0"/>
        <v>2551</v>
      </c>
      <c r="F55" s="184">
        <v>2600</v>
      </c>
      <c r="I55" s="186"/>
      <c r="J55" s="186"/>
      <c r="K55" s="186"/>
      <c r="L55" s="101"/>
    </row>
    <row r="56" spans="1:12" s="100" customFormat="1" x14ac:dyDescent="0.15">
      <c r="A56" s="100" t="s">
        <v>72</v>
      </c>
      <c r="B56" s="100" t="s">
        <v>1855</v>
      </c>
      <c r="C56" s="100" t="s">
        <v>1855</v>
      </c>
      <c r="D56" s="177" t="s">
        <v>836</v>
      </c>
      <c r="E56" s="216">
        <f t="shared" si="0"/>
        <v>2601</v>
      </c>
      <c r="F56" s="217">
        <v>2620</v>
      </c>
      <c r="G56" s="101">
        <v>0.2</v>
      </c>
      <c r="H56" s="101">
        <v>0.05</v>
      </c>
      <c r="I56" s="186">
        <v>0.3</v>
      </c>
      <c r="J56" s="186">
        <v>0.25</v>
      </c>
      <c r="K56" s="186">
        <v>0.4</v>
      </c>
      <c r="L56" s="101">
        <v>0.2</v>
      </c>
    </row>
    <row r="57" spans="1:12" x14ac:dyDescent="0.15">
      <c r="A57" s="98" t="s">
        <v>72</v>
      </c>
      <c r="B57" s="98" t="s">
        <v>1855</v>
      </c>
      <c r="C57" s="98" t="s">
        <v>1855</v>
      </c>
      <c r="D57" s="179" t="s">
        <v>837</v>
      </c>
      <c r="E57" s="12">
        <f t="shared" si="0"/>
        <v>2621</v>
      </c>
      <c r="F57" s="184">
        <v>2640</v>
      </c>
      <c r="I57" s="186"/>
      <c r="J57" s="186"/>
      <c r="K57" s="186"/>
      <c r="L57" s="101"/>
    </row>
    <row r="58" spans="1:12" x14ac:dyDescent="0.15">
      <c r="A58" s="98" t="s">
        <v>72</v>
      </c>
      <c r="B58" s="98" t="s">
        <v>1855</v>
      </c>
      <c r="C58" s="98" t="s">
        <v>1855</v>
      </c>
      <c r="D58" s="179" t="s">
        <v>838</v>
      </c>
      <c r="E58" s="12">
        <f t="shared" si="0"/>
        <v>2641</v>
      </c>
      <c r="F58" s="184">
        <v>2660</v>
      </c>
      <c r="I58" s="186"/>
      <c r="J58" s="186"/>
      <c r="K58" s="186"/>
      <c r="L58" s="101"/>
    </row>
    <row r="59" spans="1:12" x14ac:dyDescent="0.15">
      <c r="A59" s="98" t="s">
        <v>72</v>
      </c>
      <c r="B59" s="98" t="s">
        <v>1855</v>
      </c>
      <c r="C59" s="98" t="s">
        <v>1855</v>
      </c>
      <c r="D59" s="179" t="s">
        <v>839</v>
      </c>
      <c r="E59" s="12">
        <f t="shared" si="0"/>
        <v>2661</v>
      </c>
      <c r="F59" s="184">
        <v>2680</v>
      </c>
      <c r="I59" s="186"/>
      <c r="J59" s="186"/>
      <c r="K59" s="186"/>
      <c r="L59" s="101"/>
    </row>
    <row r="60" spans="1:12" x14ac:dyDescent="0.15">
      <c r="A60" s="98" t="s">
        <v>72</v>
      </c>
      <c r="B60" s="98" t="s">
        <v>1855</v>
      </c>
      <c r="C60" s="98" t="s">
        <v>1855</v>
      </c>
      <c r="D60" s="179" t="s">
        <v>840</v>
      </c>
      <c r="E60" s="12">
        <f t="shared" si="0"/>
        <v>2681</v>
      </c>
      <c r="F60" s="184">
        <v>2700</v>
      </c>
      <c r="I60" s="186"/>
      <c r="J60" s="186"/>
      <c r="K60" s="186"/>
      <c r="L60" s="101"/>
    </row>
    <row r="61" spans="1:12" x14ac:dyDescent="0.15">
      <c r="A61" s="98" t="s">
        <v>72</v>
      </c>
      <c r="B61" s="98" t="s">
        <v>1855</v>
      </c>
      <c r="C61" s="98" t="s">
        <v>1855</v>
      </c>
      <c r="D61" s="179" t="s">
        <v>841</v>
      </c>
      <c r="E61" s="12">
        <f t="shared" si="0"/>
        <v>2701</v>
      </c>
      <c r="F61" s="184">
        <v>2720</v>
      </c>
      <c r="I61" s="186"/>
      <c r="J61" s="186"/>
      <c r="K61" s="186"/>
      <c r="L61" s="101"/>
    </row>
    <row r="62" spans="1:12" x14ac:dyDescent="0.15">
      <c r="A62" s="98" t="s">
        <v>72</v>
      </c>
      <c r="B62" s="98" t="s">
        <v>1855</v>
      </c>
      <c r="C62" s="98" t="s">
        <v>1855</v>
      </c>
      <c r="D62" s="179" t="s">
        <v>842</v>
      </c>
      <c r="E62" s="12">
        <f t="shared" si="0"/>
        <v>2721</v>
      </c>
      <c r="F62" s="184">
        <v>2750</v>
      </c>
      <c r="I62" s="186"/>
      <c r="J62" s="186"/>
      <c r="K62" s="186"/>
      <c r="L62" s="101"/>
    </row>
    <row r="63" spans="1:12" x14ac:dyDescent="0.15">
      <c r="A63" s="98" t="s">
        <v>72</v>
      </c>
      <c r="B63" s="98" t="s">
        <v>1855</v>
      </c>
      <c r="C63" s="98" t="s">
        <v>1855</v>
      </c>
      <c r="D63" s="179" t="s">
        <v>843</v>
      </c>
      <c r="E63" s="12">
        <f t="shared" si="0"/>
        <v>2751</v>
      </c>
      <c r="F63" s="184">
        <v>2800</v>
      </c>
      <c r="I63" s="186"/>
      <c r="J63" s="186"/>
      <c r="K63" s="186"/>
      <c r="L63" s="101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EFFF-0E34-4023-8F47-1E3D277C1C85}">
  <sheetPr>
    <tabColor rgb="FFFFFF00"/>
  </sheetPr>
  <dimension ref="A1:L38"/>
  <sheetViews>
    <sheetView workbookViewId="0">
      <selection activeCell="L38" sqref="L38"/>
    </sheetView>
  </sheetViews>
  <sheetFormatPr defaultRowHeight="10.5" x14ac:dyDescent="0.15"/>
  <cols>
    <col min="1" max="1" width="10.28515625" style="98" bestFit="1" customWidth="1"/>
    <col min="2" max="2" width="22" style="98" bestFit="1" customWidth="1"/>
    <col min="3" max="3" width="11.85546875" style="98" bestFit="1" customWidth="1"/>
    <col min="4" max="4" width="63.710937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99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10</v>
      </c>
      <c r="G2" s="101">
        <v>0.02</v>
      </c>
      <c r="H2" s="101">
        <v>5.0000000000000001E-3</v>
      </c>
      <c r="I2" s="186">
        <v>0.02</v>
      </c>
      <c r="J2" s="186">
        <v>0.15</v>
      </c>
      <c r="K2" s="186">
        <v>0.6</v>
      </c>
      <c r="L2" s="101">
        <v>0.8</v>
      </c>
    </row>
    <row r="3" spans="1:12" x14ac:dyDescent="0.15">
      <c r="A3" s="98" t="s">
        <v>99</v>
      </c>
      <c r="B3" s="98" t="s">
        <v>1759</v>
      </c>
      <c r="C3" s="98" t="s">
        <v>1759</v>
      </c>
      <c r="D3" s="179" t="s">
        <v>374</v>
      </c>
      <c r="E3" s="12">
        <f>F2+1</f>
        <v>11</v>
      </c>
      <c r="F3" s="184">
        <v>30</v>
      </c>
      <c r="G3" s="102"/>
      <c r="H3" s="102"/>
      <c r="I3" s="187"/>
      <c r="J3" s="186"/>
      <c r="K3" s="186"/>
      <c r="L3" s="101"/>
    </row>
    <row r="4" spans="1:12" x14ac:dyDescent="0.15">
      <c r="A4" s="98" t="s">
        <v>99</v>
      </c>
      <c r="B4" s="98" t="s">
        <v>1759</v>
      </c>
      <c r="C4" s="98" t="s">
        <v>1759</v>
      </c>
      <c r="D4" s="179" t="s">
        <v>375</v>
      </c>
      <c r="E4" s="12">
        <f t="shared" ref="E4:E38" si="0">F3+1</f>
        <v>31</v>
      </c>
      <c r="F4" s="184">
        <v>60</v>
      </c>
      <c r="I4" s="186"/>
      <c r="J4" s="186"/>
      <c r="K4" s="186"/>
      <c r="L4" s="101"/>
    </row>
    <row r="5" spans="1:12" x14ac:dyDescent="0.15">
      <c r="A5" s="98" t="s">
        <v>99</v>
      </c>
      <c r="B5" s="98" t="s">
        <v>1759</v>
      </c>
      <c r="C5" s="98" t="s">
        <v>1759</v>
      </c>
      <c r="D5" s="179" t="s">
        <v>414</v>
      </c>
      <c r="E5" s="12">
        <f t="shared" si="0"/>
        <v>61</v>
      </c>
      <c r="F5" s="184">
        <v>90</v>
      </c>
      <c r="I5" s="186"/>
      <c r="J5" s="186"/>
      <c r="K5" s="186"/>
      <c r="L5" s="101"/>
    </row>
    <row r="6" spans="1:12" x14ac:dyDescent="0.15">
      <c r="A6" s="98" t="s">
        <v>99</v>
      </c>
      <c r="B6" s="98" t="s">
        <v>1759</v>
      </c>
      <c r="C6" s="98" t="s">
        <v>1759</v>
      </c>
      <c r="D6" s="179" t="s">
        <v>377</v>
      </c>
      <c r="E6" s="12">
        <f t="shared" si="0"/>
        <v>91</v>
      </c>
      <c r="F6" s="184">
        <v>110</v>
      </c>
      <c r="I6" s="186"/>
      <c r="J6" s="186"/>
      <c r="K6" s="186"/>
      <c r="L6" s="101"/>
    </row>
    <row r="7" spans="1:12" x14ac:dyDescent="0.15">
      <c r="A7" s="98" t="s">
        <v>99</v>
      </c>
      <c r="B7" s="98" t="s">
        <v>1759</v>
      </c>
      <c r="C7" s="98" t="s">
        <v>1759</v>
      </c>
      <c r="D7" s="179" t="s">
        <v>457</v>
      </c>
      <c r="E7" s="12">
        <f t="shared" si="0"/>
        <v>111</v>
      </c>
      <c r="F7" s="184">
        <v>120</v>
      </c>
      <c r="I7" s="186"/>
      <c r="J7" s="186"/>
      <c r="K7" s="186"/>
      <c r="L7" s="101"/>
    </row>
    <row r="8" spans="1:12" s="100" customFormat="1" x14ac:dyDescent="0.15">
      <c r="A8" s="100" t="s">
        <v>99</v>
      </c>
      <c r="B8" s="100" t="s">
        <v>1861</v>
      </c>
      <c r="C8" s="100" t="s">
        <v>1760</v>
      </c>
      <c r="D8" s="177" t="s">
        <v>380</v>
      </c>
      <c r="E8" s="216">
        <f t="shared" si="0"/>
        <v>121</v>
      </c>
      <c r="F8" s="217">
        <v>150</v>
      </c>
      <c r="G8" s="101">
        <v>0.75</v>
      </c>
      <c r="H8" s="101">
        <v>0.15</v>
      </c>
      <c r="I8" s="186">
        <v>0.9</v>
      </c>
      <c r="J8" s="186">
        <v>0.5</v>
      </c>
      <c r="K8" s="186">
        <v>0.65</v>
      </c>
      <c r="L8" s="101">
        <v>0.68</v>
      </c>
    </row>
    <row r="9" spans="1:12" x14ac:dyDescent="0.15">
      <c r="A9" s="98" t="s">
        <v>99</v>
      </c>
      <c r="B9" s="98" t="s">
        <v>1861</v>
      </c>
      <c r="C9" s="98" t="s">
        <v>1760</v>
      </c>
      <c r="D9" s="179" t="s">
        <v>484</v>
      </c>
      <c r="E9" s="12">
        <f t="shared" si="0"/>
        <v>151</v>
      </c>
      <c r="F9" s="184">
        <v>190</v>
      </c>
      <c r="G9" s="102"/>
      <c r="H9" s="102"/>
      <c r="I9" s="187"/>
      <c r="J9" s="186"/>
      <c r="K9" s="186"/>
      <c r="L9" s="101"/>
    </row>
    <row r="10" spans="1:12" x14ac:dyDescent="0.15">
      <c r="A10" s="98" t="s">
        <v>99</v>
      </c>
      <c r="B10" s="98" t="s">
        <v>1861</v>
      </c>
      <c r="C10" s="98" t="s">
        <v>1760</v>
      </c>
      <c r="D10" s="179" t="s">
        <v>485</v>
      </c>
      <c r="E10" s="12">
        <f t="shared" si="0"/>
        <v>191</v>
      </c>
      <c r="F10" s="184">
        <v>230</v>
      </c>
      <c r="I10" s="186"/>
      <c r="J10" s="186"/>
      <c r="K10" s="186"/>
      <c r="L10" s="101"/>
    </row>
    <row r="11" spans="1:12" x14ac:dyDescent="0.15">
      <c r="A11" s="98" t="s">
        <v>99</v>
      </c>
      <c r="B11" s="98" t="s">
        <v>1861</v>
      </c>
      <c r="C11" s="98" t="s">
        <v>1760</v>
      </c>
      <c r="D11" s="179" t="s">
        <v>486</v>
      </c>
      <c r="E11" s="12">
        <f t="shared" si="0"/>
        <v>231</v>
      </c>
      <c r="F11" s="184">
        <v>270</v>
      </c>
      <c r="I11" s="186"/>
      <c r="J11" s="186"/>
      <c r="K11" s="186"/>
      <c r="L11" s="101"/>
    </row>
    <row r="12" spans="1:12" x14ac:dyDescent="0.15">
      <c r="A12" s="98" t="s">
        <v>99</v>
      </c>
      <c r="B12" s="98" t="s">
        <v>1861</v>
      </c>
      <c r="C12" s="98" t="s">
        <v>1760</v>
      </c>
      <c r="D12" s="179" t="s">
        <v>487</v>
      </c>
      <c r="E12" s="12">
        <f t="shared" si="0"/>
        <v>271</v>
      </c>
      <c r="F12" s="184">
        <v>300</v>
      </c>
      <c r="I12" s="186"/>
      <c r="J12" s="186"/>
      <c r="K12" s="186"/>
      <c r="L12" s="101"/>
    </row>
    <row r="13" spans="1:12" s="100" customFormat="1" x14ac:dyDescent="0.15">
      <c r="A13" s="100" t="s">
        <v>99</v>
      </c>
      <c r="B13" s="100" t="s">
        <v>1857</v>
      </c>
      <c r="C13" s="100" t="s">
        <v>1760</v>
      </c>
      <c r="D13" s="177" t="s">
        <v>488</v>
      </c>
      <c r="E13" s="216">
        <f t="shared" si="0"/>
        <v>301</v>
      </c>
      <c r="F13" s="217">
        <v>340</v>
      </c>
      <c r="G13" s="101">
        <v>1.1000000000000001</v>
      </c>
      <c r="H13" s="101">
        <v>0.2</v>
      </c>
      <c r="I13" s="186">
        <v>1.1000000000000001</v>
      </c>
      <c r="J13" s="186">
        <v>0.8</v>
      </c>
      <c r="K13" s="186">
        <v>0.7</v>
      </c>
      <c r="L13" s="101">
        <v>0.72</v>
      </c>
    </row>
    <row r="14" spans="1:12" x14ac:dyDescent="0.15">
      <c r="A14" s="98" t="s">
        <v>99</v>
      </c>
      <c r="B14" s="98" t="s">
        <v>1857</v>
      </c>
      <c r="C14" s="98" t="s">
        <v>1760</v>
      </c>
      <c r="D14" s="179" t="s">
        <v>489</v>
      </c>
      <c r="E14" s="12">
        <f t="shared" si="0"/>
        <v>341</v>
      </c>
      <c r="F14" s="184">
        <v>370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99</v>
      </c>
      <c r="B15" s="98" t="s">
        <v>1857</v>
      </c>
      <c r="C15" s="98" t="s">
        <v>1760</v>
      </c>
      <c r="D15" s="179" t="s">
        <v>638</v>
      </c>
      <c r="E15" s="12">
        <f t="shared" si="0"/>
        <v>371</v>
      </c>
      <c r="F15" s="184">
        <v>400</v>
      </c>
      <c r="I15" s="186"/>
      <c r="J15" s="186"/>
      <c r="K15" s="186"/>
      <c r="L15" s="101"/>
    </row>
    <row r="16" spans="1:12" s="100" customFormat="1" x14ac:dyDescent="0.15">
      <c r="A16" s="100" t="s">
        <v>99</v>
      </c>
      <c r="B16" s="100" t="s">
        <v>1858</v>
      </c>
      <c r="C16" s="100" t="s">
        <v>1761</v>
      </c>
      <c r="D16" s="177" t="s">
        <v>491</v>
      </c>
      <c r="E16" s="216">
        <f t="shared" si="0"/>
        <v>401</v>
      </c>
      <c r="F16" s="217">
        <v>430</v>
      </c>
      <c r="G16" s="101">
        <v>1.35</v>
      </c>
      <c r="H16" s="101">
        <v>0.25</v>
      </c>
      <c r="I16" s="186">
        <v>1.35</v>
      </c>
      <c r="J16" s="186">
        <v>1</v>
      </c>
      <c r="K16" s="186">
        <v>0.75</v>
      </c>
      <c r="L16" s="101">
        <v>0.82</v>
      </c>
    </row>
    <row r="17" spans="1:12" x14ac:dyDescent="0.15">
      <c r="A17" s="98" t="s">
        <v>99</v>
      </c>
      <c r="B17" s="98" t="s">
        <v>1858</v>
      </c>
      <c r="C17" s="98" t="s">
        <v>1761</v>
      </c>
      <c r="D17" s="179" t="s">
        <v>492</v>
      </c>
      <c r="E17" s="12">
        <f t="shared" si="0"/>
        <v>431</v>
      </c>
      <c r="F17" s="184">
        <v>455</v>
      </c>
      <c r="G17" s="102"/>
      <c r="H17" s="102"/>
      <c r="I17" s="187"/>
      <c r="J17" s="186"/>
      <c r="K17" s="186"/>
      <c r="L17" s="101"/>
    </row>
    <row r="18" spans="1:12" x14ac:dyDescent="0.15">
      <c r="A18" s="98" t="s">
        <v>99</v>
      </c>
      <c r="B18" s="98" t="s">
        <v>1858</v>
      </c>
      <c r="C18" s="98" t="s">
        <v>1761</v>
      </c>
      <c r="D18" s="179" t="s">
        <v>493</v>
      </c>
      <c r="E18" s="12">
        <f t="shared" si="0"/>
        <v>456</v>
      </c>
      <c r="F18" s="184">
        <v>470</v>
      </c>
      <c r="I18" s="186"/>
      <c r="J18" s="186"/>
      <c r="K18" s="186"/>
      <c r="L18" s="101"/>
    </row>
    <row r="19" spans="1:12" x14ac:dyDescent="0.15">
      <c r="A19" s="98" t="s">
        <v>99</v>
      </c>
      <c r="B19" s="98" t="s">
        <v>1858</v>
      </c>
      <c r="C19" s="98" t="s">
        <v>1761</v>
      </c>
      <c r="D19" s="179" t="s">
        <v>494</v>
      </c>
      <c r="E19" s="12">
        <f t="shared" si="0"/>
        <v>471</v>
      </c>
      <c r="F19" s="184">
        <v>480</v>
      </c>
      <c r="I19" s="186"/>
      <c r="J19" s="186"/>
      <c r="K19" s="186"/>
      <c r="L19" s="101"/>
    </row>
    <row r="20" spans="1:12" s="100" customFormat="1" x14ac:dyDescent="0.15">
      <c r="A20" s="100" t="s">
        <v>99</v>
      </c>
      <c r="B20" s="100" t="s">
        <v>1859</v>
      </c>
      <c r="C20" s="100" t="s">
        <v>1761</v>
      </c>
      <c r="D20" s="177" t="s">
        <v>846</v>
      </c>
      <c r="E20" s="216">
        <f t="shared" si="0"/>
        <v>481</v>
      </c>
      <c r="F20" s="217">
        <v>520</v>
      </c>
      <c r="G20" s="101">
        <v>1.75</v>
      </c>
      <c r="H20" s="101">
        <v>0.3</v>
      </c>
      <c r="I20" s="186">
        <v>1.75</v>
      </c>
      <c r="J20" s="186">
        <v>1.1000000000000001</v>
      </c>
      <c r="K20" s="186">
        <v>0.75</v>
      </c>
      <c r="L20" s="101">
        <v>0.88</v>
      </c>
    </row>
    <row r="21" spans="1:12" x14ac:dyDescent="0.15">
      <c r="A21" s="98" t="s">
        <v>99</v>
      </c>
      <c r="B21" s="98" t="s">
        <v>1859</v>
      </c>
      <c r="C21" s="98" t="s">
        <v>1761</v>
      </c>
      <c r="D21" s="179" t="s">
        <v>496</v>
      </c>
      <c r="E21" s="12">
        <f t="shared" si="0"/>
        <v>521</v>
      </c>
      <c r="F21" s="184">
        <v>560</v>
      </c>
      <c r="G21" s="102"/>
      <c r="H21" s="102"/>
      <c r="I21" s="187"/>
      <c r="J21" s="186"/>
      <c r="K21" s="186"/>
      <c r="L21" s="101"/>
    </row>
    <row r="22" spans="1:12" x14ac:dyDescent="0.15">
      <c r="A22" s="98" t="s">
        <v>99</v>
      </c>
      <c r="B22" s="98" t="s">
        <v>1859</v>
      </c>
      <c r="C22" s="98" t="s">
        <v>1761</v>
      </c>
      <c r="D22" s="179" t="s">
        <v>497</v>
      </c>
      <c r="E22" s="12">
        <f t="shared" si="0"/>
        <v>561</v>
      </c>
      <c r="F22" s="184">
        <v>580</v>
      </c>
      <c r="I22" s="186"/>
      <c r="J22" s="186"/>
      <c r="K22" s="186"/>
      <c r="L22" s="101"/>
    </row>
    <row r="23" spans="1:12" x14ac:dyDescent="0.15">
      <c r="A23" s="98" t="s">
        <v>99</v>
      </c>
      <c r="B23" s="98" t="s">
        <v>1859</v>
      </c>
      <c r="C23" s="98" t="s">
        <v>1761</v>
      </c>
      <c r="D23" s="179" t="s">
        <v>639</v>
      </c>
      <c r="E23" s="12">
        <f t="shared" si="0"/>
        <v>581</v>
      </c>
      <c r="F23" s="184">
        <v>600</v>
      </c>
      <c r="I23" s="186"/>
      <c r="J23" s="186"/>
      <c r="K23" s="186"/>
      <c r="L23" s="101"/>
    </row>
    <row r="24" spans="1:12" s="100" customFormat="1" x14ac:dyDescent="0.15">
      <c r="A24" s="100" t="s">
        <v>99</v>
      </c>
      <c r="B24" s="100" t="s">
        <v>1854</v>
      </c>
      <c r="C24" s="100" t="s">
        <v>1761</v>
      </c>
      <c r="D24" s="177" t="s">
        <v>499</v>
      </c>
      <c r="E24" s="216">
        <f t="shared" si="0"/>
        <v>601</v>
      </c>
      <c r="F24" s="217">
        <v>680</v>
      </c>
      <c r="G24" s="101">
        <v>1</v>
      </c>
      <c r="H24" s="101">
        <v>0.2</v>
      </c>
      <c r="I24" s="186">
        <v>1</v>
      </c>
      <c r="J24" s="186">
        <v>0.9</v>
      </c>
      <c r="K24" s="186">
        <v>0.7</v>
      </c>
      <c r="L24" s="101">
        <v>0.68</v>
      </c>
    </row>
    <row r="25" spans="1:12" x14ac:dyDescent="0.15">
      <c r="A25" s="98" t="s">
        <v>99</v>
      </c>
      <c r="B25" s="98" t="s">
        <v>1854</v>
      </c>
      <c r="C25" s="98" t="s">
        <v>1761</v>
      </c>
      <c r="D25" s="179" t="s">
        <v>500</v>
      </c>
      <c r="E25" s="12">
        <f t="shared" si="0"/>
        <v>681</v>
      </c>
      <c r="F25" s="184">
        <v>760</v>
      </c>
      <c r="G25" s="102"/>
      <c r="H25" s="102"/>
      <c r="I25" s="187"/>
      <c r="J25" s="186"/>
      <c r="K25" s="186"/>
      <c r="L25" s="101"/>
    </row>
    <row r="26" spans="1:12" x14ac:dyDescent="0.15">
      <c r="A26" s="98" t="s">
        <v>99</v>
      </c>
      <c r="B26" s="98" t="s">
        <v>1854</v>
      </c>
      <c r="C26" s="98" t="s">
        <v>1761</v>
      </c>
      <c r="D26" s="179" t="s">
        <v>501</v>
      </c>
      <c r="E26" s="12">
        <f t="shared" si="0"/>
        <v>761</v>
      </c>
      <c r="F26" s="184">
        <v>840</v>
      </c>
      <c r="I26" s="186"/>
      <c r="J26" s="186"/>
      <c r="K26" s="186"/>
      <c r="L26" s="101"/>
    </row>
    <row r="27" spans="1:12" x14ac:dyDescent="0.15">
      <c r="A27" s="98" t="s">
        <v>99</v>
      </c>
      <c r="B27" s="98" t="s">
        <v>1854</v>
      </c>
      <c r="C27" s="98" t="s">
        <v>1761</v>
      </c>
      <c r="D27" s="179" t="s">
        <v>640</v>
      </c>
      <c r="E27" s="12">
        <f t="shared" si="0"/>
        <v>841</v>
      </c>
      <c r="F27" s="184">
        <v>900</v>
      </c>
      <c r="I27" s="186"/>
      <c r="J27" s="186"/>
      <c r="K27" s="186"/>
      <c r="L27" s="101"/>
    </row>
    <row r="28" spans="1:12" s="100" customFormat="1" x14ac:dyDescent="0.15">
      <c r="A28" s="100" t="s">
        <v>99</v>
      </c>
      <c r="B28" s="100" t="s">
        <v>1860</v>
      </c>
      <c r="C28" s="100" t="s">
        <v>1762</v>
      </c>
      <c r="D28" s="177" t="s">
        <v>474</v>
      </c>
      <c r="E28" s="216">
        <f t="shared" si="0"/>
        <v>901</v>
      </c>
      <c r="F28" s="217">
        <v>960</v>
      </c>
      <c r="G28" s="101">
        <v>0.5</v>
      </c>
      <c r="H28" s="101">
        <v>0.1</v>
      </c>
      <c r="I28" s="186">
        <v>0.5</v>
      </c>
      <c r="J28" s="186">
        <v>0.7</v>
      </c>
      <c r="K28" s="186">
        <v>0.65</v>
      </c>
      <c r="L28" s="101">
        <v>0.38</v>
      </c>
    </row>
    <row r="29" spans="1:12" x14ac:dyDescent="0.15">
      <c r="A29" s="98" t="s">
        <v>99</v>
      </c>
      <c r="B29" s="98" t="s">
        <v>1860</v>
      </c>
      <c r="C29" s="98" t="s">
        <v>1762</v>
      </c>
      <c r="D29" s="179" t="s">
        <v>475</v>
      </c>
      <c r="E29" s="12">
        <f t="shared" si="0"/>
        <v>961</v>
      </c>
      <c r="F29" s="184">
        <v>1000</v>
      </c>
      <c r="G29" s="102"/>
      <c r="H29" s="102"/>
      <c r="I29" s="187"/>
      <c r="J29" s="186"/>
      <c r="K29" s="186"/>
      <c r="L29" s="101"/>
    </row>
    <row r="30" spans="1:12" x14ac:dyDescent="0.15">
      <c r="A30" s="98" t="s">
        <v>99</v>
      </c>
      <c r="B30" s="98" t="s">
        <v>1860</v>
      </c>
      <c r="C30" s="98" t="s">
        <v>1762</v>
      </c>
      <c r="D30" s="179" t="s">
        <v>476</v>
      </c>
      <c r="E30" s="12">
        <f t="shared" si="0"/>
        <v>1001</v>
      </c>
      <c r="F30" s="184">
        <v>1040</v>
      </c>
      <c r="I30" s="186"/>
      <c r="J30" s="186"/>
      <c r="K30" s="186"/>
      <c r="L30" s="101"/>
    </row>
    <row r="31" spans="1:12" x14ac:dyDescent="0.15">
      <c r="A31" s="98" t="s">
        <v>99</v>
      </c>
      <c r="B31" s="98" t="s">
        <v>1860</v>
      </c>
      <c r="C31" s="98" t="s">
        <v>1762</v>
      </c>
      <c r="D31" s="179" t="s">
        <v>477</v>
      </c>
      <c r="E31" s="12">
        <f t="shared" si="0"/>
        <v>1041</v>
      </c>
      <c r="F31" s="184">
        <v>1080</v>
      </c>
      <c r="I31" s="186"/>
      <c r="J31" s="186"/>
      <c r="K31" s="186"/>
      <c r="L31" s="101"/>
    </row>
    <row r="32" spans="1:12" x14ac:dyDescent="0.15">
      <c r="A32" s="98" t="s">
        <v>99</v>
      </c>
      <c r="B32" s="98" t="s">
        <v>1860</v>
      </c>
      <c r="C32" s="98" t="s">
        <v>1762</v>
      </c>
      <c r="D32" s="179" t="s">
        <v>478</v>
      </c>
      <c r="E32" s="12">
        <f t="shared" si="0"/>
        <v>1081</v>
      </c>
      <c r="F32" s="184">
        <v>1100</v>
      </c>
      <c r="I32" s="186"/>
      <c r="J32" s="186"/>
      <c r="K32" s="186"/>
      <c r="L32" s="101"/>
    </row>
    <row r="33" spans="1:12" x14ac:dyDescent="0.15">
      <c r="A33" s="98" t="s">
        <v>99</v>
      </c>
      <c r="B33" s="98" t="s">
        <v>1860</v>
      </c>
      <c r="C33" s="98" t="s">
        <v>1762</v>
      </c>
      <c r="D33" s="179" t="s">
        <v>479</v>
      </c>
      <c r="E33" s="12">
        <f t="shared" si="0"/>
        <v>1101</v>
      </c>
      <c r="F33" s="184">
        <v>1120</v>
      </c>
      <c r="I33" s="186"/>
      <c r="J33" s="186"/>
      <c r="K33" s="186"/>
      <c r="L33" s="101"/>
    </row>
    <row r="34" spans="1:12" x14ac:dyDescent="0.15">
      <c r="A34" s="98" t="s">
        <v>99</v>
      </c>
      <c r="B34" s="98" t="s">
        <v>1860</v>
      </c>
      <c r="C34" s="98" t="s">
        <v>1762</v>
      </c>
      <c r="D34" s="179" t="s">
        <v>480</v>
      </c>
      <c r="E34" s="12">
        <f t="shared" si="0"/>
        <v>1121</v>
      </c>
      <c r="F34" s="184">
        <v>1135</v>
      </c>
      <c r="I34" s="186"/>
      <c r="J34" s="186"/>
      <c r="K34" s="186"/>
      <c r="L34" s="101"/>
    </row>
    <row r="35" spans="1:12" x14ac:dyDescent="0.15">
      <c r="A35" s="98" t="s">
        <v>99</v>
      </c>
      <c r="B35" s="98" t="s">
        <v>1860</v>
      </c>
      <c r="C35" s="98" t="s">
        <v>1762</v>
      </c>
      <c r="D35" s="179" t="s">
        <v>481</v>
      </c>
      <c r="E35" s="12">
        <f t="shared" si="0"/>
        <v>1136</v>
      </c>
      <c r="F35" s="184">
        <v>1145</v>
      </c>
      <c r="I35" s="186"/>
      <c r="J35" s="186"/>
      <c r="K35" s="186"/>
      <c r="L35" s="101"/>
    </row>
    <row r="36" spans="1:12" x14ac:dyDescent="0.15">
      <c r="A36" s="98" t="s">
        <v>99</v>
      </c>
      <c r="B36" s="98" t="s">
        <v>1860</v>
      </c>
      <c r="C36" s="98" t="s">
        <v>1762</v>
      </c>
      <c r="D36" s="179" t="s">
        <v>503</v>
      </c>
      <c r="E36" s="12">
        <f t="shared" si="0"/>
        <v>1146</v>
      </c>
      <c r="F36" s="184">
        <v>1150</v>
      </c>
      <c r="I36" s="186"/>
      <c r="J36" s="186"/>
      <c r="K36" s="186"/>
      <c r="L36" s="101"/>
    </row>
    <row r="37" spans="1:12" s="100" customFormat="1" x14ac:dyDescent="0.15">
      <c r="A37" s="100" t="s">
        <v>99</v>
      </c>
      <c r="B37" s="100" t="s">
        <v>1855</v>
      </c>
      <c r="C37" s="100" t="s">
        <v>1855</v>
      </c>
      <c r="D37" s="177" t="s">
        <v>483</v>
      </c>
      <c r="E37" s="216">
        <f t="shared" si="0"/>
        <v>1151</v>
      </c>
      <c r="F37" s="217">
        <v>1220</v>
      </c>
      <c r="G37" s="101">
        <v>0.2</v>
      </c>
      <c r="H37" s="101">
        <v>0.05</v>
      </c>
      <c r="I37" s="186">
        <v>0.2</v>
      </c>
      <c r="J37" s="186">
        <v>0.3</v>
      </c>
      <c r="K37" s="186">
        <v>0.6</v>
      </c>
      <c r="L37" s="101">
        <v>0.18</v>
      </c>
    </row>
    <row r="38" spans="1:12" x14ac:dyDescent="0.15">
      <c r="A38" s="98" t="s">
        <v>99</v>
      </c>
      <c r="B38" s="98" t="s">
        <v>1855</v>
      </c>
      <c r="C38" s="98" t="s">
        <v>1855</v>
      </c>
      <c r="D38" s="179" t="s">
        <v>504</v>
      </c>
      <c r="E38" s="12">
        <f t="shared" si="0"/>
        <v>1221</v>
      </c>
      <c r="F38" s="184">
        <v>1300</v>
      </c>
      <c r="I38" s="186"/>
      <c r="J38" s="186"/>
      <c r="K38" s="186"/>
      <c r="L38" s="10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1798-1FB6-4A86-989F-97D2E4F1FA3F}">
  <sheetPr>
    <tabColor rgb="FFFFFF00"/>
  </sheetPr>
  <dimension ref="A1:L60"/>
  <sheetViews>
    <sheetView workbookViewId="0">
      <selection activeCell="L58" sqref="L58"/>
    </sheetView>
  </sheetViews>
  <sheetFormatPr defaultRowHeight="10.5" x14ac:dyDescent="0.15"/>
  <cols>
    <col min="1" max="1" width="10.28515625" style="98" bestFit="1" customWidth="1"/>
    <col min="2" max="2" width="25.5703125" style="98" bestFit="1" customWidth="1"/>
    <col min="3" max="3" width="11.85546875" style="98" bestFit="1" customWidth="1"/>
    <col min="4" max="4" width="49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118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20</v>
      </c>
      <c r="G2" s="101">
        <v>0.02</v>
      </c>
      <c r="H2" s="101">
        <v>5.0000000000000001E-3</v>
      </c>
      <c r="I2" s="186">
        <v>0.02</v>
      </c>
      <c r="J2" s="186">
        <v>0.15</v>
      </c>
      <c r="K2" s="186">
        <v>0.6</v>
      </c>
      <c r="L2" s="101">
        <v>0.85</v>
      </c>
    </row>
    <row r="3" spans="1:12" x14ac:dyDescent="0.15">
      <c r="A3" s="98" t="s">
        <v>118</v>
      </c>
      <c r="B3" s="98" t="s">
        <v>1759</v>
      </c>
      <c r="C3" s="98" t="s">
        <v>1759</v>
      </c>
      <c r="D3" s="179" t="s">
        <v>374</v>
      </c>
      <c r="E3" s="12">
        <f>F2+1</f>
        <v>21</v>
      </c>
      <c r="F3" s="184">
        <v>60</v>
      </c>
      <c r="G3" s="102"/>
      <c r="H3" s="102"/>
      <c r="I3" s="187"/>
      <c r="J3" s="186"/>
      <c r="K3" s="186"/>
      <c r="L3" s="101"/>
    </row>
    <row r="4" spans="1:12" x14ac:dyDescent="0.15">
      <c r="A4" s="98" t="s">
        <v>118</v>
      </c>
      <c r="B4" s="98" t="s">
        <v>1759</v>
      </c>
      <c r="C4" s="98" t="s">
        <v>1759</v>
      </c>
      <c r="D4" s="179" t="s">
        <v>375</v>
      </c>
      <c r="E4" s="12">
        <f t="shared" ref="E4:E60" si="0">F3+1</f>
        <v>61</v>
      </c>
      <c r="F4" s="184">
        <v>100</v>
      </c>
      <c r="I4" s="186"/>
      <c r="J4" s="186"/>
      <c r="K4" s="186"/>
      <c r="L4" s="101"/>
    </row>
    <row r="5" spans="1:12" x14ac:dyDescent="0.15">
      <c r="A5" s="98" t="s">
        <v>118</v>
      </c>
      <c r="B5" s="98" t="s">
        <v>1759</v>
      </c>
      <c r="C5" s="98" t="s">
        <v>1759</v>
      </c>
      <c r="D5" s="179" t="s">
        <v>414</v>
      </c>
      <c r="E5" s="12">
        <f t="shared" si="0"/>
        <v>101</v>
      </c>
      <c r="F5" s="184">
        <v>120</v>
      </c>
      <c r="I5" s="186"/>
      <c r="J5" s="186"/>
      <c r="K5" s="186"/>
      <c r="L5" s="101"/>
    </row>
    <row r="6" spans="1:12" x14ac:dyDescent="0.15">
      <c r="A6" s="98" t="s">
        <v>118</v>
      </c>
      <c r="B6" s="98" t="s">
        <v>1759</v>
      </c>
      <c r="C6" s="98" t="s">
        <v>1759</v>
      </c>
      <c r="D6" s="179" t="s">
        <v>595</v>
      </c>
      <c r="E6" s="12">
        <f t="shared" si="0"/>
        <v>121</v>
      </c>
      <c r="F6" s="184">
        <v>130</v>
      </c>
      <c r="I6" s="186"/>
      <c r="J6" s="186"/>
      <c r="K6" s="186"/>
      <c r="L6" s="101"/>
    </row>
    <row r="7" spans="1:12" x14ac:dyDescent="0.15">
      <c r="A7" s="98" t="s">
        <v>118</v>
      </c>
      <c r="B7" s="98" t="s">
        <v>1759</v>
      </c>
      <c r="C7" s="98" t="s">
        <v>1759</v>
      </c>
      <c r="D7" s="179" t="s">
        <v>596</v>
      </c>
      <c r="E7" s="12">
        <f t="shared" si="0"/>
        <v>131</v>
      </c>
      <c r="F7" s="184">
        <v>140</v>
      </c>
      <c r="I7" s="186"/>
      <c r="J7" s="186"/>
      <c r="K7" s="186"/>
      <c r="L7" s="101"/>
    </row>
    <row r="8" spans="1:12" s="100" customFormat="1" x14ac:dyDescent="0.15">
      <c r="A8" s="100" t="s">
        <v>118</v>
      </c>
      <c r="B8" s="100" t="s">
        <v>1885</v>
      </c>
      <c r="C8" s="100" t="s">
        <v>1760</v>
      </c>
      <c r="D8" s="177" t="s">
        <v>380</v>
      </c>
      <c r="E8" s="216">
        <f t="shared" si="0"/>
        <v>141</v>
      </c>
      <c r="F8" s="217">
        <v>180</v>
      </c>
      <c r="G8" s="101">
        <v>0.8</v>
      </c>
      <c r="H8" s="101">
        <v>0.15</v>
      </c>
      <c r="I8" s="186">
        <v>0.8</v>
      </c>
      <c r="J8" s="186">
        <v>0.3</v>
      </c>
      <c r="K8" s="186">
        <v>0.65</v>
      </c>
      <c r="L8" s="101">
        <v>0.65</v>
      </c>
    </row>
    <row r="9" spans="1:12" x14ac:dyDescent="0.15">
      <c r="A9" s="98" t="s">
        <v>118</v>
      </c>
      <c r="B9" s="98" t="s">
        <v>1885</v>
      </c>
      <c r="C9" s="98" t="s">
        <v>1760</v>
      </c>
      <c r="D9" s="179" t="s">
        <v>535</v>
      </c>
      <c r="E9" s="12">
        <f t="shared" si="0"/>
        <v>181</v>
      </c>
      <c r="F9" s="184">
        <v>220</v>
      </c>
      <c r="G9" s="102"/>
      <c r="H9" s="102"/>
      <c r="I9" s="187"/>
      <c r="J9" s="186"/>
      <c r="K9" s="186"/>
      <c r="L9" s="101"/>
    </row>
    <row r="10" spans="1:12" x14ac:dyDescent="0.15">
      <c r="A10" s="98" t="s">
        <v>118</v>
      </c>
      <c r="B10" s="98" t="s">
        <v>1885</v>
      </c>
      <c r="C10" s="98" t="s">
        <v>1760</v>
      </c>
      <c r="D10" s="179" t="s">
        <v>536</v>
      </c>
      <c r="E10" s="12">
        <f t="shared" si="0"/>
        <v>221</v>
      </c>
      <c r="F10" s="184">
        <v>270</v>
      </c>
      <c r="I10" s="186"/>
      <c r="J10" s="186"/>
      <c r="K10" s="186"/>
      <c r="L10" s="101"/>
    </row>
    <row r="11" spans="1:12" x14ac:dyDescent="0.15">
      <c r="A11" s="98" t="s">
        <v>118</v>
      </c>
      <c r="B11" s="98" t="s">
        <v>1885</v>
      </c>
      <c r="C11" s="98" t="s">
        <v>1760</v>
      </c>
      <c r="D11" s="179" t="s">
        <v>537</v>
      </c>
      <c r="E11" s="12">
        <f t="shared" si="0"/>
        <v>271</v>
      </c>
      <c r="F11" s="184">
        <v>320</v>
      </c>
      <c r="I11" s="186"/>
      <c r="J11" s="186"/>
      <c r="K11" s="186"/>
      <c r="L11" s="101"/>
    </row>
    <row r="12" spans="1:12" x14ac:dyDescent="0.15">
      <c r="A12" s="98" t="s">
        <v>118</v>
      </c>
      <c r="B12" s="98" t="s">
        <v>1885</v>
      </c>
      <c r="C12" s="98" t="s">
        <v>1760</v>
      </c>
      <c r="D12" s="179" t="s">
        <v>538</v>
      </c>
      <c r="E12" s="12">
        <f t="shared" si="0"/>
        <v>321</v>
      </c>
      <c r="F12" s="184">
        <v>420</v>
      </c>
      <c r="I12" s="186"/>
      <c r="J12" s="186"/>
      <c r="K12" s="186"/>
      <c r="L12" s="101"/>
    </row>
    <row r="13" spans="1:12" s="100" customFormat="1" x14ac:dyDescent="0.15">
      <c r="A13" s="100" t="s">
        <v>118</v>
      </c>
      <c r="B13" s="100" t="s">
        <v>1857</v>
      </c>
      <c r="C13" s="100" t="s">
        <v>1760</v>
      </c>
      <c r="D13" s="177" t="s">
        <v>597</v>
      </c>
      <c r="E13" s="216">
        <f t="shared" si="0"/>
        <v>421</v>
      </c>
      <c r="F13" s="217">
        <v>440</v>
      </c>
      <c r="G13" s="101">
        <v>1.2</v>
      </c>
      <c r="H13" s="101">
        <v>0.25</v>
      </c>
      <c r="I13" s="186">
        <v>1.2</v>
      </c>
      <c r="J13" s="186">
        <v>0.55000000000000004</v>
      </c>
      <c r="K13" s="186">
        <v>0.7</v>
      </c>
      <c r="L13" s="101">
        <v>0.7</v>
      </c>
    </row>
    <row r="14" spans="1:12" x14ac:dyDescent="0.15">
      <c r="A14" s="98" t="s">
        <v>118</v>
      </c>
      <c r="B14" s="98" t="s">
        <v>1857</v>
      </c>
      <c r="C14" s="98" t="s">
        <v>1760</v>
      </c>
      <c r="D14" s="179" t="s">
        <v>598</v>
      </c>
      <c r="E14" s="12">
        <f t="shared" si="0"/>
        <v>441</v>
      </c>
      <c r="F14" s="184">
        <v>470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118</v>
      </c>
      <c r="B15" s="98" t="s">
        <v>1857</v>
      </c>
      <c r="C15" s="98" t="s">
        <v>1760</v>
      </c>
      <c r="D15" s="179" t="s">
        <v>599</v>
      </c>
      <c r="E15" s="12">
        <f t="shared" si="0"/>
        <v>471</v>
      </c>
      <c r="F15" s="184">
        <v>495</v>
      </c>
      <c r="I15" s="186"/>
      <c r="J15" s="186"/>
      <c r="K15" s="186"/>
      <c r="L15" s="101"/>
    </row>
    <row r="16" spans="1:12" x14ac:dyDescent="0.15">
      <c r="A16" s="98" t="s">
        <v>118</v>
      </c>
      <c r="B16" s="98" t="s">
        <v>1857</v>
      </c>
      <c r="C16" s="98" t="s">
        <v>1760</v>
      </c>
      <c r="D16" s="179" t="s">
        <v>600</v>
      </c>
      <c r="E16" s="12">
        <f t="shared" si="0"/>
        <v>496</v>
      </c>
      <c r="F16" s="184">
        <v>510</v>
      </c>
      <c r="I16" s="186"/>
      <c r="J16" s="186"/>
      <c r="K16" s="186"/>
      <c r="L16" s="101"/>
    </row>
    <row r="17" spans="1:12" x14ac:dyDescent="0.15">
      <c r="A17" s="98" t="s">
        <v>118</v>
      </c>
      <c r="B17" s="98" t="s">
        <v>1857</v>
      </c>
      <c r="C17" s="98" t="s">
        <v>1760</v>
      </c>
      <c r="D17" s="179" t="s">
        <v>729</v>
      </c>
      <c r="E17" s="12">
        <f t="shared" si="0"/>
        <v>511</v>
      </c>
      <c r="F17" s="184">
        <v>520</v>
      </c>
      <c r="I17" s="186"/>
      <c r="J17" s="186"/>
      <c r="K17" s="186"/>
      <c r="L17" s="101"/>
    </row>
    <row r="18" spans="1:12" s="100" customFormat="1" x14ac:dyDescent="0.15">
      <c r="A18" s="100" t="s">
        <v>118</v>
      </c>
      <c r="B18" s="100" t="s">
        <v>1895</v>
      </c>
      <c r="C18" s="100" t="s">
        <v>1760</v>
      </c>
      <c r="D18" s="177" t="s">
        <v>512</v>
      </c>
      <c r="E18" s="216">
        <f t="shared" si="0"/>
        <v>521</v>
      </c>
      <c r="F18" s="217">
        <v>560</v>
      </c>
      <c r="G18" s="101">
        <v>1.8</v>
      </c>
      <c r="H18" s="101">
        <v>0.3</v>
      </c>
      <c r="I18" s="186">
        <v>1.8</v>
      </c>
      <c r="J18" s="186">
        <v>0.85</v>
      </c>
      <c r="K18" s="186">
        <v>0.75</v>
      </c>
      <c r="L18" s="101">
        <v>0.75</v>
      </c>
    </row>
    <row r="19" spans="1:12" x14ac:dyDescent="0.15">
      <c r="A19" s="98" t="s">
        <v>118</v>
      </c>
      <c r="B19" s="98" t="s">
        <v>1895</v>
      </c>
      <c r="C19" s="98" t="s">
        <v>1760</v>
      </c>
      <c r="D19" s="179" t="s">
        <v>601</v>
      </c>
      <c r="E19" s="12">
        <f t="shared" si="0"/>
        <v>561</v>
      </c>
      <c r="F19" s="184">
        <v>600</v>
      </c>
      <c r="G19" s="102"/>
      <c r="H19" s="102"/>
      <c r="I19" s="187"/>
      <c r="J19" s="186"/>
      <c r="K19" s="186"/>
      <c r="L19" s="101"/>
    </row>
    <row r="20" spans="1:12" x14ac:dyDescent="0.15">
      <c r="A20" s="98" t="s">
        <v>118</v>
      </c>
      <c r="B20" s="98" t="s">
        <v>1895</v>
      </c>
      <c r="C20" s="98" t="s">
        <v>1760</v>
      </c>
      <c r="D20" s="179" t="s">
        <v>602</v>
      </c>
      <c r="E20" s="12">
        <f t="shared" si="0"/>
        <v>601</v>
      </c>
      <c r="F20" s="184">
        <v>640</v>
      </c>
      <c r="I20" s="186"/>
      <c r="J20" s="186"/>
      <c r="K20" s="186"/>
      <c r="L20" s="101"/>
    </row>
    <row r="21" spans="1:12" x14ac:dyDescent="0.15">
      <c r="A21" s="98" t="s">
        <v>118</v>
      </c>
      <c r="B21" s="98" t="s">
        <v>1895</v>
      </c>
      <c r="C21" s="98" t="s">
        <v>1760</v>
      </c>
      <c r="D21" s="179" t="s">
        <v>603</v>
      </c>
      <c r="E21" s="12">
        <f t="shared" si="0"/>
        <v>641</v>
      </c>
      <c r="F21" s="184">
        <v>680</v>
      </c>
      <c r="I21" s="186"/>
      <c r="J21" s="186"/>
      <c r="K21" s="186"/>
      <c r="L21" s="101"/>
    </row>
    <row r="22" spans="1:12" x14ac:dyDescent="0.15">
      <c r="A22" s="98" t="s">
        <v>118</v>
      </c>
      <c r="B22" s="98" t="s">
        <v>1895</v>
      </c>
      <c r="C22" s="98" t="s">
        <v>1760</v>
      </c>
      <c r="D22" s="179" t="s">
        <v>516</v>
      </c>
      <c r="E22" s="12">
        <f t="shared" si="0"/>
        <v>681</v>
      </c>
      <c r="F22" s="184">
        <v>700</v>
      </c>
      <c r="I22" s="186"/>
      <c r="J22" s="186"/>
      <c r="K22" s="186"/>
      <c r="L22" s="101"/>
    </row>
    <row r="23" spans="1:12" s="100" customFormat="1" x14ac:dyDescent="0.15">
      <c r="A23" s="100" t="s">
        <v>118</v>
      </c>
      <c r="B23" s="100" t="s">
        <v>1858</v>
      </c>
      <c r="C23" s="100" t="s">
        <v>1761</v>
      </c>
      <c r="D23" s="177" t="s">
        <v>604</v>
      </c>
      <c r="E23" s="216">
        <f t="shared" si="0"/>
        <v>701</v>
      </c>
      <c r="F23" s="217">
        <v>780</v>
      </c>
      <c r="G23" s="101">
        <v>2</v>
      </c>
      <c r="H23" s="101">
        <v>0.35</v>
      </c>
      <c r="I23" s="186">
        <v>2</v>
      </c>
      <c r="J23" s="186">
        <v>1</v>
      </c>
      <c r="K23" s="186">
        <v>0.8</v>
      </c>
      <c r="L23" s="101">
        <v>0.85</v>
      </c>
    </row>
    <row r="24" spans="1:12" x14ac:dyDescent="0.15">
      <c r="A24" s="98" t="s">
        <v>118</v>
      </c>
      <c r="B24" s="98" t="s">
        <v>1858</v>
      </c>
      <c r="C24" s="98" t="s">
        <v>1761</v>
      </c>
      <c r="D24" s="179" t="s">
        <v>605</v>
      </c>
      <c r="E24" s="12">
        <f t="shared" si="0"/>
        <v>781</v>
      </c>
      <c r="F24" s="184">
        <v>830</v>
      </c>
      <c r="G24" s="102"/>
      <c r="H24" s="102"/>
      <c r="I24" s="187"/>
      <c r="J24" s="186"/>
      <c r="K24" s="186"/>
      <c r="L24" s="101"/>
    </row>
    <row r="25" spans="1:12" x14ac:dyDescent="0.15">
      <c r="A25" s="98" t="s">
        <v>118</v>
      </c>
      <c r="B25" s="98" t="s">
        <v>1858</v>
      </c>
      <c r="C25" s="98" t="s">
        <v>1761</v>
      </c>
      <c r="D25" s="179" t="s">
        <v>606</v>
      </c>
      <c r="E25" s="12">
        <f t="shared" si="0"/>
        <v>831</v>
      </c>
      <c r="F25" s="184">
        <v>870</v>
      </c>
      <c r="I25" s="186"/>
      <c r="J25" s="186"/>
      <c r="K25" s="186"/>
      <c r="L25" s="101"/>
    </row>
    <row r="26" spans="1:12" x14ac:dyDescent="0.15">
      <c r="A26" s="98" t="s">
        <v>118</v>
      </c>
      <c r="B26" s="98" t="s">
        <v>1858</v>
      </c>
      <c r="C26" s="98" t="s">
        <v>1761</v>
      </c>
      <c r="D26" s="179" t="s">
        <v>607</v>
      </c>
      <c r="E26" s="12">
        <f t="shared" si="0"/>
        <v>871</v>
      </c>
      <c r="F26" s="184">
        <v>900</v>
      </c>
      <c r="I26" s="186"/>
      <c r="J26" s="186"/>
      <c r="K26" s="186"/>
      <c r="L26" s="101"/>
    </row>
    <row r="27" spans="1:12" x14ac:dyDescent="0.15">
      <c r="A27" s="98" t="s">
        <v>118</v>
      </c>
      <c r="B27" s="98" t="s">
        <v>1858</v>
      </c>
      <c r="C27" s="98" t="s">
        <v>1761</v>
      </c>
      <c r="D27" s="179" t="s">
        <v>608</v>
      </c>
      <c r="E27" s="12">
        <f t="shared" si="0"/>
        <v>901</v>
      </c>
      <c r="F27" s="184">
        <v>930</v>
      </c>
      <c r="I27" s="186"/>
      <c r="J27" s="186"/>
      <c r="K27" s="186"/>
      <c r="L27" s="101"/>
    </row>
    <row r="28" spans="1:12" x14ac:dyDescent="0.15">
      <c r="A28" s="98" t="s">
        <v>118</v>
      </c>
      <c r="B28" s="98" t="s">
        <v>1858</v>
      </c>
      <c r="C28" s="98" t="s">
        <v>1761</v>
      </c>
      <c r="D28" s="179" t="s">
        <v>609</v>
      </c>
      <c r="E28" s="12">
        <f t="shared" si="0"/>
        <v>931</v>
      </c>
      <c r="F28" s="184">
        <v>945</v>
      </c>
      <c r="I28" s="186"/>
      <c r="J28" s="186"/>
      <c r="K28" s="186"/>
      <c r="L28" s="101"/>
    </row>
    <row r="29" spans="1:12" x14ac:dyDescent="0.15">
      <c r="A29" s="98" t="s">
        <v>118</v>
      </c>
      <c r="B29" s="98" t="s">
        <v>1858</v>
      </c>
      <c r="C29" s="98" t="s">
        <v>1761</v>
      </c>
      <c r="D29" s="179" t="s">
        <v>610</v>
      </c>
      <c r="E29" s="12">
        <f t="shared" si="0"/>
        <v>946</v>
      </c>
      <c r="F29" s="184">
        <v>950</v>
      </c>
      <c r="I29" s="186"/>
      <c r="J29" s="186"/>
      <c r="K29" s="186"/>
      <c r="L29" s="101"/>
    </row>
    <row r="30" spans="1:12" s="100" customFormat="1" x14ac:dyDescent="0.15">
      <c r="A30" s="100" t="s">
        <v>118</v>
      </c>
      <c r="B30" s="100" t="s">
        <v>1859</v>
      </c>
      <c r="C30" s="100" t="s">
        <v>1761</v>
      </c>
      <c r="D30" s="177" t="s">
        <v>611</v>
      </c>
      <c r="E30" s="216">
        <f t="shared" si="0"/>
        <v>951</v>
      </c>
      <c r="F30" s="217">
        <v>990</v>
      </c>
      <c r="G30" s="101">
        <v>1.8</v>
      </c>
      <c r="H30" s="101">
        <v>0.3</v>
      </c>
      <c r="I30" s="186">
        <v>1.8</v>
      </c>
      <c r="J30" s="186">
        <v>0.9</v>
      </c>
      <c r="K30" s="186">
        <v>0.8</v>
      </c>
      <c r="L30" s="101">
        <v>0.9</v>
      </c>
    </row>
    <row r="31" spans="1:12" x14ac:dyDescent="0.15">
      <c r="A31" s="98" t="s">
        <v>118</v>
      </c>
      <c r="B31" s="98" t="s">
        <v>1859</v>
      </c>
      <c r="C31" s="98" t="s">
        <v>1761</v>
      </c>
      <c r="D31" s="179" t="s">
        <v>612</v>
      </c>
      <c r="E31" s="12">
        <f t="shared" si="0"/>
        <v>991</v>
      </c>
      <c r="F31" s="184">
        <v>1020</v>
      </c>
      <c r="G31" s="102"/>
      <c r="H31" s="102"/>
      <c r="I31" s="187"/>
      <c r="J31" s="186"/>
      <c r="K31" s="186"/>
      <c r="L31" s="101"/>
    </row>
    <row r="32" spans="1:12" x14ac:dyDescent="0.15">
      <c r="A32" s="98" t="s">
        <v>118</v>
      </c>
      <c r="B32" s="98" t="s">
        <v>1859</v>
      </c>
      <c r="C32" s="98" t="s">
        <v>1761</v>
      </c>
      <c r="D32" s="179" t="s">
        <v>613</v>
      </c>
      <c r="E32" s="12">
        <f t="shared" si="0"/>
        <v>1021</v>
      </c>
      <c r="F32" s="184">
        <v>1050</v>
      </c>
      <c r="I32" s="186"/>
      <c r="J32" s="186"/>
      <c r="K32" s="186"/>
      <c r="L32" s="101"/>
    </row>
    <row r="33" spans="1:12" x14ac:dyDescent="0.15">
      <c r="A33" s="98" t="s">
        <v>118</v>
      </c>
      <c r="B33" s="98" t="s">
        <v>1859</v>
      </c>
      <c r="C33" s="98" t="s">
        <v>1761</v>
      </c>
      <c r="D33" s="179" t="s">
        <v>614</v>
      </c>
      <c r="E33" s="12">
        <f t="shared" si="0"/>
        <v>1051</v>
      </c>
      <c r="F33" s="184">
        <v>1080</v>
      </c>
      <c r="I33" s="186"/>
      <c r="J33" s="186"/>
      <c r="K33" s="186"/>
      <c r="L33" s="101"/>
    </row>
    <row r="34" spans="1:12" x14ac:dyDescent="0.15">
      <c r="A34" s="98" t="s">
        <v>118</v>
      </c>
      <c r="B34" s="98" t="s">
        <v>1859</v>
      </c>
      <c r="C34" s="98" t="s">
        <v>1761</v>
      </c>
      <c r="D34" s="179" t="s">
        <v>615</v>
      </c>
      <c r="E34" s="12">
        <f t="shared" si="0"/>
        <v>1081</v>
      </c>
      <c r="F34" s="184">
        <v>1110</v>
      </c>
      <c r="I34" s="186"/>
      <c r="J34" s="186"/>
      <c r="K34" s="186"/>
      <c r="L34" s="101"/>
    </row>
    <row r="35" spans="1:12" x14ac:dyDescent="0.15">
      <c r="A35" s="98" t="s">
        <v>118</v>
      </c>
      <c r="B35" s="98" t="s">
        <v>1859</v>
      </c>
      <c r="C35" s="98" t="s">
        <v>1761</v>
      </c>
      <c r="D35" s="179" t="s">
        <v>616</v>
      </c>
      <c r="E35" s="12">
        <f t="shared" si="0"/>
        <v>1111</v>
      </c>
      <c r="F35" s="184">
        <v>1130</v>
      </c>
      <c r="I35" s="186"/>
      <c r="J35" s="186"/>
      <c r="K35" s="186"/>
      <c r="L35" s="101"/>
    </row>
    <row r="36" spans="1:12" x14ac:dyDescent="0.15">
      <c r="A36" s="98" t="s">
        <v>118</v>
      </c>
      <c r="B36" s="98" t="s">
        <v>1859</v>
      </c>
      <c r="C36" s="98" t="s">
        <v>1761</v>
      </c>
      <c r="D36" s="179" t="s">
        <v>749</v>
      </c>
      <c r="E36" s="12">
        <f t="shared" si="0"/>
        <v>1131</v>
      </c>
      <c r="F36" s="184">
        <v>1140</v>
      </c>
      <c r="I36" s="186"/>
      <c r="J36" s="186"/>
      <c r="K36" s="186"/>
      <c r="L36" s="101"/>
    </row>
    <row r="37" spans="1:12" x14ac:dyDescent="0.15">
      <c r="A37" s="98" t="s">
        <v>118</v>
      </c>
      <c r="B37" s="98" t="s">
        <v>1859</v>
      </c>
      <c r="C37" s="98" t="s">
        <v>1761</v>
      </c>
      <c r="D37" s="179" t="s">
        <v>520</v>
      </c>
      <c r="E37" s="12">
        <f t="shared" si="0"/>
        <v>1141</v>
      </c>
      <c r="F37" s="184">
        <v>1145</v>
      </c>
      <c r="I37" s="186"/>
      <c r="J37" s="186"/>
      <c r="K37" s="186"/>
      <c r="L37" s="101"/>
    </row>
    <row r="38" spans="1:12" x14ac:dyDescent="0.15">
      <c r="A38" s="98" t="s">
        <v>118</v>
      </c>
      <c r="B38" s="98" t="s">
        <v>1859</v>
      </c>
      <c r="C38" s="98" t="s">
        <v>1761</v>
      </c>
      <c r="D38" s="179" t="s">
        <v>750</v>
      </c>
      <c r="E38" s="12">
        <f t="shared" si="0"/>
        <v>1146</v>
      </c>
      <c r="F38" s="184">
        <v>1149</v>
      </c>
      <c r="I38" s="186"/>
      <c r="J38" s="186"/>
      <c r="K38" s="186"/>
      <c r="L38" s="101"/>
    </row>
    <row r="39" spans="1:12" x14ac:dyDescent="0.15">
      <c r="A39" s="98" t="s">
        <v>118</v>
      </c>
      <c r="B39" s="98" t="s">
        <v>1859</v>
      </c>
      <c r="C39" s="98" t="s">
        <v>1761</v>
      </c>
      <c r="D39" s="179" t="s">
        <v>521</v>
      </c>
      <c r="E39" s="12">
        <f t="shared" si="0"/>
        <v>1150</v>
      </c>
      <c r="F39" s="184">
        <v>1150</v>
      </c>
      <c r="I39" s="186"/>
      <c r="J39" s="186"/>
      <c r="K39" s="186"/>
      <c r="L39" s="101"/>
    </row>
    <row r="40" spans="1:12" s="100" customFormat="1" x14ac:dyDescent="0.15">
      <c r="A40" s="100" t="s">
        <v>118</v>
      </c>
      <c r="B40" s="100" t="s">
        <v>1886</v>
      </c>
      <c r="C40" s="100" t="s">
        <v>1761</v>
      </c>
      <c r="D40" s="177" t="s">
        <v>617</v>
      </c>
      <c r="E40" s="216">
        <f t="shared" si="0"/>
        <v>1151</v>
      </c>
      <c r="F40" s="217">
        <v>1200</v>
      </c>
      <c r="G40" s="101">
        <v>1.2</v>
      </c>
      <c r="H40" s="101">
        <v>0.2</v>
      </c>
      <c r="I40" s="186">
        <v>1.5</v>
      </c>
      <c r="J40" s="186">
        <v>0.75</v>
      </c>
      <c r="K40" s="186">
        <v>0.7</v>
      </c>
      <c r="L40" s="101">
        <v>0.7</v>
      </c>
    </row>
    <row r="41" spans="1:12" x14ac:dyDescent="0.15">
      <c r="A41" s="98" t="s">
        <v>118</v>
      </c>
      <c r="B41" s="98" t="s">
        <v>1886</v>
      </c>
      <c r="C41" s="98" t="s">
        <v>1761</v>
      </c>
      <c r="D41" s="179" t="s">
        <v>618</v>
      </c>
      <c r="E41" s="12">
        <f t="shared" si="0"/>
        <v>1201</v>
      </c>
      <c r="F41" s="184">
        <v>1250</v>
      </c>
      <c r="G41" s="102"/>
      <c r="H41" s="102"/>
      <c r="I41" s="187"/>
      <c r="J41" s="186"/>
      <c r="K41" s="186"/>
      <c r="L41" s="101"/>
    </row>
    <row r="42" spans="1:12" x14ac:dyDescent="0.15">
      <c r="A42" s="98" t="s">
        <v>118</v>
      </c>
      <c r="B42" s="98" t="s">
        <v>1886</v>
      </c>
      <c r="C42" s="98" t="s">
        <v>1761</v>
      </c>
      <c r="D42" s="179" t="s">
        <v>619</v>
      </c>
      <c r="E42" s="12">
        <f t="shared" si="0"/>
        <v>1251</v>
      </c>
      <c r="F42" s="184">
        <v>1300</v>
      </c>
      <c r="I42" s="186"/>
      <c r="J42" s="186"/>
      <c r="K42" s="186"/>
      <c r="L42" s="101"/>
    </row>
    <row r="43" spans="1:12" x14ac:dyDescent="0.15">
      <c r="A43" s="98" t="s">
        <v>118</v>
      </c>
      <c r="B43" s="98" t="s">
        <v>1886</v>
      </c>
      <c r="C43" s="98" t="s">
        <v>1761</v>
      </c>
      <c r="D43" s="179" t="s">
        <v>620</v>
      </c>
      <c r="E43" s="12">
        <f t="shared" si="0"/>
        <v>1301</v>
      </c>
      <c r="F43" s="184">
        <v>1350</v>
      </c>
      <c r="I43" s="186"/>
      <c r="J43" s="186"/>
      <c r="K43" s="186"/>
      <c r="L43" s="101"/>
    </row>
    <row r="44" spans="1:12" x14ac:dyDescent="0.15">
      <c r="A44" s="98" t="s">
        <v>118</v>
      </c>
      <c r="B44" s="98" t="s">
        <v>1886</v>
      </c>
      <c r="C44" s="98" t="s">
        <v>1761</v>
      </c>
      <c r="D44" s="179" t="s">
        <v>621</v>
      </c>
      <c r="E44" s="12">
        <f t="shared" si="0"/>
        <v>1351</v>
      </c>
      <c r="F44" s="184">
        <v>1380</v>
      </c>
      <c r="I44" s="186"/>
      <c r="J44" s="186"/>
      <c r="K44" s="186"/>
      <c r="L44" s="101"/>
    </row>
    <row r="45" spans="1:12" x14ac:dyDescent="0.15">
      <c r="A45" s="98" t="s">
        <v>118</v>
      </c>
      <c r="B45" s="98" t="s">
        <v>1886</v>
      </c>
      <c r="C45" s="98" t="s">
        <v>1761</v>
      </c>
      <c r="D45" s="179" t="s">
        <v>622</v>
      </c>
      <c r="E45" s="12">
        <f t="shared" si="0"/>
        <v>1381</v>
      </c>
      <c r="F45" s="184">
        <v>1400</v>
      </c>
      <c r="I45" s="186"/>
      <c r="J45" s="186"/>
      <c r="K45" s="186"/>
      <c r="L45" s="101"/>
    </row>
    <row r="46" spans="1:12" x14ac:dyDescent="0.15">
      <c r="A46" s="98" t="s">
        <v>118</v>
      </c>
      <c r="B46" s="98" t="s">
        <v>1886</v>
      </c>
      <c r="C46" s="98" t="s">
        <v>1761</v>
      </c>
      <c r="D46" s="179" t="s">
        <v>623</v>
      </c>
      <c r="E46" s="12">
        <f t="shared" si="0"/>
        <v>1401</v>
      </c>
      <c r="F46" s="184">
        <v>1415</v>
      </c>
      <c r="I46" s="186"/>
      <c r="J46" s="186"/>
      <c r="K46" s="186"/>
      <c r="L46" s="101"/>
    </row>
    <row r="47" spans="1:12" x14ac:dyDescent="0.15">
      <c r="A47" s="98" t="s">
        <v>118</v>
      </c>
      <c r="B47" s="98" t="s">
        <v>1886</v>
      </c>
      <c r="C47" s="98" t="s">
        <v>1761</v>
      </c>
      <c r="D47" s="179" t="s">
        <v>624</v>
      </c>
      <c r="E47" s="12">
        <f t="shared" si="0"/>
        <v>1416</v>
      </c>
      <c r="F47" s="184">
        <v>1435</v>
      </c>
      <c r="I47" s="186"/>
      <c r="J47" s="186"/>
      <c r="K47" s="186"/>
      <c r="L47" s="101"/>
    </row>
    <row r="48" spans="1:12" x14ac:dyDescent="0.15">
      <c r="A48" s="98" t="s">
        <v>118</v>
      </c>
      <c r="B48" s="98" t="s">
        <v>1886</v>
      </c>
      <c r="C48" s="98" t="s">
        <v>1761</v>
      </c>
      <c r="D48" s="179" t="s">
        <v>625</v>
      </c>
      <c r="E48" s="12">
        <f t="shared" si="0"/>
        <v>1436</v>
      </c>
      <c r="F48" s="184">
        <v>1450</v>
      </c>
      <c r="I48" s="186"/>
      <c r="J48" s="186"/>
      <c r="K48" s="186"/>
      <c r="L48" s="101"/>
    </row>
    <row r="49" spans="1:12" s="100" customFormat="1" x14ac:dyDescent="0.15">
      <c r="A49" s="100" t="s">
        <v>118</v>
      </c>
      <c r="B49" s="100" t="s">
        <v>1762</v>
      </c>
      <c r="C49" s="100" t="s">
        <v>1762</v>
      </c>
      <c r="D49" s="177" t="s">
        <v>626</v>
      </c>
      <c r="E49" s="216">
        <f t="shared" si="0"/>
        <v>1451</v>
      </c>
      <c r="F49" s="217">
        <v>1500</v>
      </c>
      <c r="G49" s="101">
        <v>0.6</v>
      </c>
      <c r="H49" s="101">
        <v>0.1</v>
      </c>
      <c r="I49" s="186">
        <v>0.8</v>
      </c>
      <c r="J49" s="186">
        <v>0.5</v>
      </c>
      <c r="K49" s="186">
        <v>0.65</v>
      </c>
      <c r="L49" s="101">
        <v>0.4</v>
      </c>
    </row>
    <row r="50" spans="1:12" x14ac:dyDescent="0.15">
      <c r="A50" s="98" t="s">
        <v>118</v>
      </c>
      <c r="B50" s="98" t="s">
        <v>1762</v>
      </c>
      <c r="C50" s="98" t="s">
        <v>1762</v>
      </c>
      <c r="D50" s="179" t="s">
        <v>627</v>
      </c>
      <c r="E50" s="12">
        <f t="shared" si="0"/>
        <v>1501</v>
      </c>
      <c r="F50" s="184">
        <v>1540</v>
      </c>
      <c r="G50" s="102"/>
      <c r="H50" s="102"/>
      <c r="I50" s="187"/>
      <c r="J50" s="186"/>
      <c r="K50" s="186"/>
      <c r="L50" s="101"/>
    </row>
    <row r="51" spans="1:12" x14ac:dyDescent="0.15">
      <c r="A51" s="98" t="s">
        <v>118</v>
      </c>
      <c r="B51" s="98" t="s">
        <v>1762</v>
      </c>
      <c r="C51" s="98" t="s">
        <v>1762</v>
      </c>
      <c r="D51" s="179" t="s">
        <v>628</v>
      </c>
      <c r="E51" s="12">
        <f t="shared" si="0"/>
        <v>1541</v>
      </c>
      <c r="F51" s="184">
        <v>1570</v>
      </c>
      <c r="I51" s="186"/>
      <c r="J51" s="186"/>
      <c r="K51" s="186"/>
      <c r="L51" s="101"/>
    </row>
    <row r="52" spans="1:12" x14ac:dyDescent="0.15">
      <c r="A52" s="98" t="s">
        <v>118</v>
      </c>
      <c r="B52" s="98" t="s">
        <v>1762</v>
      </c>
      <c r="C52" s="98" t="s">
        <v>1762</v>
      </c>
      <c r="D52" s="179" t="s">
        <v>629</v>
      </c>
      <c r="E52" s="12">
        <f t="shared" si="0"/>
        <v>1571</v>
      </c>
      <c r="F52" s="184">
        <v>1595</v>
      </c>
      <c r="I52" s="186"/>
      <c r="J52" s="186"/>
      <c r="K52" s="186"/>
      <c r="L52" s="101"/>
    </row>
    <row r="53" spans="1:12" x14ac:dyDescent="0.15">
      <c r="A53" s="98" t="s">
        <v>118</v>
      </c>
      <c r="B53" s="98" t="s">
        <v>1762</v>
      </c>
      <c r="C53" s="98" t="s">
        <v>1762</v>
      </c>
      <c r="D53" s="179" t="s">
        <v>630</v>
      </c>
      <c r="E53" s="12">
        <f t="shared" si="0"/>
        <v>1596</v>
      </c>
      <c r="F53" s="184">
        <v>1615</v>
      </c>
      <c r="I53" s="186"/>
      <c r="J53" s="186"/>
      <c r="K53" s="186"/>
      <c r="L53" s="101"/>
    </row>
    <row r="54" spans="1:12" x14ac:dyDescent="0.15">
      <c r="A54" s="98" t="s">
        <v>118</v>
      </c>
      <c r="B54" s="98" t="s">
        <v>1762</v>
      </c>
      <c r="C54" s="98" t="s">
        <v>1762</v>
      </c>
      <c r="D54" s="179" t="s">
        <v>631</v>
      </c>
      <c r="E54" s="12">
        <f t="shared" si="0"/>
        <v>1616</v>
      </c>
      <c r="F54" s="184">
        <v>1635</v>
      </c>
      <c r="I54" s="186"/>
      <c r="J54" s="186"/>
      <c r="K54" s="186"/>
      <c r="L54" s="101"/>
    </row>
    <row r="55" spans="1:12" x14ac:dyDescent="0.15">
      <c r="A55" s="98" t="s">
        <v>118</v>
      </c>
      <c r="B55" s="98" t="s">
        <v>1762</v>
      </c>
      <c r="C55" s="98" t="s">
        <v>1762</v>
      </c>
      <c r="D55" s="179" t="s">
        <v>632</v>
      </c>
      <c r="E55" s="12">
        <f t="shared" si="0"/>
        <v>1636</v>
      </c>
      <c r="F55" s="184">
        <v>1650</v>
      </c>
      <c r="I55" s="186"/>
      <c r="J55" s="186"/>
      <c r="K55" s="186"/>
      <c r="L55" s="101"/>
    </row>
    <row r="56" spans="1:12" x14ac:dyDescent="0.15">
      <c r="A56" s="98" t="s">
        <v>118</v>
      </c>
      <c r="B56" s="98" t="s">
        <v>1762</v>
      </c>
      <c r="C56" s="98" t="s">
        <v>1762</v>
      </c>
      <c r="D56" s="179" t="s">
        <v>633</v>
      </c>
      <c r="E56" s="12">
        <f t="shared" si="0"/>
        <v>1651</v>
      </c>
      <c r="F56" s="184">
        <v>1665</v>
      </c>
      <c r="I56" s="186"/>
      <c r="J56" s="186"/>
      <c r="K56" s="186"/>
      <c r="L56" s="101"/>
    </row>
    <row r="57" spans="1:12" x14ac:dyDescent="0.15">
      <c r="A57" s="98" t="s">
        <v>118</v>
      </c>
      <c r="B57" s="98" t="s">
        <v>1762</v>
      </c>
      <c r="C57" s="98" t="s">
        <v>1762</v>
      </c>
      <c r="D57" s="179" t="s">
        <v>634</v>
      </c>
      <c r="E57" s="12">
        <f t="shared" si="0"/>
        <v>1666</v>
      </c>
      <c r="F57" s="184">
        <v>1680</v>
      </c>
      <c r="I57" s="186"/>
      <c r="J57" s="186"/>
      <c r="K57" s="186"/>
      <c r="L57" s="101"/>
    </row>
    <row r="58" spans="1:12" x14ac:dyDescent="0.15">
      <c r="A58" s="98" t="s">
        <v>118</v>
      </c>
      <c r="B58" s="98" t="s">
        <v>1762</v>
      </c>
      <c r="C58" s="98" t="s">
        <v>1762</v>
      </c>
      <c r="D58" s="179" t="s">
        <v>635</v>
      </c>
      <c r="E58" s="12">
        <f t="shared" si="0"/>
        <v>1681</v>
      </c>
      <c r="F58" s="184">
        <v>1700</v>
      </c>
      <c r="I58" s="186"/>
      <c r="J58" s="186"/>
      <c r="K58" s="186"/>
      <c r="L58" s="101"/>
    </row>
    <row r="59" spans="1:12" s="100" customFormat="1" x14ac:dyDescent="0.15">
      <c r="A59" s="100" t="s">
        <v>118</v>
      </c>
      <c r="B59" s="100" t="s">
        <v>1855</v>
      </c>
      <c r="C59" s="100" t="s">
        <v>1855</v>
      </c>
      <c r="D59" s="177" t="s">
        <v>636</v>
      </c>
      <c r="E59" s="216">
        <f t="shared" si="0"/>
        <v>1701</v>
      </c>
      <c r="F59" s="217">
        <v>1760</v>
      </c>
      <c r="G59" s="101">
        <v>0.2</v>
      </c>
      <c r="H59" s="101">
        <v>0.05</v>
      </c>
      <c r="I59" s="186">
        <v>0.3</v>
      </c>
      <c r="J59" s="186">
        <v>0.25</v>
      </c>
      <c r="K59" s="186">
        <v>0.6</v>
      </c>
      <c r="L59" s="101">
        <v>0.2</v>
      </c>
    </row>
    <row r="60" spans="1:12" x14ac:dyDescent="0.15">
      <c r="A60" s="98" t="s">
        <v>118</v>
      </c>
      <c r="B60" s="98" t="s">
        <v>1855</v>
      </c>
      <c r="C60" s="98" t="s">
        <v>1855</v>
      </c>
      <c r="D60" s="179" t="s">
        <v>456</v>
      </c>
      <c r="E60" s="12">
        <f t="shared" si="0"/>
        <v>1761</v>
      </c>
      <c r="F60" s="184">
        <v>1800</v>
      </c>
      <c r="I60" s="186"/>
      <c r="J60" s="186"/>
      <c r="K60" s="186"/>
      <c r="L60" s="101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E0F8-EE37-46F8-B436-326A813A55B5}">
  <sheetPr>
    <tabColor rgb="FFFFFF00"/>
  </sheetPr>
  <dimension ref="A1:L46"/>
  <sheetViews>
    <sheetView workbookViewId="0">
      <selection activeCell="O10" sqref="O10"/>
    </sheetView>
  </sheetViews>
  <sheetFormatPr defaultRowHeight="10.5" x14ac:dyDescent="0.15"/>
  <cols>
    <col min="1" max="1" width="11.42578125" style="98" bestFit="1" customWidth="1"/>
    <col min="2" max="2" width="22.42578125" style="98" bestFit="1" customWidth="1"/>
    <col min="3" max="3" width="11.85546875" style="98" bestFit="1" customWidth="1"/>
    <col min="4" max="4" width="61.140625" style="98" bestFit="1" customWidth="1"/>
    <col min="5" max="5" width="9.5703125" style="12" bestFit="1" customWidth="1"/>
    <col min="6" max="6" width="8.28515625" style="12" bestFit="1" customWidth="1"/>
    <col min="7" max="9" width="12.85546875" style="102" bestFit="1" customWidth="1"/>
    <col min="10" max="10" width="14.42578125" style="102" bestFit="1" customWidth="1"/>
    <col min="11" max="11" width="10.7109375" style="102" bestFit="1" customWidth="1"/>
    <col min="12" max="12" width="14.5703125" style="98" bestFit="1" customWidth="1"/>
    <col min="13" max="16384" width="9.140625" style="98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00" t="s">
        <v>121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5</v>
      </c>
      <c r="G2" s="101">
        <v>0.06</v>
      </c>
      <c r="H2" s="101">
        <v>0.01</v>
      </c>
      <c r="I2" s="186">
        <v>0.06</v>
      </c>
      <c r="J2" s="186">
        <v>0.3</v>
      </c>
      <c r="K2" s="186">
        <v>0.35</v>
      </c>
      <c r="L2" s="101">
        <v>0.85</v>
      </c>
    </row>
    <row r="3" spans="1:12" x14ac:dyDescent="0.15">
      <c r="A3" s="98" t="s">
        <v>121</v>
      </c>
      <c r="B3" s="98" t="s">
        <v>1759</v>
      </c>
      <c r="C3" s="98" t="s">
        <v>1759</v>
      </c>
      <c r="D3" s="179" t="s">
        <v>374</v>
      </c>
      <c r="E3" s="12">
        <f>F2+1</f>
        <v>6</v>
      </c>
      <c r="F3" s="184">
        <v>20</v>
      </c>
      <c r="I3" s="187"/>
      <c r="J3" s="187"/>
      <c r="K3" s="187"/>
      <c r="L3" s="101"/>
    </row>
    <row r="4" spans="1:12" x14ac:dyDescent="0.15">
      <c r="A4" s="98" t="s">
        <v>121</v>
      </c>
      <c r="B4" s="98" t="s">
        <v>1759</v>
      </c>
      <c r="C4" s="98" t="s">
        <v>1759</v>
      </c>
      <c r="D4" s="179" t="s">
        <v>375</v>
      </c>
      <c r="E4" s="12">
        <f t="shared" ref="E4:E46" si="0">F3+1</f>
        <v>21</v>
      </c>
      <c r="F4" s="184">
        <v>40</v>
      </c>
      <c r="I4" s="187"/>
      <c r="J4" s="187"/>
      <c r="K4" s="187"/>
      <c r="L4" s="101"/>
    </row>
    <row r="5" spans="1:12" x14ac:dyDescent="0.15">
      <c r="A5" s="98" t="s">
        <v>121</v>
      </c>
      <c r="B5" s="98" t="s">
        <v>1759</v>
      </c>
      <c r="C5" s="98" t="s">
        <v>1759</v>
      </c>
      <c r="D5" s="179" t="s">
        <v>414</v>
      </c>
      <c r="E5" s="12">
        <f t="shared" si="0"/>
        <v>41</v>
      </c>
      <c r="F5" s="184">
        <v>70</v>
      </c>
      <c r="I5" s="187"/>
      <c r="J5" s="187"/>
      <c r="K5" s="187"/>
      <c r="L5" s="101"/>
    </row>
    <row r="6" spans="1:12" x14ac:dyDescent="0.15">
      <c r="A6" s="98" t="s">
        <v>121</v>
      </c>
      <c r="B6" s="98" t="s">
        <v>1759</v>
      </c>
      <c r="C6" s="98" t="s">
        <v>1759</v>
      </c>
      <c r="D6" s="179" t="s">
        <v>415</v>
      </c>
      <c r="E6" s="12">
        <f t="shared" si="0"/>
        <v>71</v>
      </c>
      <c r="F6" s="184">
        <v>90</v>
      </c>
      <c r="I6" s="187"/>
      <c r="J6" s="187"/>
      <c r="K6" s="187"/>
      <c r="L6" s="101"/>
    </row>
    <row r="7" spans="1:12" x14ac:dyDescent="0.15">
      <c r="A7" s="98" t="s">
        <v>121</v>
      </c>
      <c r="B7" s="98" t="s">
        <v>1759</v>
      </c>
      <c r="C7" s="98" t="s">
        <v>1759</v>
      </c>
      <c r="D7" s="179" t="s">
        <v>416</v>
      </c>
      <c r="E7" s="12">
        <f t="shared" si="0"/>
        <v>91</v>
      </c>
      <c r="F7" s="184">
        <v>110</v>
      </c>
      <c r="I7" s="187"/>
      <c r="J7" s="187"/>
      <c r="K7" s="187"/>
      <c r="L7" s="101"/>
    </row>
    <row r="8" spans="1:12" x14ac:dyDescent="0.15">
      <c r="A8" s="98" t="s">
        <v>121</v>
      </c>
      <c r="B8" s="98" t="s">
        <v>1759</v>
      </c>
      <c r="C8" s="98" t="s">
        <v>1759</v>
      </c>
      <c r="D8" s="179" t="s">
        <v>417</v>
      </c>
      <c r="E8" s="12">
        <f t="shared" si="0"/>
        <v>111</v>
      </c>
      <c r="F8" s="184">
        <v>130</v>
      </c>
      <c r="I8" s="187"/>
      <c r="J8" s="187"/>
      <c r="K8" s="187"/>
      <c r="L8" s="101"/>
    </row>
    <row r="9" spans="1:12" s="100" customFormat="1" x14ac:dyDescent="0.15">
      <c r="A9" s="100" t="s">
        <v>121</v>
      </c>
      <c r="B9" s="100" t="s">
        <v>1861</v>
      </c>
      <c r="C9" s="100" t="s">
        <v>1760</v>
      </c>
      <c r="D9" s="177" t="s">
        <v>380</v>
      </c>
      <c r="E9" s="216">
        <f t="shared" si="0"/>
        <v>131</v>
      </c>
      <c r="F9" s="217">
        <v>160</v>
      </c>
      <c r="G9" s="101">
        <v>0.48</v>
      </c>
      <c r="H9" s="101">
        <v>0.06</v>
      </c>
      <c r="I9" s="186">
        <v>0.57999999999999996</v>
      </c>
      <c r="J9" s="186">
        <v>0.55000000000000004</v>
      </c>
      <c r="K9" s="186">
        <v>0.56000000000000005</v>
      </c>
      <c r="L9" s="101">
        <v>0.62</v>
      </c>
    </row>
    <row r="10" spans="1:12" x14ac:dyDescent="0.15">
      <c r="A10" s="98" t="s">
        <v>121</v>
      </c>
      <c r="B10" s="98" t="s">
        <v>1861</v>
      </c>
      <c r="C10" s="98" t="s">
        <v>1760</v>
      </c>
      <c r="D10" s="179" t="s">
        <v>418</v>
      </c>
      <c r="E10" s="12">
        <f t="shared" si="0"/>
        <v>161</v>
      </c>
      <c r="F10" s="184">
        <v>230</v>
      </c>
      <c r="I10" s="187"/>
      <c r="J10" s="187"/>
      <c r="K10" s="187"/>
      <c r="L10" s="101"/>
    </row>
    <row r="11" spans="1:12" x14ac:dyDescent="0.15">
      <c r="A11" s="98" t="s">
        <v>121</v>
      </c>
      <c r="B11" s="98" t="s">
        <v>1861</v>
      </c>
      <c r="C11" s="98" t="s">
        <v>1760</v>
      </c>
      <c r="D11" s="179" t="s">
        <v>419</v>
      </c>
      <c r="E11" s="12">
        <f t="shared" si="0"/>
        <v>231</v>
      </c>
      <c r="F11" s="184">
        <v>280</v>
      </c>
      <c r="I11" s="187"/>
      <c r="J11" s="187"/>
      <c r="K11" s="187"/>
      <c r="L11" s="101"/>
    </row>
    <row r="12" spans="1:12" x14ac:dyDescent="0.15">
      <c r="A12" s="98" t="s">
        <v>121</v>
      </c>
      <c r="B12" s="98" t="s">
        <v>1861</v>
      </c>
      <c r="C12" s="98" t="s">
        <v>1760</v>
      </c>
      <c r="D12" s="179" t="s">
        <v>420</v>
      </c>
      <c r="E12" s="12">
        <f t="shared" si="0"/>
        <v>281</v>
      </c>
      <c r="F12" s="184">
        <v>430</v>
      </c>
      <c r="I12" s="187"/>
      <c r="J12" s="187"/>
      <c r="K12" s="187"/>
      <c r="L12" s="101"/>
    </row>
    <row r="13" spans="1:12" s="100" customFormat="1" x14ac:dyDescent="0.15">
      <c r="A13" s="100" t="s">
        <v>121</v>
      </c>
      <c r="B13" s="100" t="s">
        <v>1857</v>
      </c>
      <c r="C13" s="100" t="s">
        <v>1760</v>
      </c>
      <c r="D13" s="177" t="s">
        <v>422</v>
      </c>
      <c r="E13" s="216">
        <f t="shared" si="0"/>
        <v>431</v>
      </c>
      <c r="F13" s="217">
        <v>460</v>
      </c>
      <c r="G13" s="101">
        <v>0.9</v>
      </c>
      <c r="H13" s="101">
        <v>0.14000000000000001</v>
      </c>
      <c r="I13" s="186">
        <v>1.05</v>
      </c>
      <c r="J13" s="186">
        <v>0.75</v>
      </c>
      <c r="K13" s="186">
        <v>0.62</v>
      </c>
      <c r="L13" s="101">
        <v>0.68</v>
      </c>
    </row>
    <row r="14" spans="1:12" x14ac:dyDescent="0.15">
      <c r="A14" s="98" t="s">
        <v>121</v>
      </c>
      <c r="B14" s="98" t="s">
        <v>1857</v>
      </c>
      <c r="C14" s="98" t="s">
        <v>1760</v>
      </c>
      <c r="D14" s="179" t="s">
        <v>423</v>
      </c>
      <c r="E14" s="12">
        <f t="shared" si="0"/>
        <v>461</v>
      </c>
      <c r="F14" s="184">
        <v>490</v>
      </c>
      <c r="I14" s="187"/>
      <c r="J14" s="187"/>
      <c r="K14" s="187"/>
      <c r="L14" s="101"/>
    </row>
    <row r="15" spans="1:12" x14ac:dyDescent="0.15">
      <c r="A15" s="98" t="s">
        <v>121</v>
      </c>
      <c r="B15" s="98" t="s">
        <v>1857</v>
      </c>
      <c r="C15" s="98" t="s">
        <v>1760</v>
      </c>
      <c r="D15" s="179" t="s">
        <v>424</v>
      </c>
      <c r="E15" s="12">
        <f t="shared" si="0"/>
        <v>491</v>
      </c>
      <c r="F15" s="184">
        <v>520</v>
      </c>
      <c r="I15" s="187"/>
      <c r="J15" s="187"/>
      <c r="K15" s="187"/>
      <c r="L15" s="101"/>
    </row>
    <row r="16" spans="1:12" s="100" customFormat="1" x14ac:dyDescent="0.15">
      <c r="A16" s="100" t="s">
        <v>121</v>
      </c>
      <c r="B16" s="100" t="s">
        <v>1858</v>
      </c>
      <c r="C16" s="100" t="s">
        <v>1761</v>
      </c>
      <c r="D16" s="177" t="s">
        <v>425</v>
      </c>
      <c r="E16" s="216">
        <f t="shared" si="0"/>
        <v>521</v>
      </c>
      <c r="F16" s="217">
        <v>545</v>
      </c>
      <c r="G16" s="101">
        <v>1.3</v>
      </c>
      <c r="H16" s="101">
        <v>0.28000000000000003</v>
      </c>
      <c r="I16" s="186">
        <v>1.6</v>
      </c>
      <c r="J16" s="186">
        <v>0.98</v>
      </c>
      <c r="K16" s="186">
        <v>0.66</v>
      </c>
      <c r="L16" s="101">
        <v>0.78</v>
      </c>
    </row>
    <row r="17" spans="1:12" x14ac:dyDescent="0.15">
      <c r="A17" s="98" t="s">
        <v>121</v>
      </c>
      <c r="B17" s="98" t="s">
        <v>1858</v>
      </c>
      <c r="C17" s="98" t="s">
        <v>1761</v>
      </c>
      <c r="D17" s="179" t="s">
        <v>426</v>
      </c>
      <c r="E17" s="12">
        <f t="shared" si="0"/>
        <v>546</v>
      </c>
      <c r="F17" s="184">
        <v>565</v>
      </c>
      <c r="I17" s="187"/>
      <c r="J17" s="187"/>
      <c r="K17" s="187"/>
      <c r="L17" s="101"/>
    </row>
    <row r="18" spans="1:12" x14ac:dyDescent="0.15">
      <c r="A18" s="98" t="s">
        <v>121</v>
      </c>
      <c r="B18" s="98" t="s">
        <v>1858</v>
      </c>
      <c r="C18" s="98" t="s">
        <v>1761</v>
      </c>
      <c r="D18" s="179" t="s">
        <v>427</v>
      </c>
      <c r="E18" s="12">
        <f t="shared" si="0"/>
        <v>566</v>
      </c>
      <c r="F18" s="184">
        <v>575</v>
      </c>
      <c r="I18" s="187"/>
      <c r="J18" s="187"/>
      <c r="K18" s="187"/>
      <c r="L18" s="101"/>
    </row>
    <row r="19" spans="1:12" s="100" customFormat="1" x14ac:dyDescent="0.15">
      <c r="A19" s="100" t="s">
        <v>121</v>
      </c>
      <c r="B19" s="100" t="s">
        <v>1896</v>
      </c>
      <c r="C19" s="100" t="s">
        <v>1761</v>
      </c>
      <c r="D19" s="177" t="s">
        <v>429</v>
      </c>
      <c r="E19" s="216">
        <f t="shared" si="0"/>
        <v>576</v>
      </c>
      <c r="F19" s="217">
        <v>600</v>
      </c>
      <c r="G19" s="101">
        <v>1.5</v>
      </c>
      <c r="H19" s="101">
        <v>0.34</v>
      </c>
      <c r="I19" s="186">
        <v>1.75</v>
      </c>
      <c r="J19" s="186">
        <v>1.05</v>
      </c>
      <c r="K19" s="186">
        <v>0.64</v>
      </c>
      <c r="L19" s="101">
        <v>0.9</v>
      </c>
    </row>
    <row r="20" spans="1:12" x14ac:dyDescent="0.15">
      <c r="A20" s="98" t="s">
        <v>121</v>
      </c>
      <c r="B20" s="98" t="s">
        <v>1896</v>
      </c>
      <c r="C20" s="98" t="s">
        <v>1761</v>
      </c>
      <c r="D20" s="179" t="s">
        <v>430</v>
      </c>
      <c r="E20" s="12">
        <f t="shared" si="0"/>
        <v>601</v>
      </c>
      <c r="F20" s="184">
        <v>630</v>
      </c>
      <c r="I20" s="187"/>
      <c r="J20" s="187"/>
      <c r="K20" s="187"/>
      <c r="L20" s="101"/>
    </row>
    <row r="21" spans="1:12" x14ac:dyDescent="0.15">
      <c r="A21" s="98" t="s">
        <v>121</v>
      </c>
      <c r="B21" s="98" t="s">
        <v>1896</v>
      </c>
      <c r="C21" s="98" t="s">
        <v>1761</v>
      </c>
      <c r="D21" s="179" t="s">
        <v>431</v>
      </c>
      <c r="E21" s="12">
        <f t="shared" si="0"/>
        <v>631</v>
      </c>
      <c r="F21" s="184">
        <v>660</v>
      </c>
      <c r="I21" s="187"/>
      <c r="J21" s="187"/>
      <c r="K21" s="187"/>
      <c r="L21" s="101"/>
    </row>
    <row r="22" spans="1:12" x14ac:dyDescent="0.15">
      <c r="A22" s="98" t="s">
        <v>121</v>
      </c>
      <c r="B22" s="98" t="s">
        <v>1896</v>
      </c>
      <c r="C22" s="98" t="s">
        <v>1761</v>
      </c>
      <c r="D22" s="179" t="s">
        <v>432</v>
      </c>
      <c r="E22" s="12">
        <f t="shared" si="0"/>
        <v>661</v>
      </c>
      <c r="F22" s="184">
        <v>690</v>
      </c>
      <c r="I22" s="187"/>
      <c r="J22" s="187"/>
      <c r="K22" s="187"/>
      <c r="L22" s="101"/>
    </row>
    <row r="23" spans="1:12" x14ac:dyDescent="0.15">
      <c r="A23" s="98" t="s">
        <v>121</v>
      </c>
      <c r="B23" s="98" t="s">
        <v>1896</v>
      </c>
      <c r="C23" s="98" t="s">
        <v>1761</v>
      </c>
      <c r="D23" s="179" t="s">
        <v>433</v>
      </c>
      <c r="E23" s="12">
        <f t="shared" si="0"/>
        <v>691</v>
      </c>
      <c r="F23" s="184">
        <v>720</v>
      </c>
      <c r="I23" s="187"/>
      <c r="J23" s="187"/>
      <c r="K23" s="187"/>
      <c r="L23" s="101"/>
    </row>
    <row r="24" spans="1:12" x14ac:dyDescent="0.15">
      <c r="A24" s="98" t="s">
        <v>121</v>
      </c>
      <c r="B24" s="98" t="s">
        <v>1896</v>
      </c>
      <c r="C24" s="98" t="s">
        <v>1761</v>
      </c>
      <c r="D24" s="179" t="s">
        <v>434</v>
      </c>
      <c r="E24" s="12">
        <f t="shared" si="0"/>
        <v>721</v>
      </c>
      <c r="F24" s="184">
        <v>760</v>
      </c>
      <c r="I24" s="187"/>
      <c r="J24" s="187"/>
      <c r="K24" s="187"/>
      <c r="L24" s="101"/>
    </row>
    <row r="25" spans="1:12" x14ac:dyDescent="0.15">
      <c r="A25" s="98" t="s">
        <v>121</v>
      </c>
      <c r="B25" s="98" t="s">
        <v>1896</v>
      </c>
      <c r="C25" s="98" t="s">
        <v>1761</v>
      </c>
      <c r="D25" s="233" t="s">
        <v>435</v>
      </c>
      <c r="E25" s="12">
        <f t="shared" si="0"/>
        <v>761</v>
      </c>
      <c r="F25" s="184">
        <v>820</v>
      </c>
      <c r="I25" s="187"/>
      <c r="J25" s="187"/>
      <c r="K25" s="187"/>
      <c r="L25" s="101"/>
    </row>
    <row r="26" spans="1:12" x14ac:dyDescent="0.15">
      <c r="A26" s="98" t="s">
        <v>121</v>
      </c>
      <c r="B26" s="98" t="s">
        <v>1896</v>
      </c>
      <c r="C26" s="98" t="s">
        <v>1761</v>
      </c>
      <c r="D26" s="179" t="s">
        <v>436</v>
      </c>
      <c r="E26" s="12">
        <f t="shared" si="0"/>
        <v>821</v>
      </c>
      <c r="F26" s="184">
        <v>880</v>
      </c>
      <c r="I26" s="187"/>
      <c r="J26" s="187"/>
      <c r="K26" s="187"/>
      <c r="L26" s="101"/>
    </row>
    <row r="27" spans="1:12" s="100" customFormat="1" x14ac:dyDescent="0.15">
      <c r="A27" s="100" t="s">
        <v>121</v>
      </c>
      <c r="B27" s="100" t="s">
        <v>1886</v>
      </c>
      <c r="C27" s="100" t="s">
        <v>1761</v>
      </c>
      <c r="D27" s="177" t="s">
        <v>437</v>
      </c>
      <c r="E27" s="216">
        <f t="shared" si="0"/>
        <v>881</v>
      </c>
      <c r="F27" s="217">
        <v>940</v>
      </c>
      <c r="G27" s="101">
        <v>1.1000000000000001</v>
      </c>
      <c r="H27" s="101">
        <v>0.18</v>
      </c>
      <c r="I27" s="186">
        <v>1.35</v>
      </c>
      <c r="J27" s="186">
        <v>0.92</v>
      </c>
      <c r="K27" s="186">
        <v>0.6</v>
      </c>
      <c r="L27" s="101">
        <v>0.62</v>
      </c>
    </row>
    <row r="28" spans="1:12" x14ac:dyDescent="0.15">
      <c r="A28" s="98" t="s">
        <v>121</v>
      </c>
      <c r="B28" s="98" t="s">
        <v>1886</v>
      </c>
      <c r="C28" s="98" t="s">
        <v>1761</v>
      </c>
      <c r="D28" s="179" t="s">
        <v>438</v>
      </c>
      <c r="E28" s="12">
        <f t="shared" si="0"/>
        <v>941</v>
      </c>
      <c r="F28" s="184">
        <v>980</v>
      </c>
      <c r="I28" s="187"/>
      <c r="J28" s="187"/>
      <c r="K28" s="187"/>
      <c r="L28" s="101"/>
    </row>
    <row r="29" spans="1:12" x14ac:dyDescent="0.15">
      <c r="A29" s="98" t="s">
        <v>121</v>
      </c>
      <c r="B29" s="98" t="s">
        <v>1886</v>
      </c>
      <c r="C29" s="98" t="s">
        <v>1761</v>
      </c>
      <c r="D29" s="179" t="s">
        <v>439</v>
      </c>
      <c r="E29" s="12">
        <f t="shared" si="0"/>
        <v>981</v>
      </c>
      <c r="F29" s="234">
        <v>1020</v>
      </c>
      <c r="I29" s="187"/>
      <c r="J29" s="187"/>
      <c r="K29" s="187"/>
      <c r="L29" s="101"/>
    </row>
    <row r="30" spans="1:12" x14ac:dyDescent="0.15">
      <c r="A30" s="98" t="s">
        <v>121</v>
      </c>
      <c r="B30" s="98" t="s">
        <v>1886</v>
      </c>
      <c r="C30" s="98" t="s">
        <v>1761</v>
      </c>
      <c r="D30" s="179" t="s">
        <v>440</v>
      </c>
      <c r="E30" s="12">
        <f t="shared" si="0"/>
        <v>1021</v>
      </c>
      <c r="F30" s="234">
        <v>1060</v>
      </c>
      <c r="I30" s="187"/>
      <c r="J30" s="187"/>
      <c r="K30" s="187"/>
      <c r="L30" s="101"/>
    </row>
    <row r="31" spans="1:12" x14ac:dyDescent="0.15">
      <c r="A31" s="98" t="s">
        <v>121</v>
      </c>
      <c r="B31" s="98" t="s">
        <v>1886</v>
      </c>
      <c r="C31" s="98" t="s">
        <v>1761</v>
      </c>
      <c r="D31" s="179" t="s">
        <v>441</v>
      </c>
      <c r="E31" s="12">
        <f t="shared" si="0"/>
        <v>1061</v>
      </c>
      <c r="F31" s="234">
        <v>1100</v>
      </c>
      <c r="I31" s="187"/>
      <c r="J31" s="187"/>
      <c r="K31" s="187"/>
      <c r="L31" s="101"/>
    </row>
    <row r="32" spans="1:12" x14ac:dyDescent="0.15">
      <c r="A32" s="98" t="s">
        <v>121</v>
      </c>
      <c r="B32" s="98" t="s">
        <v>1886</v>
      </c>
      <c r="C32" s="98" t="s">
        <v>1761</v>
      </c>
      <c r="D32" s="233" t="s">
        <v>442</v>
      </c>
      <c r="E32" s="12">
        <f t="shared" si="0"/>
        <v>1101</v>
      </c>
      <c r="F32" s="234">
        <v>1140</v>
      </c>
      <c r="I32" s="187"/>
      <c r="J32" s="187"/>
      <c r="K32" s="187"/>
      <c r="L32" s="101"/>
    </row>
    <row r="33" spans="1:12" x14ac:dyDescent="0.15">
      <c r="A33" s="98" t="s">
        <v>121</v>
      </c>
      <c r="B33" s="98" t="s">
        <v>1886</v>
      </c>
      <c r="C33" s="98" t="s">
        <v>1761</v>
      </c>
      <c r="D33" s="179" t="s">
        <v>443</v>
      </c>
      <c r="E33" s="12">
        <f t="shared" si="0"/>
        <v>1141</v>
      </c>
      <c r="F33" s="234">
        <v>1170</v>
      </c>
      <c r="I33" s="187"/>
      <c r="J33" s="187"/>
      <c r="K33" s="187"/>
      <c r="L33" s="101"/>
    </row>
    <row r="34" spans="1:12" x14ac:dyDescent="0.15">
      <c r="A34" s="98" t="s">
        <v>121</v>
      </c>
      <c r="B34" s="98" t="s">
        <v>1886</v>
      </c>
      <c r="C34" s="98" t="s">
        <v>1761</v>
      </c>
      <c r="D34" s="179" t="s">
        <v>444</v>
      </c>
      <c r="E34" s="12">
        <f t="shared" si="0"/>
        <v>1171</v>
      </c>
      <c r="F34" s="234">
        <v>1200</v>
      </c>
      <c r="I34" s="187"/>
      <c r="J34" s="187"/>
      <c r="K34" s="187"/>
      <c r="L34" s="101"/>
    </row>
    <row r="35" spans="1:12" x14ac:dyDescent="0.15">
      <c r="A35" s="98" t="s">
        <v>121</v>
      </c>
      <c r="B35" s="98" t="s">
        <v>1886</v>
      </c>
      <c r="C35" s="98" t="s">
        <v>1761</v>
      </c>
      <c r="D35" s="179" t="s">
        <v>445</v>
      </c>
      <c r="E35" s="12">
        <f t="shared" si="0"/>
        <v>1201</v>
      </c>
      <c r="F35" s="234">
        <v>1250</v>
      </c>
      <c r="I35" s="187"/>
      <c r="J35" s="187"/>
      <c r="K35" s="187"/>
      <c r="L35" s="101"/>
    </row>
    <row r="36" spans="1:12" s="100" customFormat="1" x14ac:dyDescent="0.15">
      <c r="A36" s="100" t="s">
        <v>121</v>
      </c>
      <c r="B36" s="100" t="s">
        <v>1904</v>
      </c>
      <c r="C36" s="100" t="s">
        <v>1762</v>
      </c>
      <c r="D36" s="177" t="s">
        <v>446</v>
      </c>
      <c r="E36" s="216">
        <f t="shared" si="0"/>
        <v>1251</v>
      </c>
      <c r="F36" s="235">
        <v>1270</v>
      </c>
      <c r="G36" s="101">
        <v>0.38</v>
      </c>
      <c r="H36" s="101">
        <v>0.06</v>
      </c>
      <c r="I36" s="186">
        <v>0.45</v>
      </c>
      <c r="J36" s="186">
        <v>0.65</v>
      </c>
      <c r="K36" s="186">
        <v>0.5</v>
      </c>
      <c r="L36" s="101">
        <v>0.35</v>
      </c>
    </row>
    <row r="37" spans="1:12" x14ac:dyDescent="0.15">
      <c r="A37" s="98" t="s">
        <v>121</v>
      </c>
      <c r="B37" s="98" t="s">
        <v>1904</v>
      </c>
      <c r="C37" s="98" t="s">
        <v>1762</v>
      </c>
      <c r="D37" s="233" t="s">
        <v>447</v>
      </c>
      <c r="E37" s="12">
        <f t="shared" si="0"/>
        <v>1271</v>
      </c>
      <c r="F37" s="234">
        <v>1290</v>
      </c>
      <c r="I37" s="187"/>
      <c r="J37" s="187"/>
      <c r="K37" s="187"/>
      <c r="L37" s="101"/>
    </row>
    <row r="38" spans="1:12" x14ac:dyDescent="0.15">
      <c r="A38" s="98" t="s">
        <v>121</v>
      </c>
      <c r="B38" s="98" t="s">
        <v>1904</v>
      </c>
      <c r="C38" s="98" t="s">
        <v>1762</v>
      </c>
      <c r="D38" s="179" t="s">
        <v>448</v>
      </c>
      <c r="E38" s="12">
        <f t="shared" si="0"/>
        <v>1291</v>
      </c>
      <c r="F38" s="234">
        <v>1310</v>
      </c>
      <c r="I38" s="187"/>
      <c r="J38" s="187"/>
      <c r="K38" s="187"/>
      <c r="L38" s="101"/>
    </row>
    <row r="39" spans="1:12" x14ac:dyDescent="0.15">
      <c r="A39" s="98" t="s">
        <v>121</v>
      </c>
      <c r="B39" s="98" t="s">
        <v>1904</v>
      </c>
      <c r="C39" s="98" t="s">
        <v>1762</v>
      </c>
      <c r="D39" s="179" t="s">
        <v>449</v>
      </c>
      <c r="E39" s="12">
        <f t="shared" si="0"/>
        <v>1311</v>
      </c>
      <c r="F39" s="234">
        <v>1330</v>
      </c>
      <c r="I39" s="187"/>
      <c r="J39" s="187"/>
      <c r="K39" s="187"/>
      <c r="L39" s="101"/>
    </row>
    <row r="40" spans="1:12" x14ac:dyDescent="0.15">
      <c r="A40" s="98" t="s">
        <v>121</v>
      </c>
      <c r="B40" s="98" t="s">
        <v>1904</v>
      </c>
      <c r="C40" s="98" t="s">
        <v>1762</v>
      </c>
      <c r="D40" s="179" t="s">
        <v>450</v>
      </c>
      <c r="E40" s="12">
        <f t="shared" si="0"/>
        <v>1331</v>
      </c>
      <c r="F40" s="234">
        <v>1350</v>
      </c>
      <c r="I40" s="187"/>
      <c r="J40" s="187"/>
      <c r="K40" s="187"/>
      <c r="L40" s="101"/>
    </row>
    <row r="41" spans="1:12" x14ac:dyDescent="0.15">
      <c r="A41" s="98" t="s">
        <v>121</v>
      </c>
      <c r="B41" s="98" t="s">
        <v>1904</v>
      </c>
      <c r="C41" s="98" t="s">
        <v>1762</v>
      </c>
      <c r="D41" s="179" t="s">
        <v>451</v>
      </c>
      <c r="E41" s="12">
        <f t="shared" si="0"/>
        <v>1351</v>
      </c>
      <c r="F41" s="234">
        <v>1370</v>
      </c>
      <c r="I41" s="187"/>
      <c r="J41" s="187"/>
      <c r="K41" s="187"/>
      <c r="L41" s="101"/>
    </row>
    <row r="42" spans="1:12" x14ac:dyDescent="0.15">
      <c r="A42" s="98" t="s">
        <v>121</v>
      </c>
      <c r="B42" s="98" t="s">
        <v>1904</v>
      </c>
      <c r="C42" s="98" t="s">
        <v>1762</v>
      </c>
      <c r="D42" s="233" t="s">
        <v>452</v>
      </c>
      <c r="E42" s="12">
        <f t="shared" si="0"/>
        <v>1371</v>
      </c>
      <c r="F42" s="234">
        <v>1390</v>
      </c>
      <c r="I42" s="187"/>
      <c r="J42" s="187"/>
      <c r="K42" s="187"/>
      <c r="L42" s="101"/>
    </row>
    <row r="43" spans="1:12" x14ac:dyDescent="0.15">
      <c r="A43" s="98" t="s">
        <v>121</v>
      </c>
      <c r="B43" s="98" t="s">
        <v>1904</v>
      </c>
      <c r="C43" s="98" t="s">
        <v>1762</v>
      </c>
      <c r="D43" s="179" t="s">
        <v>453</v>
      </c>
      <c r="E43" s="12">
        <f t="shared" si="0"/>
        <v>1391</v>
      </c>
      <c r="F43" s="234">
        <v>1410</v>
      </c>
      <c r="I43" s="187"/>
      <c r="J43" s="187"/>
      <c r="K43" s="187"/>
      <c r="L43" s="101"/>
    </row>
    <row r="44" spans="1:12" x14ac:dyDescent="0.15">
      <c r="A44" s="98" t="s">
        <v>121</v>
      </c>
      <c r="B44" s="98" t="s">
        <v>1904</v>
      </c>
      <c r="C44" s="98" t="s">
        <v>1762</v>
      </c>
      <c r="D44" s="179" t="s">
        <v>454</v>
      </c>
      <c r="E44" s="12">
        <f t="shared" si="0"/>
        <v>1411</v>
      </c>
      <c r="F44" s="234">
        <v>1452</v>
      </c>
      <c r="I44" s="187"/>
      <c r="J44" s="187"/>
      <c r="K44" s="187"/>
      <c r="L44" s="101"/>
    </row>
    <row r="45" spans="1:12" s="100" customFormat="1" x14ac:dyDescent="0.15">
      <c r="A45" s="100" t="s">
        <v>121</v>
      </c>
      <c r="B45" s="100" t="s">
        <v>1903</v>
      </c>
      <c r="C45" s="100" t="s">
        <v>1903</v>
      </c>
      <c r="D45" s="177" t="s">
        <v>455</v>
      </c>
      <c r="E45" s="216">
        <f t="shared" si="0"/>
        <v>1453</v>
      </c>
      <c r="F45" s="235">
        <v>1480</v>
      </c>
      <c r="G45" s="101">
        <v>0.1</v>
      </c>
      <c r="H45" s="101">
        <v>0.02</v>
      </c>
      <c r="I45" s="186">
        <v>0.1</v>
      </c>
      <c r="J45" s="186">
        <v>0.4</v>
      </c>
      <c r="K45" s="186">
        <v>0.4</v>
      </c>
      <c r="L45" s="101">
        <v>0.15</v>
      </c>
    </row>
    <row r="46" spans="1:12" x14ac:dyDescent="0.15">
      <c r="A46" s="98" t="s">
        <v>121</v>
      </c>
      <c r="B46" s="98" t="s">
        <v>1903</v>
      </c>
      <c r="C46" s="98" t="s">
        <v>1903</v>
      </c>
      <c r="D46" s="179" t="s">
        <v>456</v>
      </c>
      <c r="E46" s="12">
        <f t="shared" si="0"/>
        <v>1481</v>
      </c>
      <c r="F46" s="234">
        <v>1500</v>
      </c>
      <c r="I46" s="187"/>
      <c r="J46" s="187"/>
      <c r="K46" s="187"/>
      <c r="L46" s="101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E2A0-4813-4E6E-9085-31F66BFD1F5F}">
  <sheetPr>
    <tabColor rgb="FFFFFF00"/>
  </sheetPr>
  <dimension ref="A1:L47"/>
  <sheetViews>
    <sheetView workbookViewId="0">
      <selection activeCell="G9" sqref="G9"/>
    </sheetView>
  </sheetViews>
  <sheetFormatPr defaultColWidth="10.42578125" defaultRowHeight="10.5" x14ac:dyDescent="0.15"/>
  <cols>
    <col min="1" max="1" width="11.7109375" style="9" bestFit="1" customWidth="1"/>
    <col min="2" max="2" width="22.42578125" style="9" bestFit="1" customWidth="1"/>
    <col min="3" max="3" width="11.85546875" style="9" bestFit="1" customWidth="1"/>
    <col min="4" max="4" width="61.14062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10.425781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128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20</v>
      </c>
      <c r="G2" s="14">
        <v>0.06</v>
      </c>
      <c r="H2" s="14">
        <v>0.01</v>
      </c>
      <c r="I2" s="190">
        <v>0.06</v>
      </c>
      <c r="J2" s="190">
        <v>0.3</v>
      </c>
      <c r="K2" s="190">
        <v>0.35</v>
      </c>
      <c r="L2" s="14">
        <v>0.33</v>
      </c>
    </row>
    <row r="3" spans="1:12" x14ac:dyDescent="0.15">
      <c r="A3" s="9" t="s">
        <v>128</v>
      </c>
      <c r="B3" s="9" t="s">
        <v>1759</v>
      </c>
      <c r="C3" s="9" t="s">
        <v>1759</v>
      </c>
      <c r="D3" s="25" t="s">
        <v>374</v>
      </c>
      <c r="E3" s="10">
        <f>F2+1</f>
        <v>21</v>
      </c>
      <c r="F3" s="20">
        <v>40</v>
      </c>
      <c r="G3" s="24"/>
      <c r="H3" s="24"/>
      <c r="I3" s="195"/>
      <c r="J3" s="228"/>
      <c r="K3" s="228"/>
      <c r="L3" s="14"/>
    </row>
    <row r="4" spans="1:12" x14ac:dyDescent="0.15">
      <c r="A4" s="9" t="s">
        <v>128</v>
      </c>
      <c r="B4" s="9" t="s">
        <v>1759</v>
      </c>
      <c r="C4" s="9" t="s">
        <v>1759</v>
      </c>
      <c r="D4" s="25" t="s">
        <v>375</v>
      </c>
      <c r="E4" s="10">
        <f t="shared" ref="E4:E47" si="0">F3+1</f>
        <v>41</v>
      </c>
      <c r="F4" s="20">
        <v>70</v>
      </c>
      <c r="I4" s="228"/>
      <c r="J4" s="228"/>
      <c r="K4" s="228"/>
      <c r="L4" s="14"/>
    </row>
    <row r="5" spans="1:12" x14ac:dyDescent="0.15">
      <c r="A5" s="9" t="s">
        <v>128</v>
      </c>
      <c r="B5" s="9" t="s">
        <v>1759</v>
      </c>
      <c r="C5" s="9" t="s">
        <v>1759</v>
      </c>
      <c r="D5" s="25" t="s">
        <v>414</v>
      </c>
      <c r="E5" s="10">
        <f t="shared" si="0"/>
        <v>71</v>
      </c>
      <c r="F5" s="20">
        <v>95</v>
      </c>
      <c r="I5" s="228"/>
      <c r="J5" s="228"/>
      <c r="K5" s="228"/>
      <c r="L5" s="14"/>
    </row>
    <row r="6" spans="1:12" x14ac:dyDescent="0.15">
      <c r="A6" s="9" t="s">
        <v>128</v>
      </c>
      <c r="B6" s="9" t="s">
        <v>1759</v>
      </c>
      <c r="C6" s="9" t="s">
        <v>1759</v>
      </c>
      <c r="D6" s="25" t="s">
        <v>415</v>
      </c>
      <c r="E6" s="10">
        <f t="shared" si="0"/>
        <v>96</v>
      </c>
      <c r="F6" s="20">
        <v>110</v>
      </c>
      <c r="I6" s="228"/>
      <c r="J6" s="228"/>
      <c r="K6" s="228"/>
      <c r="L6" s="14"/>
    </row>
    <row r="7" spans="1:12" x14ac:dyDescent="0.15">
      <c r="A7" s="9" t="s">
        <v>128</v>
      </c>
      <c r="B7" s="9" t="s">
        <v>1759</v>
      </c>
      <c r="C7" s="9" t="s">
        <v>1759</v>
      </c>
      <c r="D7" s="25" t="s">
        <v>416</v>
      </c>
      <c r="E7" s="10">
        <f t="shared" si="0"/>
        <v>111</v>
      </c>
      <c r="F7" s="20">
        <v>120</v>
      </c>
      <c r="I7" s="228"/>
      <c r="J7" s="228"/>
      <c r="K7" s="228"/>
      <c r="L7" s="14"/>
    </row>
    <row r="8" spans="1:12" x14ac:dyDescent="0.15">
      <c r="A8" s="9" t="s">
        <v>128</v>
      </c>
      <c r="B8" s="9" t="s">
        <v>1759</v>
      </c>
      <c r="C8" s="9" t="s">
        <v>1759</v>
      </c>
      <c r="D8" s="25" t="s">
        <v>417</v>
      </c>
      <c r="E8" s="10">
        <f t="shared" si="0"/>
        <v>121</v>
      </c>
      <c r="F8" s="20">
        <v>140</v>
      </c>
      <c r="I8" s="228"/>
      <c r="J8" s="228"/>
      <c r="K8" s="228"/>
      <c r="L8" s="14"/>
    </row>
    <row r="9" spans="1:12" s="32" customFormat="1" x14ac:dyDescent="0.15">
      <c r="A9" s="32" t="s">
        <v>128</v>
      </c>
      <c r="B9" s="32" t="s">
        <v>1861</v>
      </c>
      <c r="C9" s="32" t="s">
        <v>1760</v>
      </c>
      <c r="D9" s="77" t="s">
        <v>380</v>
      </c>
      <c r="E9" s="11">
        <f t="shared" si="0"/>
        <v>141</v>
      </c>
      <c r="F9" s="19">
        <v>190</v>
      </c>
      <c r="G9" s="14">
        <v>0.5</v>
      </c>
      <c r="H9" s="14">
        <v>0.06</v>
      </c>
      <c r="I9" s="190">
        <v>0.6</v>
      </c>
      <c r="J9" s="190">
        <v>0.55000000000000004</v>
      </c>
      <c r="K9" s="190">
        <v>0.56000000000000005</v>
      </c>
      <c r="L9" s="14">
        <v>0.63</v>
      </c>
    </row>
    <row r="10" spans="1:12" x14ac:dyDescent="0.15">
      <c r="A10" s="9" t="s">
        <v>128</v>
      </c>
      <c r="B10" s="9" t="s">
        <v>1861</v>
      </c>
      <c r="C10" s="9" t="s">
        <v>1760</v>
      </c>
      <c r="D10" s="25" t="s">
        <v>418</v>
      </c>
      <c r="E10" s="10">
        <f t="shared" si="0"/>
        <v>191</v>
      </c>
      <c r="F10" s="20">
        <v>240</v>
      </c>
      <c r="G10" s="24"/>
      <c r="H10" s="24"/>
      <c r="I10" s="195"/>
      <c r="J10" s="228"/>
      <c r="K10" s="228"/>
      <c r="L10" s="14"/>
    </row>
    <row r="11" spans="1:12" x14ac:dyDescent="0.15">
      <c r="A11" s="9" t="s">
        <v>128</v>
      </c>
      <c r="B11" s="9" t="s">
        <v>1861</v>
      </c>
      <c r="C11" s="9" t="s">
        <v>1760</v>
      </c>
      <c r="D11" s="194" t="s">
        <v>419</v>
      </c>
      <c r="E11" s="10">
        <f t="shared" si="0"/>
        <v>241</v>
      </c>
      <c r="F11" s="37">
        <v>300</v>
      </c>
      <c r="I11" s="228"/>
      <c r="J11" s="228"/>
      <c r="K11" s="228"/>
      <c r="L11" s="14"/>
    </row>
    <row r="12" spans="1:12" x14ac:dyDescent="0.15">
      <c r="A12" s="9" t="s">
        <v>128</v>
      </c>
      <c r="B12" s="9" t="s">
        <v>1861</v>
      </c>
      <c r="C12" s="9" t="s">
        <v>1760</v>
      </c>
      <c r="D12" s="25" t="s">
        <v>420</v>
      </c>
      <c r="E12" s="10">
        <f t="shared" si="0"/>
        <v>301</v>
      </c>
      <c r="F12" s="20">
        <v>380</v>
      </c>
      <c r="I12" s="228"/>
      <c r="J12" s="228"/>
      <c r="K12" s="228"/>
      <c r="L12" s="14"/>
    </row>
    <row r="13" spans="1:12" s="32" customFormat="1" x14ac:dyDescent="0.15">
      <c r="A13" s="32" t="s">
        <v>128</v>
      </c>
      <c r="B13" s="32" t="s">
        <v>1857</v>
      </c>
      <c r="C13" s="32" t="s">
        <v>1760</v>
      </c>
      <c r="D13" s="77" t="s">
        <v>422</v>
      </c>
      <c r="E13" s="11">
        <f t="shared" si="0"/>
        <v>381</v>
      </c>
      <c r="F13" s="19">
        <v>420</v>
      </c>
      <c r="G13" s="14">
        <v>0.95</v>
      </c>
      <c r="H13" s="14">
        <v>0.14000000000000001</v>
      </c>
      <c r="I13" s="190">
        <v>1.1000000000000001</v>
      </c>
      <c r="J13" s="190">
        <v>0.75</v>
      </c>
      <c r="K13" s="190">
        <v>0.62</v>
      </c>
      <c r="L13" s="14">
        <v>0.68</v>
      </c>
    </row>
    <row r="14" spans="1:12" x14ac:dyDescent="0.15">
      <c r="A14" s="9" t="s">
        <v>128</v>
      </c>
      <c r="B14" s="9" t="s">
        <v>1857</v>
      </c>
      <c r="C14" s="9" t="s">
        <v>1760</v>
      </c>
      <c r="D14" s="25" t="s">
        <v>423</v>
      </c>
      <c r="E14" s="10">
        <f t="shared" si="0"/>
        <v>421</v>
      </c>
      <c r="F14" s="20">
        <v>460</v>
      </c>
      <c r="G14" s="24"/>
      <c r="H14" s="24"/>
      <c r="I14" s="195"/>
      <c r="J14" s="228"/>
      <c r="K14" s="228"/>
      <c r="L14" s="14"/>
    </row>
    <row r="15" spans="1:12" x14ac:dyDescent="0.15">
      <c r="A15" s="9" t="s">
        <v>128</v>
      </c>
      <c r="B15" s="9" t="s">
        <v>1857</v>
      </c>
      <c r="C15" s="9" t="s">
        <v>1760</v>
      </c>
      <c r="D15" s="25" t="s">
        <v>424</v>
      </c>
      <c r="E15" s="10">
        <f t="shared" si="0"/>
        <v>461</v>
      </c>
      <c r="F15" s="20">
        <v>500</v>
      </c>
      <c r="I15" s="228"/>
      <c r="J15" s="228"/>
      <c r="K15" s="228"/>
      <c r="L15" s="14"/>
    </row>
    <row r="16" spans="1:12" x14ac:dyDescent="0.15">
      <c r="A16" s="9" t="s">
        <v>128</v>
      </c>
      <c r="B16" s="9" t="s">
        <v>1857</v>
      </c>
      <c r="C16" s="9" t="s">
        <v>1760</v>
      </c>
      <c r="D16" s="25" t="s">
        <v>1983</v>
      </c>
      <c r="E16" s="10">
        <f t="shared" si="0"/>
        <v>501</v>
      </c>
      <c r="F16" s="20">
        <v>540</v>
      </c>
      <c r="I16" s="228"/>
      <c r="J16" s="228"/>
      <c r="K16" s="228"/>
      <c r="L16" s="14"/>
    </row>
    <row r="17" spans="1:12" s="32" customFormat="1" x14ac:dyDescent="0.15">
      <c r="A17" s="32" t="s">
        <v>128</v>
      </c>
      <c r="B17" s="32" t="s">
        <v>1858</v>
      </c>
      <c r="C17" s="32" t="s">
        <v>1761</v>
      </c>
      <c r="D17" s="77" t="s">
        <v>425</v>
      </c>
      <c r="E17" s="11">
        <f t="shared" si="0"/>
        <v>541</v>
      </c>
      <c r="F17" s="19">
        <v>570</v>
      </c>
      <c r="G17" s="14">
        <v>1.35</v>
      </c>
      <c r="H17" s="14">
        <v>0.3</v>
      </c>
      <c r="I17" s="190">
        <v>1.65</v>
      </c>
      <c r="J17" s="190">
        <v>0.98</v>
      </c>
      <c r="K17" s="190">
        <v>0.66</v>
      </c>
      <c r="L17" s="14">
        <v>0.78</v>
      </c>
    </row>
    <row r="18" spans="1:12" x14ac:dyDescent="0.15">
      <c r="A18" s="9" t="s">
        <v>128</v>
      </c>
      <c r="B18" s="9" t="s">
        <v>1858</v>
      </c>
      <c r="C18" s="9" t="s">
        <v>1761</v>
      </c>
      <c r="D18" s="25" t="s">
        <v>426</v>
      </c>
      <c r="E18" s="10">
        <f t="shared" si="0"/>
        <v>571</v>
      </c>
      <c r="F18" s="20">
        <v>610</v>
      </c>
      <c r="G18" s="24"/>
      <c r="H18" s="24"/>
      <c r="I18" s="195"/>
      <c r="J18" s="228"/>
      <c r="K18" s="228"/>
      <c r="L18" s="14"/>
    </row>
    <row r="19" spans="1:12" x14ac:dyDescent="0.15">
      <c r="A19" s="9" t="s">
        <v>128</v>
      </c>
      <c r="B19" s="9" t="s">
        <v>1858</v>
      </c>
      <c r="C19" s="9" t="s">
        <v>1761</v>
      </c>
      <c r="D19" s="25" t="s">
        <v>427</v>
      </c>
      <c r="E19" s="10">
        <f t="shared" si="0"/>
        <v>611</v>
      </c>
      <c r="F19" s="20">
        <v>650</v>
      </c>
      <c r="I19" s="228"/>
      <c r="J19" s="228"/>
      <c r="K19" s="228"/>
      <c r="L19" s="14"/>
    </row>
    <row r="20" spans="1:12" s="32" customFormat="1" x14ac:dyDescent="0.15">
      <c r="A20" s="32" t="s">
        <v>128</v>
      </c>
      <c r="B20" s="32" t="s">
        <v>1859</v>
      </c>
      <c r="C20" s="32" t="s">
        <v>1761</v>
      </c>
      <c r="D20" s="77" t="s">
        <v>429</v>
      </c>
      <c r="E20" s="11">
        <f t="shared" si="0"/>
        <v>651</v>
      </c>
      <c r="F20" s="19">
        <v>680</v>
      </c>
      <c r="G20" s="14">
        <v>1.55</v>
      </c>
      <c r="H20" s="14">
        <v>0.35</v>
      </c>
      <c r="I20" s="190">
        <v>1.8</v>
      </c>
      <c r="J20" s="190">
        <v>1.05</v>
      </c>
      <c r="K20" s="190">
        <v>0.64</v>
      </c>
      <c r="L20" s="14">
        <v>0.88</v>
      </c>
    </row>
    <row r="21" spans="1:12" x14ac:dyDescent="0.15">
      <c r="A21" s="9" t="s">
        <v>128</v>
      </c>
      <c r="B21" s="9" t="s">
        <v>1859</v>
      </c>
      <c r="C21" s="9" t="s">
        <v>1761</v>
      </c>
      <c r="D21" s="25" t="s">
        <v>430</v>
      </c>
      <c r="E21" s="10">
        <f t="shared" si="0"/>
        <v>681</v>
      </c>
      <c r="F21" s="20">
        <v>710</v>
      </c>
      <c r="G21" s="24"/>
      <c r="H21" s="24"/>
      <c r="I21" s="195"/>
      <c r="J21" s="228"/>
      <c r="K21" s="228"/>
      <c r="L21" s="14"/>
    </row>
    <row r="22" spans="1:12" x14ac:dyDescent="0.15">
      <c r="A22" s="9" t="s">
        <v>128</v>
      </c>
      <c r="B22" s="9" t="s">
        <v>1859</v>
      </c>
      <c r="C22" s="9" t="s">
        <v>1761</v>
      </c>
      <c r="D22" s="25" t="s">
        <v>431</v>
      </c>
      <c r="E22" s="10">
        <f t="shared" si="0"/>
        <v>711</v>
      </c>
      <c r="F22" s="20">
        <v>740</v>
      </c>
      <c r="I22" s="228"/>
      <c r="J22" s="228"/>
      <c r="K22" s="228"/>
      <c r="L22" s="14"/>
    </row>
    <row r="23" spans="1:12" x14ac:dyDescent="0.15">
      <c r="A23" s="9" t="s">
        <v>128</v>
      </c>
      <c r="B23" s="9" t="s">
        <v>1859</v>
      </c>
      <c r="C23" s="9" t="s">
        <v>1761</v>
      </c>
      <c r="D23" s="25" t="s">
        <v>432</v>
      </c>
      <c r="E23" s="10">
        <f t="shared" si="0"/>
        <v>741</v>
      </c>
      <c r="F23" s="20">
        <v>770</v>
      </c>
      <c r="I23" s="228"/>
      <c r="J23" s="228"/>
      <c r="K23" s="228"/>
      <c r="L23" s="14"/>
    </row>
    <row r="24" spans="1:12" x14ac:dyDescent="0.15">
      <c r="A24" s="9" t="s">
        <v>128</v>
      </c>
      <c r="B24" s="9" t="s">
        <v>1859</v>
      </c>
      <c r="C24" s="9" t="s">
        <v>1761</v>
      </c>
      <c r="D24" s="25" t="s">
        <v>433</v>
      </c>
      <c r="E24" s="10">
        <f t="shared" si="0"/>
        <v>771</v>
      </c>
      <c r="F24" s="20">
        <v>800</v>
      </c>
      <c r="I24" s="228"/>
      <c r="J24" s="228"/>
      <c r="K24" s="228"/>
      <c r="L24" s="14"/>
    </row>
    <row r="25" spans="1:12" x14ac:dyDescent="0.15">
      <c r="A25" s="9" t="s">
        <v>128</v>
      </c>
      <c r="B25" s="9" t="s">
        <v>1859</v>
      </c>
      <c r="C25" s="9" t="s">
        <v>1761</v>
      </c>
      <c r="D25" s="25" t="s">
        <v>434</v>
      </c>
      <c r="E25" s="10">
        <f t="shared" si="0"/>
        <v>801</v>
      </c>
      <c r="F25" s="20">
        <v>830</v>
      </c>
      <c r="I25" s="228"/>
      <c r="J25" s="228"/>
      <c r="K25" s="228"/>
      <c r="L25" s="14"/>
    </row>
    <row r="26" spans="1:12" x14ac:dyDescent="0.15">
      <c r="A26" s="9" t="s">
        <v>128</v>
      </c>
      <c r="B26" s="9" t="s">
        <v>1859</v>
      </c>
      <c r="C26" s="9" t="s">
        <v>1761</v>
      </c>
      <c r="D26" s="232" t="s">
        <v>435</v>
      </c>
      <c r="E26" s="10">
        <f t="shared" si="0"/>
        <v>831</v>
      </c>
      <c r="F26" s="20">
        <v>960</v>
      </c>
      <c r="I26" s="228"/>
      <c r="J26" s="228"/>
      <c r="K26" s="228"/>
      <c r="L26" s="14"/>
    </row>
    <row r="27" spans="1:12" x14ac:dyDescent="0.15">
      <c r="A27" s="9" t="s">
        <v>128</v>
      </c>
      <c r="B27" s="9" t="s">
        <v>1859</v>
      </c>
      <c r="C27" s="9" t="s">
        <v>1761</v>
      </c>
      <c r="D27" s="25" t="s">
        <v>436</v>
      </c>
      <c r="E27" s="10">
        <f t="shared" si="0"/>
        <v>961</v>
      </c>
      <c r="F27" s="20">
        <v>900</v>
      </c>
      <c r="I27" s="228"/>
      <c r="J27" s="228"/>
      <c r="K27" s="228"/>
      <c r="L27" s="14"/>
    </row>
    <row r="28" spans="1:12" s="32" customFormat="1" x14ac:dyDescent="0.15">
      <c r="A28" s="32" t="s">
        <v>128</v>
      </c>
      <c r="B28" s="32" t="s">
        <v>1886</v>
      </c>
      <c r="C28" s="32" t="s">
        <v>1761</v>
      </c>
      <c r="D28" s="77" t="s">
        <v>437</v>
      </c>
      <c r="E28" s="11">
        <f t="shared" si="0"/>
        <v>901</v>
      </c>
      <c r="F28" s="19">
        <v>930</v>
      </c>
      <c r="G28" s="14">
        <v>1.2</v>
      </c>
      <c r="H28" s="14">
        <v>0.2</v>
      </c>
      <c r="I28" s="190">
        <v>1.4</v>
      </c>
      <c r="J28" s="190">
        <v>0.95</v>
      </c>
      <c r="K28" s="190">
        <v>0.6</v>
      </c>
      <c r="L28" s="14">
        <v>0.63</v>
      </c>
    </row>
    <row r="29" spans="1:12" x14ac:dyDescent="0.15">
      <c r="A29" s="9" t="s">
        <v>128</v>
      </c>
      <c r="B29" s="9" t="s">
        <v>1886</v>
      </c>
      <c r="C29" s="9" t="s">
        <v>1761</v>
      </c>
      <c r="D29" s="25" t="s">
        <v>438</v>
      </c>
      <c r="E29" s="10">
        <f t="shared" si="0"/>
        <v>931</v>
      </c>
      <c r="F29" s="20">
        <v>960</v>
      </c>
      <c r="G29" s="24"/>
      <c r="H29" s="24"/>
      <c r="I29" s="195"/>
      <c r="J29" s="228"/>
      <c r="K29" s="228"/>
      <c r="L29" s="14"/>
    </row>
    <row r="30" spans="1:12" x14ac:dyDescent="0.15">
      <c r="A30" s="9" t="s">
        <v>128</v>
      </c>
      <c r="B30" s="9" t="s">
        <v>1886</v>
      </c>
      <c r="C30" s="9" t="s">
        <v>1761</v>
      </c>
      <c r="D30" s="25" t="s">
        <v>439</v>
      </c>
      <c r="E30" s="10">
        <f t="shared" si="0"/>
        <v>961</v>
      </c>
      <c r="F30" s="20">
        <v>990</v>
      </c>
      <c r="I30" s="228"/>
      <c r="J30" s="228"/>
      <c r="K30" s="228"/>
      <c r="L30" s="14"/>
    </row>
    <row r="31" spans="1:12" x14ac:dyDescent="0.15">
      <c r="A31" s="9" t="s">
        <v>128</v>
      </c>
      <c r="B31" s="9" t="s">
        <v>1886</v>
      </c>
      <c r="C31" s="9" t="s">
        <v>1761</v>
      </c>
      <c r="D31" s="25" t="s">
        <v>440</v>
      </c>
      <c r="E31" s="10">
        <f t="shared" si="0"/>
        <v>991</v>
      </c>
      <c r="F31" s="20">
        <v>1020</v>
      </c>
      <c r="I31" s="228"/>
      <c r="J31" s="228"/>
      <c r="K31" s="228"/>
      <c r="L31" s="14"/>
    </row>
    <row r="32" spans="1:12" x14ac:dyDescent="0.15">
      <c r="A32" s="9" t="s">
        <v>128</v>
      </c>
      <c r="B32" s="9" t="s">
        <v>1886</v>
      </c>
      <c r="C32" s="9" t="s">
        <v>1761</v>
      </c>
      <c r="D32" s="194" t="s">
        <v>441</v>
      </c>
      <c r="E32" s="10">
        <f t="shared" si="0"/>
        <v>1021</v>
      </c>
      <c r="F32" s="37">
        <v>1050</v>
      </c>
      <c r="I32" s="228"/>
      <c r="J32" s="228"/>
      <c r="K32" s="228"/>
      <c r="L32" s="14"/>
    </row>
    <row r="33" spans="1:12" x14ac:dyDescent="0.15">
      <c r="A33" s="9" t="s">
        <v>128</v>
      </c>
      <c r="B33" s="9" t="s">
        <v>1886</v>
      </c>
      <c r="C33" s="9" t="s">
        <v>1761</v>
      </c>
      <c r="D33" s="232" t="s">
        <v>442</v>
      </c>
      <c r="E33" s="10">
        <f t="shared" si="0"/>
        <v>1051</v>
      </c>
      <c r="F33" s="20">
        <v>1080</v>
      </c>
      <c r="I33" s="228"/>
      <c r="J33" s="228"/>
      <c r="K33" s="228"/>
      <c r="L33" s="14"/>
    </row>
    <row r="34" spans="1:12" x14ac:dyDescent="0.15">
      <c r="A34" s="9" t="s">
        <v>128</v>
      </c>
      <c r="B34" s="9" t="s">
        <v>1886</v>
      </c>
      <c r="C34" s="9" t="s">
        <v>1761</v>
      </c>
      <c r="D34" s="25" t="s">
        <v>443</v>
      </c>
      <c r="E34" s="10">
        <f t="shared" si="0"/>
        <v>1081</v>
      </c>
      <c r="F34" s="20">
        <v>1110</v>
      </c>
      <c r="I34" s="228"/>
      <c r="J34" s="228"/>
      <c r="K34" s="228"/>
      <c r="L34" s="14"/>
    </row>
    <row r="35" spans="1:12" x14ac:dyDescent="0.15">
      <c r="A35" s="9" t="s">
        <v>128</v>
      </c>
      <c r="B35" s="9" t="s">
        <v>1886</v>
      </c>
      <c r="C35" s="9" t="s">
        <v>1761</v>
      </c>
      <c r="D35" s="25" t="s">
        <v>444</v>
      </c>
      <c r="E35" s="10">
        <f t="shared" si="0"/>
        <v>1111</v>
      </c>
      <c r="F35" s="20">
        <v>1140</v>
      </c>
      <c r="I35" s="228"/>
      <c r="J35" s="228"/>
      <c r="K35" s="228"/>
      <c r="L35" s="14"/>
    </row>
    <row r="36" spans="1:12" x14ac:dyDescent="0.15">
      <c r="A36" s="9" t="s">
        <v>128</v>
      </c>
      <c r="B36" s="9" t="s">
        <v>1886</v>
      </c>
      <c r="C36" s="9" t="s">
        <v>1761</v>
      </c>
      <c r="D36" s="25" t="s">
        <v>445</v>
      </c>
      <c r="E36" s="10">
        <f t="shared" si="0"/>
        <v>1141</v>
      </c>
      <c r="F36" s="20">
        <v>1180</v>
      </c>
      <c r="I36" s="228"/>
      <c r="J36" s="228"/>
      <c r="K36" s="228"/>
      <c r="L36" s="14"/>
    </row>
    <row r="37" spans="1:12" s="32" customFormat="1" x14ac:dyDescent="0.15">
      <c r="A37" s="32" t="s">
        <v>128</v>
      </c>
      <c r="B37" s="32" t="s">
        <v>1904</v>
      </c>
      <c r="C37" s="32" t="s">
        <v>1762</v>
      </c>
      <c r="D37" s="77" t="s">
        <v>446</v>
      </c>
      <c r="E37" s="11">
        <f t="shared" si="0"/>
        <v>1181</v>
      </c>
      <c r="F37" s="19">
        <v>1210</v>
      </c>
      <c r="G37" s="14">
        <v>0.4</v>
      </c>
      <c r="H37" s="14">
        <v>0.06</v>
      </c>
      <c r="I37" s="190">
        <v>0.45</v>
      </c>
      <c r="J37" s="190">
        <v>0.65</v>
      </c>
      <c r="K37" s="190">
        <v>0.5</v>
      </c>
      <c r="L37" s="14">
        <v>0.35</v>
      </c>
    </row>
    <row r="38" spans="1:12" x14ac:dyDescent="0.15">
      <c r="A38" s="9" t="s">
        <v>128</v>
      </c>
      <c r="B38" s="9" t="s">
        <v>1904</v>
      </c>
      <c r="C38" s="9" t="s">
        <v>1762</v>
      </c>
      <c r="D38" s="232" t="s">
        <v>447</v>
      </c>
      <c r="E38" s="10">
        <f t="shared" si="0"/>
        <v>1211</v>
      </c>
      <c r="F38" s="20">
        <v>1240</v>
      </c>
      <c r="G38" s="24"/>
      <c r="H38" s="24"/>
      <c r="I38" s="195"/>
      <c r="J38" s="228"/>
      <c r="K38" s="228"/>
      <c r="L38" s="14"/>
    </row>
    <row r="39" spans="1:12" x14ac:dyDescent="0.15">
      <c r="A39" s="9" t="s">
        <v>128</v>
      </c>
      <c r="B39" s="9" t="s">
        <v>1904</v>
      </c>
      <c r="C39" s="9" t="s">
        <v>1762</v>
      </c>
      <c r="D39" s="25" t="s">
        <v>448</v>
      </c>
      <c r="E39" s="10">
        <f t="shared" si="0"/>
        <v>1241</v>
      </c>
      <c r="F39" s="20">
        <v>1270</v>
      </c>
      <c r="I39" s="228"/>
      <c r="J39" s="228"/>
      <c r="K39" s="228"/>
      <c r="L39" s="14"/>
    </row>
    <row r="40" spans="1:12" x14ac:dyDescent="0.15">
      <c r="A40" s="9" t="s">
        <v>128</v>
      </c>
      <c r="B40" s="9" t="s">
        <v>1904</v>
      </c>
      <c r="C40" s="9" t="s">
        <v>1762</v>
      </c>
      <c r="D40" s="25" t="s">
        <v>449</v>
      </c>
      <c r="E40" s="10">
        <f t="shared" si="0"/>
        <v>1271</v>
      </c>
      <c r="F40" s="20">
        <v>1300</v>
      </c>
      <c r="I40" s="228"/>
      <c r="J40" s="228"/>
      <c r="K40" s="228"/>
      <c r="L40" s="14"/>
    </row>
    <row r="41" spans="1:12" x14ac:dyDescent="0.15">
      <c r="A41" s="9" t="s">
        <v>128</v>
      </c>
      <c r="B41" s="9" t="s">
        <v>1904</v>
      </c>
      <c r="C41" s="9" t="s">
        <v>1762</v>
      </c>
      <c r="D41" s="25" t="s">
        <v>450</v>
      </c>
      <c r="E41" s="10">
        <f t="shared" si="0"/>
        <v>1301</v>
      </c>
      <c r="F41" s="20">
        <v>1330</v>
      </c>
      <c r="I41" s="228"/>
      <c r="J41" s="228"/>
      <c r="K41" s="228"/>
      <c r="L41" s="14"/>
    </row>
    <row r="42" spans="1:12" x14ac:dyDescent="0.15">
      <c r="A42" s="9" t="s">
        <v>128</v>
      </c>
      <c r="B42" s="9" t="s">
        <v>1904</v>
      </c>
      <c r="C42" s="9" t="s">
        <v>1762</v>
      </c>
      <c r="D42" s="25" t="s">
        <v>451</v>
      </c>
      <c r="E42" s="10">
        <f t="shared" si="0"/>
        <v>1331</v>
      </c>
      <c r="F42" s="20">
        <v>1360</v>
      </c>
      <c r="I42" s="228"/>
      <c r="J42" s="228"/>
      <c r="K42" s="228"/>
      <c r="L42" s="14"/>
    </row>
    <row r="43" spans="1:12" x14ac:dyDescent="0.15">
      <c r="A43" s="9" t="s">
        <v>128</v>
      </c>
      <c r="B43" s="9" t="s">
        <v>1904</v>
      </c>
      <c r="C43" s="9" t="s">
        <v>1762</v>
      </c>
      <c r="D43" s="232" t="s">
        <v>452</v>
      </c>
      <c r="E43" s="10">
        <f t="shared" si="0"/>
        <v>1361</v>
      </c>
      <c r="F43" s="20">
        <v>1390</v>
      </c>
      <c r="I43" s="228"/>
      <c r="J43" s="228"/>
      <c r="K43" s="228"/>
      <c r="L43" s="14"/>
    </row>
    <row r="44" spans="1:12" x14ac:dyDescent="0.15">
      <c r="A44" s="9" t="s">
        <v>128</v>
      </c>
      <c r="B44" s="9" t="s">
        <v>1904</v>
      </c>
      <c r="C44" s="9" t="s">
        <v>1762</v>
      </c>
      <c r="D44" s="25" t="s">
        <v>453</v>
      </c>
      <c r="E44" s="10">
        <f t="shared" si="0"/>
        <v>1391</v>
      </c>
      <c r="F44" s="20">
        <v>1420</v>
      </c>
      <c r="I44" s="228"/>
      <c r="J44" s="228"/>
      <c r="K44" s="228"/>
      <c r="L44" s="14"/>
    </row>
    <row r="45" spans="1:12" x14ac:dyDescent="0.15">
      <c r="A45" s="9" t="s">
        <v>128</v>
      </c>
      <c r="B45" s="9" t="s">
        <v>1904</v>
      </c>
      <c r="C45" s="9" t="s">
        <v>1762</v>
      </c>
      <c r="D45" s="25" t="s">
        <v>454</v>
      </c>
      <c r="E45" s="10">
        <f t="shared" si="0"/>
        <v>1421</v>
      </c>
      <c r="F45" s="20">
        <v>1460</v>
      </c>
      <c r="I45" s="228"/>
      <c r="J45" s="228"/>
      <c r="K45" s="228"/>
      <c r="L45" s="14"/>
    </row>
    <row r="46" spans="1:12" s="32" customFormat="1" x14ac:dyDescent="0.15">
      <c r="A46" s="32" t="s">
        <v>128</v>
      </c>
      <c r="B46" s="32" t="s">
        <v>1903</v>
      </c>
      <c r="C46" s="32" t="s">
        <v>1903</v>
      </c>
      <c r="D46" s="77" t="s">
        <v>455</v>
      </c>
      <c r="E46" s="11">
        <f t="shared" si="0"/>
        <v>1461</v>
      </c>
      <c r="F46" s="19">
        <v>1600</v>
      </c>
      <c r="G46" s="14">
        <v>0.1</v>
      </c>
      <c r="H46" s="14">
        <v>0.02</v>
      </c>
      <c r="I46" s="190">
        <v>0.1</v>
      </c>
      <c r="J46" s="190">
        <v>0.4</v>
      </c>
      <c r="K46" s="190">
        <v>0.4</v>
      </c>
      <c r="L46" s="14">
        <v>0.15</v>
      </c>
    </row>
    <row r="47" spans="1:12" x14ac:dyDescent="0.15">
      <c r="A47" s="9" t="s">
        <v>128</v>
      </c>
      <c r="B47" s="9" t="s">
        <v>1903</v>
      </c>
      <c r="C47" s="9" t="s">
        <v>1903</v>
      </c>
      <c r="D47" s="25" t="s">
        <v>456</v>
      </c>
      <c r="E47" s="10">
        <f t="shared" si="0"/>
        <v>1601</v>
      </c>
      <c r="F47" s="20">
        <v>1700</v>
      </c>
      <c r="I47" s="228"/>
      <c r="J47" s="228"/>
      <c r="K47" s="228"/>
      <c r="L47" s="14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AA31-B70D-4CE9-8308-DA7377D2F465}">
  <sheetPr>
    <tabColor rgb="FFFFFF00"/>
  </sheetPr>
  <dimension ref="A1:L47"/>
  <sheetViews>
    <sheetView workbookViewId="0">
      <selection activeCell="L47" sqref="L47"/>
    </sheetView>
  </sheetViews>
  <sheetFormatPr defaultRowHeight="10.5" x14ac:dyDescent="0.15"/>
  <cols>
    <col min="1" max="1" width="10.28515625" style="9" bestFit="1" customWidth="1"/>
    <col min="2" max="2" width="22.42578125" style="9" bestFit="1" customWidth="1"/>
    <col min="3" max="3" width="11.85546875" style="9" bestFit="1" customWidth="1"/>
    <col min="4" max="4" width="61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137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20</v>
      </c>
      <c r="G2" s="14">
        <v>0.2</v>
      </c>
      <c r="H2" s="14">
        <v>5.0000000000000001E-3</v>
      </c>
      <c r="I2" s="190">
        <v>0.02</v>
      </c>
      <c r="J2" s="190">
        <v>0.15</v>
      </c>
      <c r="K2" s="190">
        <v>0.6</v>
      </c>
      <c r="L2" s="14">
        <v>0.88</v>
      </c>
    </row>
    <row r="3" spans="1:12" x14ac:dyDescent="0.15">
      <c r="A3" s="9" t="s">
        <v>137</v>
      </c>
      <c r="B3" s="9" t="s">
        <v>1759</v>
      </c>
      <c r="C3" s="9" t="s">
        <v>1759</v>
      </c>
      <c r="D3" s="25" t="s">
        <v>374</v>
      </c>
      <c r="E3" s="10">
        <f>F2+1</f>
        <v>21</v>
      </c>
      <c r="F3" s="20">
        <v>60</v>
      </c>
      <c r="G3" s="24"/>
      <c r="H3" s="24"/>
      <c r="I3" s="195"/>
      <c r="J3" s="190"/>
      <c r="K3" s="190"/>
      <c r="L3" s="14"/>
    </row>
    <row r="4" spans="1:12" x14ac:dyDescent="0.15">
      <c r="A4" s="9" t="s">
        <v>137</v>
      </c>
      <c r="B4" s="9" t="s">
        <v>1759</v>
      </c>
      <c r="C4" s="9" t="s">
        <v>1759</v>
      </c>
      <c r="D4" s="25" t="s">
        <v>375</v>
      </c>
      <c r="E4" s="10">
        <f t="shared" ref="E4:E47" si="0">F3+1</f>
        <v>61</v>
      </c>
      <c r="F4" s="20">
        <v>110</v>
      </c>
      <c r="I4" s="190"/>
      <c r="J4" s="190"/>
      <c r="K4" s="190"/>
      <c r="L4" s="14"/>
    </row>
    <row r="5" spans="1:12" x14ac:dyDescent="0.15">
      <c r="A5" s="9" t="s">
        <v>137</v>
      </c>
      <c r="B5" s="9" t="s">
        <v>1759</v>
      </c>
      <c r="C5" s="9" t="s">
        <v>1759</v>
      </c>
      <c r="D5" s="25" t="s">
        <v>414</v>
      </c>
      <c r="E5" s="10">
        <f t="shared" si="0"/>
        <v>111</v>
      </c>
      <c r="F5" s="20">
        <v>150</v>
      </c>
      <c r="I5" s="190"/>
      <c r="J5" s="190"/>
      <c r="K5" s="190"/>
      <c r="L5" s="14"/>
    </row>
    <row r="6" spans="1:12" x14ac:dyDescent="0.15">
      <c r="A6" s="9" t="s">
        <v>137</v>
      </c>
      <c r="B6" s="9" t="s">
        <v>1759</v>
      </c>
      <c r="C6" s="9" t="s">
        <v>1759</v>
      </c>
      <c r="D6" s="25" t="s">
        <v>415</v>
      </c>
      <c r="E6" s="10">
        <f t="shared" si="0"/>
        <v>151</v>
      </c>
      <c r="F6" s="20">
        <v>165</v>
      </c>
      <c r="I6" s="190"/>
      <c r="J6" s="190"/>
      <c r="K6" s="190"/>
      <c r="L6" s="14"/>
    </row>
    <row r="7" spans="1:12" x14ac:dyDescent="0.15">
      <c r="A7" s="9" t="s">
        <v>137</v>
      </c>
      <c r="B7" s="9" t="s">
        <v>1759</v>
      </c>
      <c r="C7" s="9" t="s">
        <v>1759</v>
      </c>
      <c r="D7" s="25" t="s">
        <v>416</v>
      </c>
      <c r="E7" s="10">
        <f t="shared" si="0"/>
        <v>166</v>
      </c>
      <c r="F7" s="20">
        <v>175</v>
      </c>
      <c r="I7" s="190"/>
      <c r="J7" s="190"/>
      <c r="K7" s="190"/>
      <c r="L7" s="14"/>
    </row>
    <row r="8" spans="1:12" x14ac:dyDescent="0.15">
      <c r="A8" s="9" t="s">
        <v>137</v>
      </c>
      <c r="B8" s="9" t="s">
        <v>1759</v>
      </c>
      <c r="C8" s="9" t="s">
        <v>1759</v>
      </c>
      <c r="D8" s="25" t="s">
        <v>417</v>
      </c>
      <c r="E8" s="10">
        <f t="shared" si="0"/>
        <v>176</v>
      </c>
      <c r="F8" s="20">
        <v>180</v>
      </c>
      <c r="I8" s="190"/>
      <c r="J8" s="190"/>
      <c r="K8" s="190"/>
      <c r="L8" s="14"/>
    </row>
    <row r="9" spans="1:12" s="32" customFormat="1" x14ac:dyDescent="0.15">
      <c r="A9" s="32" t="s">
        <v>137</v>
      </c>
      <c r="B9" s="32" t="s">
        <v>1861</v>
      </c>
      <c r="C9" s="32" t="s">
        <v>1760</v>
      </c>
      <c r="D9" s="193" t="s">
        <v>380</v>
      </c>
      <c r="E9" s="11">
        <f t="shared" si="0"/>
        <v>181</v>
      </c>
      <c r="F9" s="92">
        <v>220</v>
      </c>
      <c r="G9" s="14">
        <v>0.8</v>
      </c>
      <c r="H9" s="14">
        <v>0.15</v>
      </c>
      <c r="I9" s="190">
        <v>0.8</v>
      </c>
      <c r="J9" s="190">
        <v>0.4</v>
      </c>
      <c r="K9" s="190">
        <v>0.65</v>
      </c>
      <c r="L9" s="14">
        <v>0.68</v>
      </c>
    </row>
    <row r="10" spans="1:12" x14ac:dyDescent="0.15">
      <c r="A10" s="9" t="s">
        <v>137</v>
      </c>
      <c r="B10" s="9" t="s">
        <v>1861</v>
      </c>
      <c r="C10" s="9" t="s">
        <v>1760</v>
      </c>
      <c r="D10" s="25" t="s">
        <v>418</v>
      </c>
      <c r="E10" s="10">
        <f t="shared" si="0"/>
        <v>221</v>
      </c>
      <c r="F10" s="20">
        <v>290</v>
      </c>
      <c r="G10" s="24"/>
      <c r="H10" s="24"/>
      <c r="I10" s="195"/>
      <c r="J10" s="190"/>
      <c r="K10" s="190"/>
      <c r="L10" s="14"/>
    </row>
    <row r="11" spans="1:12" x14ac:dyDescent="0.15">
      <c r="A11" s="9" t="s">
        <v>137</v>
      </c>
      <c r="B11" s="9" t="s">
        <v>1861</v>
      </c>
      <c r="C11" s="9" t="s">
        <v>1760</v>
      </c>
      <c r="D11" s="25" t="s">
        <v>419</v>
      </c>
      <c r="E11" s="10">
        <f t="shared" si="0"/>
        <v>291</v>
      </c>
      <c r="F11" s="20">
        <v>340</v>
      </c>
      <c r="I11" s="190"/>
      <c r="J11" s="190"/>
      <c r="K11" s="190"/>
      <c r="L11" s="14"/>
    </row>
    <row r="12" spans="1:12" x14ac:dyDescent="0.15">
      <c r="A12" s="9" t="s">
        <v>137</v>
      </c>
      <c r="B12" s="9" t="s">
        <v>1861</v>
      </c>
      <c r="C12" s="9" t="s">
        <v>1760</v>
      </c>
      <c r="D12" s="25" t="s">
        <v>848</v>
      </c>
      <c r="E12" s="10">
        <f t="shared" si="0"/>
        <v>341</v>
      </c>
      <c r="F12" s="20">
        <v>420</v>
      </c>
      <c r="I12" s="190"/>
      <c r="J12" s="190"/>
      <c r="K12" s="190"/>
      <c r="L12" s="14"/>
    </row>
    <row r="13" spans="1:12" s="32" customFormat="1" x14ac:dyDescent="0.15">
      <c r="A13" s="32" t="s">
        <v>137</v>
      </c>
      <c r="B13" s="32" t="s">
        <v>1857</v>
      </c>
      <c r="C13" s="32" t="s">
        <v>1760</v>
      </c>
      <c r="D13" s="77" t="s">
        <v>422</v>
      </c>
      <c r="E13" s="11">
        <f t="shared" si="0"/>
        <v>421</v>
      </c>
      <c r="F13" s="19">
        <v>460</v>
      </c>
      <c r="G13" s="14">
        <v>1.2</v>
      </c>
      <c r="H13" s="14">
        <v>0.25</v>
      </c>
      <c r="I13" s="190">
        <v>1.2</v>
      </c>
      <c r="J13" s="190">
        <v>0.6</v>
      </c>
      <c r="K13" s="190">
        <v>0.7</v>
      </c>
      <c r="L13" s="14">
        <v>0.72</v>
      </c>
    </row>
    <row r="14" spans="1:12" x14ac:dyDescent="0.15">
      <c r="A14" s="9" t="s">
        <v>137</v>
      </c>
      <c r="B14" s="9" t="s">
        <v>1857</v>
      </c>
      <c r="C14" s="9" t="s">
        <v>1760</v>
      </c>
      <c r="D14" s="25" t="s">
        <v>423</v>
      </c>
      <c r="E14" s="10">
        <f t="shared" si="0"/>
        <v>461</v>
      </c>
      <c r="F14" s="20">
        <v>495</v>
      </c>
      <c r="G14" s="24"/>
      <c r="H14" s="24"/>
      <c r="I14" s="195"/>
      <c r="J14" s="190"/>
      <c r="K14" s="190"/>
      <c r="L14" s="14"/>
    </row>
    <row r="15" spans="1:12" x14ac:dyDescent="0.15">
      <c r="A15" s="9" t="s">
        <v>137</v>
      </c>
      <c r="B15" s="9" t="s">
        <v>1857</v>
      </c>
      <c r="C15" s="9" t="s">
        <v>1760</v>
      </c>
      <c r="D15" s="25" t="s">
        <v>424</v>
      </c>
      <c r="E15" s="10">
        <f t="shared" si="0"/>
        <v>496</v>
      </c>
      <c r="F15" s="20">
        <v>515</v>
      </c>
      <c r="I15" s="190"/>
      <c r="J15" s="190"/>
      <c r="K15" s="190"/>
      <c r="L15" s="14"/>
    </row>
    <row r="16" spans="1:12" x14ac:dyDescent="0.15">
      <c r="A16" s="9" t="s">
        <v>137</v>
      </c>
      <c r="B16" s="9" t="s">
        <v>1857</v>
      </c>
      <c r="C16" s="9" t="s">
        <v>1760</v>
      </c>
      <c r="D16" s="25" t="s">
        <v>651</v>
      </c>
      <c r="E16" s="10">
        <f t="shared" si="0"/>
        <v>516</v>
      </c>
      <c r="F16" s="20">
        <v>520</v>
      </c>
      <c r="I16" s="190"/>
      <c r="J16" s="190"/>
      <c r="K16" s="190"/>
      <c r="L16" s="14"/>
    </row>
    <row r="17" spans="1:12" s="32" customFormat="1" x14ac:dyDescent="0.15">
      <c r="A17" s="32" t="s">
        <v>137</v>
      </c>
      <c r="B17" s="32" t="s">
        <v>1858</v>
      </c>
      <c r="C17" s="32" t="s">
        <v>1761</v>
      </c>
      <c r="D17" s="77" t="s">
        <v>425</v>
      </c>
      <c r="E17" s="11">
        <f t="shared" si="0"/>
        <v>521</v>
      </c>
      <c r="F17" s="19">
        <v>610</v>
      </c>
      <c r="G17" s="14">
        <v>1.8</v>
      </c>
      <c r="H17" s="14">
        <v>0.3</v>
      </c>
      <c r="I17" s="190">
        <v>1.8</v>
      </c>
      <c r="J17" s="190">
        <v>0.8</v>
      </c>
      <c r="K17" s="190">
        <v>0.75</v>
      </c>
      <c r="L17" s="14">
        <v>0.82</v>
      </c>
    </row>
    <row r="18" spans="1:12" x14ac:dyDescent="0.15">
      <c r="A18" s="9" t="s">
        <v>137</v>
      </c>
      <c r="B18" s="9" t="s">
        <v>1858</v>
      </c>
      <c r="C18" s="9" t="s">
        <v>1761</v>
      </c>
      <c r="D18" s="25" t="s">
        <v>426</v>
      </c>
      <c r="E18" s="10">
        <f t="shared" si="0"/>
        <v>611</v>
      </c>
      <c r="F18" s="20">
        <v>680</v>
      </c>
      <c r="G18" s="24"/>
      <c r="H18" s="24"/>
      <c r="I18" s="195"/>
      <c r="J18" s="190"/>
      <c r="K18" s="190"/>
      <c r="L18" s="14"/>
    </row>
    <row r="19" spans="1:12" x14ac:dyDescent="0.15">
      <c r="A19" s="9" t="s">
        <v>137</v>
      </c>
      <c r="B19" s="9" t="s">
        <v>1858</v>
      </c>
      <c r="C19" s="9" t="s">
        <v>1761</v>
      </c>
      <c r="D19" s="25" t="s">
        <v>427</v>
      </c>
      <c r="E19" s="10">
        <f t="shared" si="0"/>
        <v>681</v>
      </c>
      <c r="F19" s="20">
        <v>750</v>
      </c>
      <c r="I19" s="190"/>
      <c r="J19" s="190"/>
      <c r="K19" s="190"/>
      <c r="L19" s="14"/>
    </row>
    <row r="20" spans="1:12" s="32" customFormat="1" x14ac:dyDescent="0.15">
      <c r="A20" s="32" t="s">
        <v>137</v>
      </c>
      <c r="B20" s="32" t="s">
        <v>1859</v>
      </c>
      <c r="C20" s="32" t="s">
        <v>1761</v>
      </c>
      <c r="D20" s="77" t="s">
        <v>429</v>
      </c>
      <c r="E20" s="11">
        <f t="shared" si="0"/>
        <v>751</v>
      </c>
      <c r="F20" s="19">
        <v>780</v>
      </c>
      <c r="G20" s="14">
        <v>2</v>
      </c>
      <c r="H20" s="14">
        <v>0.35</v>
      </c>
      <c r="I20" s="190">
        <v>2</v>
      </c>
      <c r="J20" s="190">
        <v>1</v>
      </c>
      <c r="K20" s="190">
        <v>0.8</v>
      </c>
      <c r="L20" s="14">
        <v>0.92</v>
      </c>
    </row>
    <row r="21" spans="1:12" x14ac:dyDescent="0.15">
      <c r="A21" s="9" t="s">
        <v>137</v>
      </c>
      <c r="B21" s="9" t="s">
        <v>1859</v>
      </c>
      <c r="C21" s="9" t="s">
        <v>1761</v>
      </c>
      <c r="D21" s="25" t="s">
        <v>430</v>
      </c>
      <c r="E21" s="10">
        <f t="shared" si="0"/>
        <v>781</v>
      </c>
      <c r="F21" s="20">
        <v>810</v>
      </c>
      <c r="G21" s="24"/>
      <c r="H21" s="24"/>
      <c r="I21" s="195"/>
      <c r="J21" s="190"/>
      <c r="K21" s="190"/>
      <c r="L21" s="14"/>
    </row>
    <row r="22" spans="1:12" x14ac:dyDescent="0.15">
      <c r="A22" s="9" t="s">
        <v>137</v>
      </c>
      <c r="B22" s="9" t="s">
        <v>1859</v>
      </c>
      <c r="C22" s="9" t="s">
        <v>1761</v>
      </c>
      <c r="D22" s="25" t="s">
        <v>431</v>
      </c>
      <c r="E22" s="10">
        <f t="shared" si="0"/>
        <v>811</v>
      </c>
      <c r="F22" s="20">
        <v>835</v>
      </c>
      <c r="I22" s="190"/>
      <c r="J22" s="190"/>
      <c r="K22" s="190"/>
      <c r="L22" s="14"/>
    </row>
    <row r="23" spans="1:12" x14ac:dyDescent="0.15">
      <c r="A23" s="9" t="s">
        <v>137</v>
      </c>
      <c r="B23" s="9" t="s">
        <v>1859</v>
      </c>
      <c r="C23" s="9" t="s">
        <v>1761</v>
      </c>
      <c r="D23" s="25" t="s">
        <v>432</v>
      </c>
      <c r="E23" s="10">
        <f t="shared" si="0"/>
        <v>836</v>
      </c>
      <c r="F23" s="20">
        <v>860</v>
      </c>
      <c r="I23" s="190"/>
      <c r="J23" s="190"/>
      <c r="K23" s="190"/>
      <c r="L23" s="14"/>
    </row>
    <row r="24" spans="1:12" x14ac:dyDescent="0.15">
      <c r="A24" s="9" t="s">
        <v>137</v>
      </c>
      <c r="B24" s="9" t="s">
        <v>1859</v>
      </c>
      <c r="C24" s="9" t="s">
        <v>1761</v>
      </c>
      <c r="D24" s="25" t="s">
        <v>433</v>
      </c>
      <c r="E24" s="10">
        <f t="shared" si="0"/>
        <v>861</v>
      </c>
      <c r="F24" s="20">
        <v>885</v>
      </c>
      <c r="I24" s="190"/>
      <c r="J24" s="190"/>
      <c r="K24" s="190"/>
      <c r="L24" s="14"/>
    </row>
    <row r="25" spans="1:12" x14ac:dyDescent="0.15">
      <c r="A25" s="9" t="s">
        <v>137</v>
      </c>
      <c r="B25" s="9" t="s">
        <v>1859</v>
      </c>
      <c r="C25" s="9" t="s">
        <v>1761</v>
      </c>
      <c r="D25" s="194" t="s">
        <v>434</v>
      </c>
      <c r="E25" s="10">
        <f t="shared" si="0"/>
        <v>886</v>
      </c>
      <c r="F25" s="37">
        <v>915</v>
      </c>
      <c r="I25" s="190"/>
      <c r="J25" s="190"/>
      <c r="K25" s="190"/>
      <c r="L25" s="14"/>
    </row>
    <row r="26" spans="1:12" x14ac:dyDescent="0.15">
      <c r="A26" s="9" t="s">
        <v>137</v>
      </c>
      <c r="B26" s="9" t="s">
        <v>1859</v>
      </c>
      <c r="C26" s="9" t="s">
        <v>1761</v>
      </c>
      <c r="D26" s="25" t="s">
        <v>435</v>
      </c>
      <c r="E26" s="10">
        <f t="shared" si="0"/>
        <v>916</v>
      </c>
      <c r="F26" s="20">
        <v>935</v>
      </c>
      <c r="I26" s="190"/>
      <c r="J26" s="190"/>
      <c r="K26" s="190"/>
      <c r="L26" s="14"/>
    </row>
    <row r="27" spans="1:12" x14ac:dyDescent="0.15">
      <c r="A27" s="9" t="s">
        <v>137</v>
      </c>
      <c r="B27" s="9" t="s">
        <v>1859</v>
      </c>
      <c r="C27" s="9" t="s">
        <v>1761</v>
      </c>
      <c r="D27" s="25" t="s">
        <v>436</v>
      </c>
      <c r="E27" s="10">
        <f t="shared" si="0"/>
        <v>936</v>
      </c>
      <c r="F27" s="20">
        <v>950</v>
      </c>
      <c r="I27" s="190"/>
      <c r="J27" s="190"/>
      <c r="K27" s="190"/>
      <c r="L27" s="14"/>
    </row>
    <row r="28" spans="1:12" s="32" customFormat="1" x14ac:dyDescent="0.15">
      <c r="A28" s="32" t="s">
        <v>137</v>
      </c>
      <c r="B28" s="32" t="s">
        <v>1886</v>
      </c>
      <c r="C28" s="32" t="s">
        <v>1761</v>
      </c>
      <c r="D28" s="77" t="s">
        <v>437</v>
      </c>
      <c r="E28" s="11">
        <f t="shared" si="0"/>
        <v>951</v>
      </c>
      <c r="F28" s="19">
        <v>1005</v>
      </c>
      <c r="G28" s="14">
        <v>1.8</v>
      </c>
      <c r="H28" s="14">
        <v>0.3</v>
      </c>
      <c r="I28" s="190">
        <v>1.8</v>
      </c>
      <c r="J28" s="190">
        <v>1.1000000000000001</v>
      </c>
      <c r="K28" s="190">
        <v>0.8</v>
      </c>
      <c r="L28" s="14">
        <v>0.7</v>
      </c>
    </row>
    <row r="29" spans="1:12" x14ac:dyDescent="0.15">
      <c r="A29" s="9" t="s">
        <v>137</v>
      </c>
      <c r="B29" s="9" t="s">
        <v>1886</v>
      </c>
      <c r="C29" s="9" t="s">
        <v>1761</v>
      </c>
      <c r="D29" s="25" t="s">
        <v>438</v>
      </c>
      <c r="E29" s="10">
        <f t="shared" si="0"/>
        <v>1006</v>
      </c>
      <c r="F29" s="20">
        <v>1045</v>
      </c>
      <c r="G29" s="24"/>
      <c r="H29" s="24"/>
      <c r="I29" s="195"/>
      <c r="J29" s="190"/>
      <c r="K29" s="190"/>
      <c r="L29" s="14"/>
    </row>
    <row r="30" spans="1:12" x14ac:dyDescent="0.15">
      <c r="A30" s="9" t="s">
        <v>137</v>
      </c>
      <c r="B30" s="9" t="s">
        <v>1886</v>
      </c>
      <c r="C30" s="9" t="s">
        <v>1761</v>
      </c>
      <c r="D30" s="25" t="s">
        <v>439</v>
      </c>
      <c r="E30" s="10">
        <f t="shared" si="0"/>
        <v>1046</v>
      </c>
      <c r="F30" s="20">
        <v>1085</v>
      </c>
      <c r="I30" s="190"/>
      <c r="J30" s="190"/>
      <c r="K30" s="190"/>
      <c r="L30" s="14"/>
    </row>
    <row r="31" spans="1:12" x14ac:dyDescent="0.15">
      <c r="A31" s="9" t="s">
        <v>137</v>
      </c>
      <c r="B31" s="9" t="s">
        <v>1886</v>
      </c>
      <c r="C31" s="9" t="s">
        <v>1761</v>
      </c>
      <c r="D31" s="25" t="s">
        <v>440</v>
      </c>
      <c r="E31" s="10">
        <f t="shared" si="0"/>
        <v>1086</v>
      </c>
      <c r="F31" s="20">
        <v>1125</v>
      </c>
      <c r="I31" s="190"/>
      <c r="J31" s="190"/>
      <c r="K31" s="190"/>
      <c r="L31" s="14"/>
    </row>
    <row r="32" spans="1:12" x14ac:dyDescent="0.15">
      <c r="A32" s="9" t="s">
        <v>137</v>
      </c>
      <c r="B32" s="9" t="s">
        <v>1886</v>
      </c>
      <c r="C32" s="9" t="s">
        <v>1761</v>
      </c>
      <c r="D32" s="25" t="s">
        <v>441</v>
      </c>
      <c r="E32" s="10">
        <f t="shared" si="0"/>
        <v>1126</v>
      </c>
      <c r="F32" s="20">
        <v>1165</v>
      </c>
      <c r="I32" s="190"/>
      <c r="J32" s="190"/>
      <c r="K32" s="190"/>
      <c r="L32" s="14"/>
    </row>
    <row r="33" spans="1:12" x14ac:dyDescent="0.15">
      <c r="A33" s="9" t="s">
        <v>137</v>
      </c>
      <c r="B33" s="9" t="s">
        <v>1886</v>
      </c>
      <c r="C33" s="9" t="s">
        <v>1761</v>
      </c>
      <c r="D33" s="25" t="s">
        <v>442</v>
      </c>
      <c r="E33" s="10">
        <f t="shared" si="0"/>
        <v>1166</v>
      </c>
      <c r="F33" s="20">
        <v>1195</v>
      </c>
      <c r="I33" s="190"/>
      <c r="J33" s="190"/>
      <c r="K33" s="190"/>
      <c r="L33" s="14"/>
    </row>
    <row r="34" spans="1:12" x14ac:dyDescent="0.15">
      <c r="A34" s="9" t="s">
        <v>137</v>
      </c>
      <c r="B34" s="9" t="s">
        <v>1886</v>
      </c>
      <c r="C34" s="9" t="s">
        <v>1761</v>
      </c>
      <c r="D34" s="25" t="s">
        <v>443</v>
      </c>
      <c r="E34" s="10">
        <f t="shared" si="0"/>
        <v>1196</v>
      </c>
      <c r="F34" s="20">
        <v>1215</v>
      </c>
      <c r="I34" s="190"/>
      <c r="J34" s="190"/>
      <c r="K34" s="190"/>
      <c r="L34" s="14"/>
    </row>
    <row r="35" spans="1:12" x14ac:dyDescent="0.15">
      <c r="A35" s="9" t="s">
        <v>137</v>
      </c>
      <c r="B35" s="9" t="s">
        <v>1886</v>
      </c>
      <c r="C35" s="9" t="s">
        <v>1761</v>
      </c>
      <c r="D35" s="25" t="s">
        <v>444</v>
      </c>
      <c r="E35" s="10">
        <f t="shared" si="0"/>
        <v>1216</v>
      </c>
      <c r="F35" s="20">
        <v>1235</v>
      </c>
      <c r="I35" s="190"/>
      <c r="J35" s="190"/>
      <c r="K35" s="190"/>
      <c r="L35" s="14"/>
    </row>
    <row r="36" spans="1:12" x14ac:dyDescent="0.15">
      <c r="A36" s="9" t="s">
        <v>137</v>
      </c>
      <c r="B36" s="9" t="s">
        <v>1886</v>
      </c>
      <c r="C36" s="9" t="s">
        <v>1761</v>
      </c>
      <c r="D36" s="25" t="s">
        <v>445</v>
      </c>
      <c r="E36" s="10">
        <f t="shared" si="0"/>
        <v>1236</v>
      </c>
      <c r="F36" s="20">
        <v>1250</v>
      </c>
      <c r="I36" s="190"/>
      <c r="J36" s="190"/>
      <c r="K36" s="190"/>
      <c r="L36" s="14"/>
    </row>
    <row r="37" spans="1:12" s="32" customFormat="1" x14ac:dyDescent="0.15">
      <c r="A37" s="32" t="s">
        <v>137</v>
      </c>
      <c r="B37" s="32" t="s">
        <v>1904</v>
      </c>
      <c r="C37" s="32" t="s">
        <v>1762</v>
      </c>
      <c r="D37" s="77" t="s">
        <v>446</v>
      </c>
      <c r="E37" s="11">
        <f t="shared" si="0"/>
        <v>1251</v>
      </c>
      <c r="F37" s="19">
        <v>1310</v>
      </c>
      <c r="G37" s="14">
        <v>0.6</v>
      </c>
      <c r="H37" s="14">
        <v>0.1</v>
      </c>
      <c r="I37" s="190">
        <v>0.8</v>
      </c>
      <c r="J37" s="190">
        <v>0.7</v>
      </c>
      <c r="K37" s="190">
        <v>0.7</v>
      </c>
      <c r="L37" s="14">
        <v>0.38</v>
      </c>
    </row>
    <row r="38" spans="1:12" x14ac:dyDescent="0.15">
      <c r="A38" s="9" t="s">
        <v>137</v>
      </c>
      <c r="B38" s="9" t="s">
        <v>1904</v>
      </c>
      <c r="C38" s="9" t="s">
        <v>1762</v>
      </c>
      <c r="D38" s="25" t="s">
        <v>447</v>
      </c>
      <c r="E38" s="10">
        <f t="shared" si="0"/>
        <v>1311</v>
      </c>
      <c r="F38" s="20">
        <v>1350</v>
      </c>
      <c r="G38" s="24"/>
      <c r="H38" s="24"/>
      <c r="I38" s="195"/>
      <c r="J38" s="190"/>
      <c r="K38" s="190"/>
      <c r="L38" s="14"/>
    </row>
    <row r="39" spans="1:12" x14ac:dyDescent="0.15">
      <c r="A39" s="9" t="s">
        <v>137</v>
      </c>
      <c r="B39" s="9" t="s">
        <v>1904</v>
      </c>
      <c r="C39" s="9" t="s">
        <v>1762</v>
      </c>
      <c r="D39" s="25" t="s">
        <v>448</v>
      </c>
      <c r="E39" s="10">
        <f t="shared" si="0"/>
        <v>1351</v>
      </c>
      <c r="F39" s="20">
        <v>1380</v>
      </c>
      <c r="I39" s="190"/>
      <c r="J39" s="190"/>
      <c r="K39" s="190"/>
      <c r="L39" s="14"/>
    </row>
    <row r="40" spans="1:12" x14ac:dyDescent="0.15">
      <c r="A40" s="9" t="s">
        <v>137</v>
      </c>
      <c r="B40" s="9" t="s">
        <v>1904</v>
      </c>
      <c r="C40" s="9" t="s">
        <v>1762</v>
      </c>
      <c r="D40" s="25" t="s">
        <v>449</v>
      </c>
      <c r="E40" s="10">
        <f t="shared" si="0"/>
        <v>1381</v>
      </c>
      <c r="F40" s="20">
        <v>1410</v>
      </c>
      <c r="I40" s="190"/>
      <c r="J40" s="190"/>
      <c r="K40" s="190"/>
      <c r="L40" s="14"/>
    </row>
    <row r="41" spans="1:12" x14ac:dyDescent="0.15">
      <c r="A41" s="9" t="s">
        <v>137</v>
      </c>
      <c r="B41" s="9" t="s">
        <v>1904</v>
      </c>
      <c r="C41" s="9" t="s">
        <v>1762</v>
      </c>
      <c r="D41" s="25" t="s">
        <v>450</v>
      </c>
      <c r="E41" s="10">
        <f t="shared" si="0"/>
        <v>1411</v>
      </c>
      <c r="F41" s="20">
        <v>1435</v>
      </c>
      <c r="I41" s="190"/>
      <c r="J41" s="190"/>
      <c r="K41" s="190"/>
      <c r="L41" s="14"/>
    </row>
    <row r="42" spans="1:12" x14ac:dyDescent="0.15">
      <c r="A42" s="9" t="s">
        <v>137</v>
      </c>
      <c r="B42" s="9" t="s">
        <v>1904</v>
      </c>
      <c r="C42" s="9" t="s">
        <v>1762</v>
      </c>
      <c r="D42" s="25" t="s">
        <v>451</v>
      </c>
      <c r="E42" s="10">
        <f t="shared" si="0"/>
        <v>1436</v>
      </c>
      <c r="F42" s="20">
        <v>1460</v>
      </c>
      <c r="I42" s="190"/>
      <c r="J42" s="190"/>
      <c r="K42" s="190"/>
      <c r="L42" s="14"/>
    </row>
    <row r="43" spans="1:12" x14ac:dyDescent="0.15">
      <c r="A43" s="9" t="s">
        <v>137</v>
      </c>
      <c r="B43" s="9" t="s">
        <v>1904</v>
      </c>
      <c r="C43" s="9" t="s">
        <v>1762</v>
      </c>
      <c r="D43" s="25" t="s">
        <v>452</v>
      </c>
      <c r="E43" s="10">
        <f t="shared" si="0"/>
        <v>1461</v>
      </c>
      <c r="F43" s="20">
        <v>1480</v>
      </c>
      <c r="I43" s="190"/>
      <c r="J43" s="190"/>
      <c r="K43" s="190"/>
      <c r="L43" s="14"/>
    </row>
    <row r="44" spans="1:12" x14ac:dyDescent="0.15">
      <c r="A44" s="9" t="s">
        <v>137</v>
      </c>
      <c r="B44" s="9" t="s">
        <v>1904</v>
      </c>
      <c r="C44" s="9" t="s">
        <v>1762</v>
      </c>
      <c r="D44" s="25" t="s">
        <v>453</v>
      </c>
      <c r="E44" s="10">
        <f t="shared" si="0"/>
        <v>1481</v>
      </c>
      <c r="F44" s="20">
        <v>1490</v>
      </c>
      <c r="I44" s="190"/>
      <c r="J44" s="190"/>
      <c r="K44" s="190"/>
      <c r="L44" s="14"/>
    </row>
    <row r="45" spans="1:12" x14ac:dyDescent="0.15">
      <c r="A45" s="9" t="s">
        <v>137</v>
      </c>
      <c r="B45" s="9" t="s">
        <v>1904</v>
      </c>
      <c r="C45" s="9" t="s">
        <v>1762</v>
      </c>
      <c r="D45" s="25" t="s">
        <v>454</v>
      </c>
      <c r="E45" s="10">
        <f t="shared" si="0"/>
        <v>1491</v>
      </c>
      <c r="F45" s="20">
        <v>1500</v>
      </c>
      <c r="I45" s="190"/>
      <c r="J45" s="190"/>
      <c r="K45" s="190"/>
      <c r="L45" s="14"/>
    </row>
    <row r="46" spans="1:12" s="32" customFormat="1" x14ac:dyDescent="0.15">
      <c r="A46" s="32" t="s">
        <v>137</v>
      </c>
      <c r="B46" s="32" t="s">
        <v>1903</v>
      </c>
      <c r="C46" s="32" t="s">
        <v>1903</v>
      </c>
      <c r="D46" s="77" t="s">
        <v>455</v>
      </c>
      <c r="E46" s="11">
        <f t="shared" si="0"/>
        <v>1501</v>
      </c>
      <c r="F46" s="19">
        <v>1560</v>
      </c>
      <c r="G46" s="14">
        <v>0.2</v>
      </c>
      <c r="H46" s="14">
        <v>0.05</v>
      </c>
      <c r="I46" s="190">
        <v>0.3</v>
      </c>
      <c r="J46" s="190">
        <v>0.3</v>
      </c>
      <c r="K46" s="190">
        <v>0.6</v>
      </c>
      <c r="L46" s="14">
        <v>0.18</v>
      </c>
    </row>
    <row r="47" spans="1:12" x14ac:dyDescent="0.15">
      <c r="A47" s="9" t="s">
        <v>137</v>
      </c>
      <c r="B47" s="9" t="s">
        <v>1903</v>
      </c>
      <c r="C47" s="9" t="s">
        <v>1903</v>
      </c>
      <c r="D47" s="25" t="s">
        <v>456</v>
      </c>
      <c r="E47" s="10">
        <f t="shared" si="0"/>
        <v>1561</v>
      </c>
      <c r="F47" s="20">
        <v>1600</v>
      </c>
      <c r="I47" s="190"/>
      <c r="J47" s="190"/>
      <c r="K47" s="190"/>
      <c r="L47" s="14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3752-DFF0-4574-9EB8-6319D703A3D8}">
  <sheetPr>
    <tabColor rgb="FFFFFF00"/>
  </sheetPr>
  <dimension ref="A1:L55"/>
  <sheetViews>
    <sheetView workbookViewId="0">
      <selection activeCell="L53" sqref="L53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48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144</v>
      </c>
      <c r="B2" s="32" t="s">
        <v>1759</v>
      </c>
      <c r="C2" s="32" t="s">
        <v>1759</v>
      </c>
      <c r="D2" s="229" t="s">
        <v>850</v>
      </c>
      <c r="E2" s="11">
        <v>0</v>
      </c>
      <c r="F2" s="19">
        <v>1</v>
      </c>
      <c r="G2" s="14">
        <v>0.1</v>
      </c>
      <c r="H2" s="14">
        <v>0.02</v>
      </c>
      <c r="I2" s="190">
        <v>0.1</v>
      </c>
      <c r="J2" s="190">
        <v>0.15</v>
      </c>
      <c r="K2" s="190">
        <v>0.3</v>
      </c>
      <c r="L2" s="14">
        <v>0.8</v>
      </c>
    </row>
    <row r="3" spans="1:12" x14ac:dyDescent="0.15">
      <c r="A3" s="9" t="s">
        <v>144</v>
      </c>
      <c r="B3" s="9" t="s">
        <v>1759</v>
      </c>
      <c r="C3" s="9" t="s">
        <v>1759</v>
      </c>
      <c r="D3" s="230" t="s">
        <v>851</v>
      </c>
      <c r="E3" s="10">
        <f>F2+1</f>
        <v>2</v>
      </c>
      <c r="F3" s="20">
        <v>10</v>
      </c>
      <c r="G3" s="24"/>
      <c r="H3" s="24"/>
      <c r="I3" s="195"/>
      <c r="J3" s="190"/>
      <c r="K3" s="190"/>
      <c r="L3" s="14"/>
    </row>
    <row r="4" spans="1:12" x14ac:dyDescent="0.15">
      <c r="A4" s="9" t="s">
        <v>144</v>
      </c>
      <c r="B4" s="9" t="s">
        <v>1759</v>
      </c>
      <c r="C4" s="9" t="s">
        <v>1759</v>
      </c>
      <c r="D4" s="230" t="s">
        <v>852</v>
      </c>
      <c r="E4" s="10">
        <f t="shared" ref="E4:E55" si="0">F3+1</f>
        <v>11</v>
      </c>
      <c r="F4" s="20">
        <v>30</v>
      </c>
      <c r="I4" s="190"/>
      <c r="J4" s="190"/>
      <c r="K4" s="190"/>
      <c r="L4" s="14"/>
    </row>
    <row r="5" spans="1:12" x14ac:dyDescent="0.15">
      <c r="A5" s="9" t="s">
        <v>144</v>
      </c>
      <c r="B5" s="9" t="s">
        <v>1759</v>
      </c>
      <c r="C5" s="9" t="s">
        <v>1759</v>
      </c>
      <c r="D5" s="230" t="s">
        <v>853</v>
      </c>
      <c r="E5" s="10">
        <f t="shared" si="0"/>
        <v>31</v>
      </c>
      <c r="F5" s="20">
        <v>50</v>
      </c>
      <c r="I5" s="190"/>
      <c r="J5" s="190"/>
      <c r="K5" s="190"/>
      <c r="L5" s="14"/>
    </row>
    <row r="6" spans="1:12" x14ac:dyDescent="0.15">
      <c r="A6" s="9" t="s">
        <v>144</v>
      </c>
      <c r="B6" s="9" t="s">
        <v>1759</v>
      </c>
      <c r="C6" s="9" t="s">
        <v>1759</v>
      </c>
      <c r="D6" s="230" t="s">
        <v>854</v>
      </c>
      <c r="E6" s="10">
        <f t="shared" si="0"/>
        <v>51</v>
      </c>
      <c r="F6" s="20">
        <v>70</v>
      </c>
      <c r="I6" s="190"/>
      <c r="J6" s="190"/>
      <c r="K6" s="190"/>
      <c r="L6" s="14"/>
    </row>
    <row r="7" spans="1:12" x14ac:dyDescent="0.15">
      <c r="A7" s="9" t="s">
        <v>144</v>
      </c>
      <c r="B7" s="9" t="s">
        <v>1759</v>
      </c>
      <c r="C7" s="9" t="s">
        <v>1759</v>
      </c>
      <c r="D7" s="230" t="s">
        <v>855</v>
      </c>
      <c r="E7" s="10">
        <f t="shared" si="0"/>
        <v>71</v>
      </c>
      <c r="F7" s="20">
        <v>80</v>
      </c>
      <c r="I7" s="190"/>
      <c r="J7" s="190"/>
      <c r="K7" s="190"/>
      <c r="L7" s="14"/>
    </row>
    <row r="8" spans="1:12" x14ac:dyDescent="0.15">
      <c r="A8" s="9" t="s">
        <v>144</v>
      </c>
      <c r="B8" s="9" t="s">
        <v>1759</v>
      </c>
      <c r="C8" s="9" t="s">
        <v>1759</v>
      </c>
      <c r="D8" s="230" t="s">
        <v>865</v>
      </c>
      <c r="E8" s="10">
        <f t="shared" si="0"/>
        <v>81</v>
      </c>
      <c r="F8" s="20">
        <v>90</v>
      </c>
      <c r="I8" s="190"/>
      <c r="J8" s="190"/>
      <c r="K8" s="190"/>
      <c r="L8" s="14"/>
    </row>
    <row r="9" spans="1:12" x14ac:dyDescent="0.15">
      <c r="A9" s="9" t="s">
        <v>144</v>
      </c>
      <c r="B9" s="9" t="s">
        <v>1759</v>
      </c>
      <c r="C9" s="9" t="s">
        <v>1759</v>
      </c>
      <c r="D9" s="230" t="s">
        <v>856</v>
      </c>
      <c r="E9" s="10">
        <f t="shared" si="0"/>
        <v>91</v>
      </c>
      <c r="F9" s="20">
        <v>100</v>
      </c>
      <c r="I9" s="190"/>
      <c r="J9" s="190"/>
      <c r="K9" s="190"/>
      <c r="L9" s="14"/>
    </row>
    <row r="10" spans="1:12" s="32" customFormat="1" x14ac:dyDescent="0.15">
      <c r="A10" s="32" t="s">
        <v>144</v>
      </c>
      <c r="B10" s="32" t="s">
        <v>1861</v>
      </c>
      <c r="C10" s="32" t="s">
        <v>1760</v>
      </c>
      <c r="D10" s="229" t="s">
        <v>857</v>
      </c>
      <c r="E10" s="11">
        <f t="shared" si="0"/>
        <v>101</v>
      </c>
      <c r="F10" s="19">
        <v>110</v>
      </c>
      <c r="G10" s="14">
        <v>1</v>
      </c>
      <c r="H10" s="14">
        <v>0.1</v>
      </c>
      <c r="I10" s="190">
        <v>0.8</v>
      </c>
      <c r="J10" s="190">
        <v>0.35</v>
      </c>
      <c r="K10" s="190">
        <v>0.45</v>
      </c>
      <c r="L10" s="14">
        <v>0.65</v>
      </c>
    </row>
    <row r="11" spans="1:12" x14ac:dyDescent="0.15">
      <c r="A11" s="9" t="s">
        <v>144</v>
      </c>
      <c r="B11" s="9" t="s">
        <v>1861</v>
      </c>
      <c r="C11" s="9" t="s">
        <v>1760</v>
      </c>
      <c r="D11" s="231" t="s">
        <v>858</v>
      </c>
      <c r="E11" s="10">
        <f t="shared" si="0"/>
        <v>111</v>
      </c>
      <c r="F11" s="37">
        <v>130</v>
      </c>
      <c r="G11" s="24"/>
      <c r="H11" s="24"/>
      <c r="I11" s="195"/>
      <c r="J11" s="190"/>
      <c r="K11" s="190"/>
      <c r="L11" s="14"/>
    </row>
    <row r="12" spans="1:12" x14ac:dyDescent="0.15">
      <c r="A12" s="9" t="s">
        <v>144</v>
      </c>
      <c r="B12" s="9" t="s">
        <v>1861</v>
      </c>
      <c r="C12" s="9" t="s">
        <v>1760</v>
      </c>
      <c r="D12" s="230" t="s">
        <v>536</v>
      </c>
      <c r="E12" s="10">
        <f t="shared" si="0"/>
        <v>131</v>
      </c>
      <c r="F12" s="20">
        <v>160</v>
      </c>
      <c r="I12" s="190"/>
      <c r="J12" s="190"/>
      <c r="K12" s="190"/>
      <c r="L12" s="14"/>
    </row>
    <row r="13" spans="1:12" x14ac:dyDescent="0.15">
      <c r="A13" s="9" t="s">
        <v>144</v>
      </c>
      <c r="B13" s="9" t="s">
        <v>1861</v>
      </c>
      <c r="C13" s="9" t="s">
        <v>1760</v>
      </c>
      <c r="D13" s="230" t="s">
        <v>537</v>
      </c>
      <c r="E13" s="10">
        <f t="shared" si="0"/>
        <v>161</v>
      </c>
      <c r="F13" s="20">
        <v>190</v>
      </c>
      <c r="I13" s="190"/>
      <c r="J13" s="190"/>
      <c r="K13" s="190"/>
      <c r="L13" s="14"/>
    </row>
    <row r="14" spans="1:12" x14ac:dyDescent="0.15">
      <c r="A14" s="9" t="s">
        <v>144</v>
      </c>
      <c r="B14" s="9" t="s">
        <v>1861</v>
      </c>
      <c r="C14" s="9" t="s">
        <v>1760</v>
      </c>
      <c r="D14" s="230" t="s">
        <v>866</v>
      </c>
      <c r="E14" s="10">
        <f t="shared" si="0"/>
        <v>191</v>
      </c>
      <c r="F14" s="20">
        <v>220</v>
      </c>
      <c r="I14" s="190"/>
      <c r="J14" s="190"/>
      <c r="K14" s="190"/>
      <c r="L14" s="14"/>
    </row>
    <row r="15" spans="1:12" x14ac:dyDescent="0.15">
      <c r="A15" s="9" t="s">
        <v>144</v>
      </c>
      <c r="B15" s="9" t="s">
        <v>1861</v>
      </c>
      <c r="C15" s="9" t="s">
        <v>1760</v>
      </c>
      <c r="D15" s="230" t="s">
        <v>867</v>
      </c>
      <c r="E15" s="10">
        <f t="shared" si="0"/>
        <v>221</v>
      </c>
      <c r="F15" s="20">
        <v>250</v>
      </c>
      <c r="I15" s="190"/>
      <c r="J15" s="190"/>
      <c r="K15" s="190"/>
      <c r="L15" s="14"/>
    </row>
    <row r="16" spans="1:12" x14ac:dyDescent="0.15">
      <c r="A16" s="9" t="s">
        <v>144</v>
      </c>
      <c r="B16" s="9" t="s">
        <v>1861</v>
      </c>
      <c r="C16" s="9" t="s">
        <v>1760</v>
      </c>
      <c r="D16" s="230" t="s">
        <v>868</v>
      </c>
      <c r="E16" s="10">
        <f t="shared" si="0"/>
        <v>251</v>
      </c>
      <c r="F16" s="20">
        <v>280</v>
      </c>
      <c r="I16" s="190"/>
      <c r="J16" s="190"/>
      <c r="K16" s="190"/>
      <c r="L16" s="14"/>
    </row>
    <row r="17" spans="1:12" x14ac:dyDescent="0.15">
      <c r="A17" s="9" t="s">
        <v>144</v>
      </c>
      <c r="B17" s="9" t="s">
        <v>1861</v>
      </c>
      <c r="C17" s="9" t="s">
        <v>1760</v>
      </c>
      <c r="D17" s="230" t="s">
        <v>869</v>
      </c>
      <c r="E17" s="10">
        <f t="shared" si="0"/>
        <v>281</v>
      </c>
      <c r="F17" s="20">
        <v>310</v>
      </c>
      <c r="I17" s="190"/>
      <c r="J17" s="190"/>
      <c r="K17" s="190"/>
      <c r="L17" s="14"/>
    </row>
    <row r="18" spans="1:12" x14ac:dyDescent="0.15">
      <c r="A18" s="9" t="s">
        <v>144</v>
      </c>
      <c r="B18" s="9" t="s">
        <v>1861</v>
      </c>
      <c r="C18" s="9" t="s">
        <v>1760</v>
      </c>
      <c r="D18" s="230" t="s">
        <v>870</v>
      </c>
      <c r="E18" s="10">
        <f t="shared" si="0"/>
        <v>311</v>
      </c>
      <c r="F18" s="20">
        <v>340</v>
      </c>
      <c r="I18" s="190"/>
      <c r="J18" s="190"/>
      <c r="K18" s="190"/>
      <c r="L18" s="14"/>
    </row>
    <row r="19" spans="1:12" x14ac:dyDescent="0.15">
      <c r="A19" s="9" t="s">
        <v>144</v>
      </c>
      <c r="B19" s="9" t="s">
        <v>1861</v>
      </c>
      <c r="C19" s="9" t="s">
        <v>1760</v>
      </c>
      <c r="D19" s="230" t="s">
        <v>538</v>
      </c>
      <c r="E19" s="10">
        <f t="shared" si="0"/>
        <v>341</v>
      </c>
      <c r="F19" s="20">
        <v>400</v>
      </c>
      <c r="I19" s="190"/>
      <c r="J19" s="190"/>
      <c r="K19" s="190"/>
      <c r="L19" s="14"/>
    </row>
    <row r="20" spans="1:12" s="32" customFormat="1" x14ac:dyDescent="0.15">
      <c r="A20" s="32" t="s">
        <v>144</v>
      </c>
      <c r="B20" s="32" t="s">
        <v>1850</v>
      </c>
      <c r="C20" s="32" t="s">
        <v>1760</v>
      </c>
      <c r="D20" s="77" t="s">
        <v>512</v>
      </c>
      <c r="E20" s="11">
        <f t="shared" si="0"/>
        <v>401</v>
      </c>
      <c r="F20" s="19">
        <v>430</v>
      </c>
      <c r="G20" s="14">
        <v>3</v>
      </c>
      <c r="H20" s="14">
        <v>0.3</v>
      </c>
      <c r="I20" s="190">
        <v>2</v>
      </c>
      <c r="J20" s="190">
        <v>1.05</v>
      </c>
      <c r="K20" s="190">
        <v>0.6</v>
      </c>
      <c r="L20" s="14">
        <v>0.7</v>
      </c>
    </row>
    <row r="21" spans="1:12" x14ac:dyDescent="0.15">
      <c r="A21" s="9" t="s">
        <v>144</v>
      </c>
      <c r="B21" s="9" t="s">
        <v>1850</v>
      </c>
      <c r="C21" s="9" t="s">
        <v>1760</v>
      </c>
      <c r="D21" s="230" t="s">
        <v>872</v>
      </c>
      <c r="E21" s="10">
        <f t="shared" si="0"/>
        <v>431</v>
      </c>
      <c r="F21" s="20">
        <v>470</v>
      </c>
      <c r="G21" s="24"/>
      <c r="H21" s="24"/>
      <c r="I21" s="195"/>
      <c r="J21" s="190"/>
      <c r="K21" s="190"/>
      <c r="L21" s="14"/>
    </row>
    <row r="22" spans="1:12" x14ac:dyDescent="0.15">
      <c r="A22" s="9" t="s">
        <v>144</v>
      </c>
      <c r="B22" s="9" t="s">
        <v>1850</v>
      </c>
      <c r="C22" s="9" t="s">
        <v>1760</v>
      </c>
      <c r="D22" s="230" t="s">
        <v>873</v>
      </c>
      <c r="E22" s="10">
        <f t="shared" si="0"/>
        <v>471</v>
      </c>
      <c r="F22" s="20">
        <v>510</v>
      </c>
      <c r="I22" s="190"/>
      <c r="J22" s="190"/>
      <c r="K22" s="190"/>
      <c r="L22" s="14"/>
    </row>
    <row r="23" spans="1:12" x14ac:dyDescent="0.15">
      <c r="A23" s="9" t="s">
        <v>144</v>
      </c>
      <c r="B23" s="9" t="s">
        <v>1850</v>
      </c>
      <c r="C23" s="9" t="s">
        <v>1760</v>
      </c>
      <c r="D23" s="230" t="s">
        <v>874</v>
      </c>
      <c r="E23" s="10">
        <f t="shared" si="0"/>
        <v>511</v>
      </c>
      <c r="F23" s="20">
        <v>550</v>
      </c>
      <c r="I23" s="190"/>
      <c r="J23" s="190"/>
      <c r="K23" s="190"/>
      <c r="L23" s="14"/>
    </row>
    <row r="24" spans="1:12" x14ac:dyDescent="0.15">
      <c r="A24" s="9" t="s">
        <v>144</v>
      </c>
      <c r="B24" s="9" t="s">
        <v>1850</v>
      </c>
      <c r="C24" s="9" t="s">
        <v>1760</v>
      </c>
      <c r="D24" s="230" t="s">
        <v>875</v>
      </c>
      <c r="E24" s="10">
        <f t="shared" si="0"/>
        <v>551</v>
      </c>
      <c r="F24" s="20">
        <v>590</v>
      </c>
      <c r="I24" s="190"/>
      <c r="J24" s="190"/>
      <c r="K24" s="190"/>
      <c r="L24" s="14"/>
    </row>
    <row r="25" spans="1:12" x14ac:dyDescent="0.15">
      <c r="A25" s="9" t="s">
        <v>144</v>
      </c>
      <c r="B25" s="9" t="s">
        <v>1850</v>
      </c>
      <c r="C25" s="9" t="s">
        <v>1760</v>
      </c>
      <c r="D25" s="230" t="s">
        <v>871</v>
      </c>
      <c r="E25" s="10">
        <f t="shared" si="0"/>
        <v>591</v>
      </c>
      <c r="F25" s="20">
        <v>630</v>
      </c>
      <c r="I25" s="190"/>
      <c r="J25" s="190"/>
      <c r="K25" s="190"/>
      <c r="L25" s="14"/>
    </row>
    <row r="26" spans="1:12" x14ac:dyDescent="0.15">
      <c r="A26" s="9" t="s">
        <v>144</v>
      </c>
      <c r="B26" s="9" t="s">
        <v>1850</v>
      </c>
      <c r="C26" s="9" t="s">
        <v>1760</v>
      </c>
      <c r="D26" s="230" t="s">
        <v>876</v>
      </c>
      <c r="E26" s="10">
        <f t="shared" si="0"/>
        <v>631</v>
      </c>
      <c r="F26" s="20">
        <v>670</v>
      </c>
      <c r="I26" s="190"/>
      <c r="J26" s="190"/>
      <c r="K26" s="190"/>
      <c r="L26" s="14"/>
    </row>
    <row r="27" spans="1:12" x14ac:dyDescent="0.15">
      <c r="A27" s="9" t="s">
        <v>144</v>
      </c>
      <c r="B27" s="9" t="s">
        <v>1850</v>
      </c>
      <c r="C27" s="9" t="s">
        <v>1760</v>
      </c>
      <c r="D27" s="230" t="s">
        <v>877</v>
      </c>
      <c r="E27" s="10">
        <f t="shared" si="0"/>
        <v>671</v>
      </c>
      <c r="F27" s="20">
        <v>730</v>
      </c>
      <c r="I27" s="190"/>
      <c r="J27" s="190"/>
      <c r="K27" s="190"/>
      <c r="L27" s="14"/>
    </row>
    <row r="28" spans="1:12" x14ac:dyDescent="0.15">
      <c r="A28" s="9" t="s">
        <v>144</v>
      </c>
      <c r="B28" s="9" t="s">
        <v>1850</v>
      </c>
      <c r="C28" s="9" t="s">
        <v>1760</v>
      </c>
      <c r="D28" s="230" t="s">
        <v>878</v>
      </c>
      <c r="E28" s="10">
        <f t="shared" si="0"/>
        <v>731</v>
      </c>
      <c r="F28" s="20">
        <v>780</v>
      </c>
      <c r="I28" s="190"/>
      <c r="J28" s="190"/>
      <c r="K28" s="190"/>
      <c r="L28" s="14"/>
    </row>
    <row r="29" spans="1:12" x14ac:dyDescent="0.15">
      <c r="A29" s="9" t="s">
        <v>144</v>
      </c>
      <c r="B29" s="9" t="s">
        <v>1850</v>
      </c>
      <c r="C29" s="9" t="s">
        <v>1760</v>
      </c>
      <c r="D29" s="231" t="s">
        <v>859</v>
      </c>
      <c r="E29" s="10">
        <f t="shared" si="0"/>
        <v>781</v>
      </c>
      <c r="F29" s="37">
        <v>800</v>
      </c>
      <c r="I29" s="190"/>
      <c r="J29" s="190"/>
      <c r="K29" s="190"/>
      <c r="L29" s="14"/>
    </row>
    <row r="30" spans="1:12" s="32" customFormat="1" x14ac:dyDescent="0.15">
      <c r="A30" s="32" t="s">
        <v>144</v>
      </c>
      <c r="B30" s="32" t="s">
        <v>1893</v>
      </c>
      <c r="C30" s="32" t="s">
        <v>1761</v>
      </c>
      <c r="D30" s="229" t="s">
        <v>879</v>
      </c>
      <c r="E30" s="11">
        <f t="shared" si="0"/>
        <v>801</v>
      </c>
      <c r="F30" s="19">
        <v>830</v>
      </c>
      <c r="G30" s="14">
        <v>4</v>
      </c>
      <c r="H30" s="14">
        <v>0.5</v>
      </c>
      <c r="I30" s="190">
        <v>2.5</v>
      </c>
      <c r="J30" s="190">
        <v>1.2</v>
      </c>
      <c r="K30" s="190">
        <v>0.7</v>
      </c>
      <c r="L30" s="14">
        <v>0.8</v>
      </c>
    </row>
    <row r="31" spans="1:12" x14ac:dyDescent="0.15">
      <c r="A31" s="9" t="s">
        <v>144</v>
      </c>
      <c r="B31" s="9" t="s">
        <v>1893</v>
      </c>
      <c r="C31" s="9" t="s">
        <v>1761</v>
      </c>
      <c r="D31" s="230" t="s">
        <v>880</v>
      </c>
      <c r="E31" s="10">
        <f t="shared" si="0"/>
        <v>831</v>
      </c>
      <c r="F31" s="20">
        <v>850</v>
      </c>
      <c r="G31" s="24"/>
      <c r="H31" s="24"/>
      <c r="I31" s="195"/>
      <c r="J31" s="190"/>
      <c r="K31" s="190"/>
      <c r="L31" s="14"/>
    </row>
    <row r="32" spans="1:12" x14ac:dyDescent="0.15">
      <c r="A32" s="9" t="s">
        <v>144</v>
      </c>
      <c r="B32" s="9" t="s">
        <v>1893</v>
      </c>
      <c r="C32" s="9" t="s">
        <v>1761</v>
      </c>
      <c r="D32" s="230" t="s">
        <v>881</v>
      </c>
      <c r="E32" s="10">
        <f t="shared" si="0"/>
        <v>851</v>
      </c>
      <c r="F32" s="20">
        <v>855</v>
      </c>
      <c r="I32" s="190"/>
      <c r="J32" s="190"/>
      <c r="K32" s="190"/>
      <c r="L32" s="14"/>
    </row>
    <row r="33" spans="1:12" x14ac:dyDescent="0.15">
      <c r="A33" s="9" t="s">
        <v>144</v>
      </c>
      <c r="B33" s="9" t="s">
        <v>1893</v>
      </c>
      <c r="C33" s="9" t="s">
        <v>1761</v>
      </c>
      <c r="D33" s="230" t="s">
        <v>860</v>
      </c>
      <c r="E33" s="10">
        <f t="shared" si="0"/>
        <v>856</v>
      </c>
      <c r="F33" s="20">
        <v>860</v>
      </c>
      <c r="I33" s="190"/>
      <c r="J33" s="190"/>
      <c r="K33" s="190"/>
      <c r="L33" s="14"/>
    </row>
    <row r="34" spans="1:12" x14ac:dyDescent="0.15">
      <c r="A34" s="9" t="s">
        <v>144</v>
      </c>
      <c r="B34" s="9" t="s">
        <v>1893</v>
      </c>
      <c r="C34" s="9" t="s">
        <v>1761</v>
      </c>
      <c r="D34" s="230" t="s">
        <v>882</v>
      </c>
      <c r="E34" s="10">
        <f t="shared" si="0"/>
        <v>861</v>
      </c>
      <c r="F34" s="20">
        <v>865</v>
      </c>
      <c r="I34" s="190"/>
      <c r="J34" s="190"/>
      <c r="K34" s="190"/>
      <c r="L34" s="14"/>
    </row>
    <row r="35" spans="1:12" x14ac:dyDescent="0.15">
      <c r="A35" s="9" t="s">
        <v>144</v>
      </c>
      <c r="B35" s="9" t="s">
        <v>1893</v>
      </c>
      <c r="C35" s="9" t="s">
        <v>1761</v>
      </c>
      <c r="D35" s="230" t="s">
        <v>863</v>
      </c>
      <c r="E35" s="10">
        <f t="shared" si="0"/>
        <v>866</v>
      </c>
      <c r="F35" s="20">
        <v>870</v>
      </c>
      <c r="I35" s="190"/>
      <c r="J35" s="190"/>
      <c r="K35" s="190"/>
      <c r="L35" s="14"/>
    </row>
    <row r="36" spans="1:12" x14ac:dyDescent="0.15">
      <c r="A36" s="9" t="s">
        <v>144</v>
      </c>
      <c r="B36" s="9" t="s">
        <v>1893</v>
      </c>
      <c r="C36" s="9" t="s">
        <v>1761</v>
      </c>
      <c r="D36" s="230" t="s">
        <v>883</v>
      </c>
      <c r="E36" s="10">
        <f t="shared" si="0"/>
        <v>871</v>
      </c>
      <c r="F36" s="20">
        <v>875</v>
      </c>
      <c r="I36" s="190"/>
      <c r="J36" s="190"/>
      <c r="K36" s="190"/>
      <c r="L36" s="14"/>
    </row>
    <row r="37" spans="1:12" x14ac:dyDescent="0.15">
      <c r="A37" s="9" t="s">
        <v>144</v>
      </c>
      <c r="B37" s="9" t="s">
        <v>1893</v>
      </c>
      <c r="C37" s="9" t="s">
        <v>1761</v>
      </c>
      <c r="D37" s="230" t="s">
        <v>884</v>
      </c>
      <c r="E37" s="10">
        <f t="shared" si="0"/>
        <v>876</v>
      </c>
      <c r="F37" s="20">
        <v>880</v>
      </c>
      <c r="I37" s="190"/>
      <c r="J37" s="190"/>
      <c r="K37" s="190"/>
      <c r="L37" s="14"/>
    </row>
    <row r="38" spans="1:12" x14ac:dyDescent="0.15">
      <c r="A38" s="9" t="s">
        <v>144</v>
      </c>
      <c r="B38" s="9" t="s">
        <v>1893</v>
      </c>
      <c r="C38" s="9" t="s">
        <v>1761</v>
      </c>
      <c r="D38" s="230" t="s">
        <v>885</v>
      </c>
      <c r="E38" s="10">
        <f t="shared" si="0"/>
        <v>881</v>
      </c>
      <c r="F38" s="20">
        <v>885</v>
      </c>
      <c r="I38" s="190"/>
      <c r="J38" s="190"/>
      <c r="K38" s="190"/>
      <c r="L38" s="14"/>
    </row>
    <row r="39" spans="1:12" x14ac:dyDescent="0.15">
      <c r="A39" s="9" t="s">
        <v>144</v>
      </c>
      <c r="B39" s="9" t="s">
        <v>1893</v>
      </c>
      <c r="C39" s="9" t="s">
        <v>1761</v>
      </c>
      <c r="D39" s="230" t="s">
        <v>864</v>
      </c>
      <c r="E39" s="10">
        <f t="shared" si="0"/>
        <v>886</v>
      </c>
      <c r="F39" s="20">
        <v>900</v>
      </c>
      <c r="I39" s="190"/>
      <c r="J39" s="190"/>
      <c r="K39" s="190"/>
      <c r="L39" s="14"/>
    </row>
    <row r="40" spans="1:12" s="32" customFormat="1" x14ac:dyDescent="0.15">
      <c r="A40" s="32" t="s">
        <v>144</v>
      </c>
      <c r="B40" s="32" t="s">
        <v>1894</v>
      </c>
      <c r="C40" s="32" t="s">
        <v>1761</v>
      </c>
      <c r="D40" s="229" t="s">
        <v>886</v>
      </c>
      <c r="E40" s="11">
        <f t="shared" si="0"/>
        <v>901</v>
      </c>
      <c r="F40" s="19">
        <v>925</v>
      </c>
      <c r="G40" s="14">
        <v>5</v>
      </c>
      <c r="H40" s="14">
        <v>0.6</v>
      </c>
      <c r="I40" s="190">
        <v>3</v>
      </c>
      <c r="J40" s="190">
        <v>1.1499999999999999</v>
      </c>
      <c r="K40" s="190">
        <v>0.7</v>
      </c>
      <c r="L40" s="14">
        <v>0.9</v>
      </c>
    </row>
    <row r="41" spans="1:12" x14ac:dyDescent="0.15">
      <c r="A41" s="9" t="s">
        <v>144</v>
      </c>
      <c r="B41" s="9" t="s">
        <v>1894</v>
      </c>
      <c r="C41" s="9" t="s">
        <v>1761</v>
      </c>
      <c r="D41" s="230" t="s">
        <v>887</v>
      </c>
      <c r="E41" s="10">
        <f t="shared" si="0"/>
        <v>926</v>
      </c>
      <c r="F41" s="20">
        <v>950</v>
      </c>
      <c r="G41" s="24"/>
      <c r="H41" s="24"/>
      <c r="I41" s="195"/>
      <c r="J41" s="190"/>
      <c r="K41" s="190"/>
      <c r="L41" s="14"/>
    </row>
    <row r="42" spans="1:12" x14ac:dyDescent="0.15">
      <c r="A42" s="9" t="s">
        <v>144</v>
      </c>
      <c r="B42" s="9" t="s">
        <v>1894</v>
      </c>
      <c r="C42" s="9" t="s">
        <v>1761</v>
      </c>
      <c r="D42" s="230" t="s">
        <v>888</v>
      </c>
      <c r="E42" s="10">
        <f t="shared" si="0"/>
        <v>951</v>
      </c>
      <c r="F42" s="20">
        <v>1000</v>
      </c>
      <c r="I42" s="190"/>
      <c r="J42" s="190"/>
      <c r="K42" s="190"/>
      <c r="L42" s="14"/>
    </row>
    <row r="43" spans="1:12" x14ac:dyDescent="0.15">
      <c r="A43" s="9" t="s">
        <v>144</v>
      </c>
      <c r="B43" s="9" t="s">
        <v>1894</v>
      </c>
      <c r="C43" s="9" t="s">
        <v>1761</v>
      </c>
      <c r="D43" s="25" t="s">
        <v>889</v>
      </c>
      <c r="E43" s="10">
        <f t="shared" si="0"/>
        <v>1001</v>
      </c>
      <c r="F43" s="20">
        <v>1020</v>
      </c>
      <c r="I43" s="190"/>
      <c r="J43" s="190"/>
      <c r="K43" s="190"/>
      <c r="L43" s="14"/>
    </row>
    <row r="44" spans="1:12" x14ac:dyDescent="0.15">
      <c r="A44" s="9" t="s">
        <v>144</v>
      </c>
      <c r="B44" s="9" t="s">
        <v>1894</v>
      </c>
      <c r="C44" s="9" t="s">
        <v>1761</v>
      </c>
      <c r="D44" s="25" t="s">
        <v>890</v>
      </c>
      <c r="E44" s="10">
        <f t="shared" si="0"/>
        <v>1021</v>
      </c>
      <c r="F44" s="20">
        <v>1050</v>
      </c>
      <c r="I44" s="190"/>
      <c r="J44" s="190"/>
      <c r="K44" s="190"/>
      <c r="L44" s="14"/>
    </row>
    <row r="45" spans="1:12" s="32" customFormat="1" x14ac:dyDescent="0.15">
      <c r="A45" s="32" t="s">
        <v>144</v>
      </c>
      <c r="B45" s="32" t="s">
        <v>1886</v>
      </c>
      <c r="C45" s="32" t="s">
        <v>1761</v>
      </c>
      <c r="D45" s="229" t="s">
        <v>891</v>
      </c>
      <c r="E45" s="11">
        <f t="shared" si="0"/>
        <v>1051</v>
      </c>
      <c r="F45" s="19">
        <v>1100</v>
      </c>
      <c r="G45" s="14">
        <v>3</v>
      </c>
      <c r="H45" s="14">
        <v>0.4</v>
      </c>
      <c r="I45" s="190">
        <v>2</v>
      </c>
      <c r="J45" s="190">
        <v>1.05</v>
      </c>
      <c r="K45" s="190">
        <v>0.65</v>
      </c>
      <c r="L45" s="14">
        <v>0.7</v>
      </c>
    </row>
    <row r="46" spans="1:12" x14ac:dyDescent="0.15">
      <c r="A46" s="9" t="s">
        <v>144</v>
      </c>
      <c r="B46" s="9" t="s">
        <v>1886</v>
      </c>
      <c r="C46" s="9" t="s">
        <v>1761</v>
      </c>
      <c r="D46" s="230" t="s">
        <v>892</v>
      </c>
      <c r="E46" s="10">
        <f t="shared" si="0"/>
        <v>1101</v>
      </c>
      <c r="F46" s="20">
        <v>1150</v>
      </c>
      <c r="G46" s="24"/>
      <c r="H46" s="24"/>
      <c r="I46" s="195"/>
      <c r="J46" s="190"/>
      <c r="K46" s="190"/>
      <c r="L46" s="14"/>
    </row>
    <row r="47" spans="1:12" x14ac:dyDescent="0.15">
      <c r="A47" s="9" t="s">
        <v>144</v>
      </c>
      <c r="B47" s="9" t="s">
        <v>1886</v>
      </c>
      <c r="C47" s="9" t="s">
        <v>1761</v>
      </c>
      <c r="D47" s="230" t="s">
        <v>893</v>
      </c>
      <c r="E47" s="10">
        <f t="shared" si="0"/>
        <v>1151</v>
      </c>
      <c r="F47" s="20">
        <v>1200</v>
      </c>
      <c r="I47" s="190"/>
      <c r="J47" s="190"/>
      <c r="K47" s="190"/>
      <c r="L47" s="14"/>
    </row>
    <row r="48" spans="1:12" x14ac:dyDescent="0.15">
      <c r="A48" s="9" t="s">
        <v>144</v>
      </c>
      <c r="B48" s="9" t="s">
        <v>1886</v>
      </c>
      <c r="C48" s="9" t="s">
        <v>1761</v>
      </c>
      <c r="D48" s="230" t="s">
        <v>861</v>
      </c>
      <c r="E48" s="10">
        <f t="shared" si="0"/>
        <v>1201</v>
      </c>
      <c r="F48" s="20">
        <v>1225</v>
      </c>
      <c r="I48" s="190"/>
      <c r="J48" s="190"/>
      <c r="K48" s="190"/>
      <c r="L48" s="14"/>
    </row>
    <row r="49" spans="1:12" x14ac:dyDescent="0.15">
      <c r="A49" s="9" t="s">
        <v>144</v>
      </c>
      <c r="B49" s="9" t="s">
        <v>1886</v>
      </c>
      <c r="C49" s="9" t="s">
        <v>1761</v>
      </c>
      <c r="D49" s="230" t="s">
        <v>894</v>
      </c>
      <c r="E49" s="10">
        <f t="shared" si="0"/>
        <v>1226</v>
      </c>
      <c r="F49" s="20">
        <v>1250</v>
      </c>
      <c r="I49" s="190"/>
      <c r="J49" s="190"/>
      <c r="K49" s="190"/>
      <c r="L49" s="14"/>
    </row>
    <row r="50" spans="1:12" s="32" customFormat="1" x14ac:dyDescent="0.15">
      <c r="A50" s="32" t="s">
        <v>144</v>
      </c>
      <c r="B50" s="32" t="s">
        <v>1762</v>
      </c>
      <c r="C50" s="32" t="s">
        <v>1762</v>
      </c>
      <c r="D50" s="229" t="s">
        <v>895</v>
      </c>
      <c r="E50" s="11">
        <f t="shared" si="0"/>
        <v>1251</v>
      </c>
      <c r="F50" s="19">
        <v>1300</v>
      </c>
      <c r="G50" s="14">
        <v>1.5</v>
      </c>
      <c r="H50" s="14">
        <v>0.15</v>
      </c>
      <c r="I50" s="190">
        <v>1</v>
      </c>
      <c r="J50" s="190">
        <v>0.8</v>
      </c>
      <c r="K50" s="190">
        <v>0.5</v>
      </c>
      <c r="L50" s="14">
        <v>0.35</v>
      </c>
    </row>
    <row r="51" spans="1:12" x14ac:dyDescent="0.15">
      <c r="A51" s="9" t="s">
        <v>144</v>
      </c>
      <c r="B51" s="9" t="s">
        <v>1762</v>
      </c>
      <c r="C51" s="9" t="s">
        <v>1762</v>
      </c>
      <c r="D51" s="230" t="s">
        <v>896</v>
      </c>
      <c r="E51" s="10">
        <f t="shared" si="0"/>
        <v>1301</v>
      </c>
      <c r="F51" s="20">
        <v>1350</v>
      </c>
      <c r="G51" s="24"/>
      <c r="H51" s="24"/>
      <c r="I51" s="195"/>
      <c r="J51" s="190"/>
      <c r="K51" s="190"/>
      <c r="L51" s="14"/>
    </row>
    <row r="52" spans="1:12" x14ac:dyDescent="0.15">
      <c r="A52" s="9" t="s">
        <v>144</v>
      </c>
      <c r="B52" s="9" t="s">
        <v>1762</v>
      </c>
      <c r="C52" s="9" t="s">
        <v>1762</v>
      </c>
      <c r="D52" s="230" t="s">
        <v>897</v>
      </c>
      <c r="E52" s="10">
        <f t="shared" si="0"/>
        <v>1351</v>
      </c>
      <c r="F52" s="20">
        <v>1400</v>
      </c>
      <c r="I52" s="190"/>
      <c r="J52" s="190"/>
      <c r="K52" s="190"/>
      <c r="L52" s="14"/>
    </row>
    <row r="53" spans="1:12" x14ac:dyDescent="0.15">
      <c r="A53" s="9" t="s">
        <v>144</v>
      </c>
      <c r="B53" s="9" t="s">
        <v>1762</v>
      </c>
      <c r="C53" s="9" t="s">
        <v>1762</v>
      </c>
      <c r="D53" s="230" t="s">
        <v>862</v>
      </c>
      <c r="E53" s="10">
        <f t="shared" si="0"/>
        <v>1401</v>
      </c>
      <c r="F53" s="20">
        <v>1450</v>
      </c>
      <c r="I53" s="190"/>
      <c r="J53" s="190"/>
      <c r="K53" s="190"/>
      <c r="L53" s="14"/>
    </row>
    <row r="54" spans="1:12" s="32" customFormat="1" x14ac:dyDescent="0.15">
      <c r="A54" s="32" t="s">
        <v>144</v>
      </c>
      <c r="B54" s="32" t="s">
        <v>1855</v>
      </c>
      <c r="C54" s="32" t="s">
        <v>1855</v>
      </c>
      <c r="D54" s="229" t="s">
        <v>898</v>
      </c>
      <c r="E54" s="11">
        <f t="shared" si="0"/>
        <v>1451</v>
      </c>
      <c r="F54" s="19">
        <v>1500</v>
      </c>
      <c r="G54" s="14">
        <v>0.2</v>
      </c>
      <c r="H54" s="14">
        <v>0.05</v>
      </c>
      <c r="I54" s="190">
        <v>0.1</v>
      </c>
      <c r="J54" s="190">
        <v>0.3</v>
      </c>
      <c r="K54" s="190">
        <v>0.4</v>
      </c>
      <c r="L54" s="14">
        <v>0.15</v>
      </c>
    </row>
    <row r="55" spans="1:12" x14ac:dyDescent="0.15">
      <c r="A55" s="9" t="s">
        <v>144</v>
      </c>
      <c r="B55" s="9" t="s">
        <v>1855</v>
      </c>
      <c r="C55" s="9" t="s">
        <v>1855</v>
      </c>
      <c r="D55" s="230" t="s">
        <v>899</v>
      </c>
      <c r="E55" s="10">
        <f t="shared" si="0"/>
        <v>1501</v>
      </c>
      <c r="F55" s="20">
        <v>1550</v>
      </c>
      <c r="I55" s="190"/>
      <c r="J55" s="190"/>
      <c r="K55" s="190"/>
      <c r="L55" s="14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22F7-0CD5-4B72-83C8-9C1DF5241E91}">
  <sheetPr>
    <tabColor rgb="FFFFFF00"/>
  </sheetPr>
  <dimension ref="A1:L47"/>
  <sheetViews>
    <sheetView workbookViewId="0">
      <selection activeCell="L45" sqref="L45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61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159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10</v>
      </c>
      <c r="G2" s="14">
        <v>0.05</v>
      </c>
      <c r="H2" s="14">
        <v>0.01</v>
      </c>
      <c r="I2" s="190">
        <v>0.05</v>
      </c>
      <c r="J2" s="190">
        <v>0.15</v>
      </c>
      <c r="K2" s="190">
        <v>0.3</v>
      </c>
      <c r="L2" s="14">
        <v>0.85</v>
      </c>
    </row>
    <row r="3" spans="1:12" x14ac:dyDescent="0.15">
      <c r="A3" s="9" t="s">
        <v>159</v>
      </c>
      <c r="B3" s="9" t="s">
        <v>1759</v>
      </c>
      <c r="C3" s="9" t="s">
        <v>1759</v>
      </c>
      <c r="D3" s="25" t="s">
        <v>374</v>
      </c>
      <c r="E3" s="10">
        <f>F2+1</f>
        <v>11</v>
      </c>
      <c r="F3" s="20">
        <v>35</v>
      </c>
      <c r="G3" s="24"/>
      <c r="H3" s="24"/>
      <c r="I3" s="195"/>
      <c r="J3" s="190"/>
      <c r="K3" s="190"/>
      <c r="L3" s="14"/>
    </row>
    <row r="4" spans="1:12" x14ac:dyDescent="0.15">
      <c r="A4" s="9" t="s">
        <v>159</v>
      </c>
      <c r="B4" s="9" t="s">
        <v>1759</v>
      </c>
      <c r="C4" s="9" t="s">
        <v>1759</v>
      </c>
      <c r="D4" s="25" t="s">
        <v>375</v>
      </c>
      <c r="E4" s="10">
        <f t="shared" ref="E4:E47" si="0">F3+1</f>
        <v>36</v>
      </c>
      <c r="F4" s="20">
        <v>65</v>
      </c>
      <c r="I4" s="190"/>
      <c r="J4" s="190"/>
      <c r="K4" s="190"/>
      <c r="L4" s="14"/>
    </row>
    <row r="5" spans="1:12" x14ac:dyDescent="0.15">
      <c r="A5" s="9" t="s">
        <v>159</v>
      </c>
      <c r="B5" s="9" t="s">
        <v>1759</v>
      </c>
      <c r="C5" s="9" t="s">
        <v>1759</v>
      </c>
      <c r="D5" s="25" t="s">
        <v>414</v>
      </c>
      <c r="E5" s="10">
        <f t="shared" si="0"/>
        <v>66</v>
      </c>
      <c r="F5" s="20">
        <v>90</v>
      </c>
      <c r="I5" s="190"/>
      <c r="J5" s="190"/>
      <c r="K5" s="190"/>
      <c r="L5" s="14"/>
    </row>
    <row r="6" spans="1:12" x14ac:dyDescent="0.15">
      <c r="A6" s="9" t="s">
        <v>159</v>
      </c>
      <c r="B6" s="9" t="s">
        <v>1759</v>
      </c>
      <c r="C6" s="9" t="s">
        <v>1759</v>
      </c>
      <c r="D6" s="25" t="s">
        <v>415</v>
      </c>
      <c r="E6" s="10">
        <f t="shared" si="0"/>
        <v>91</v>
      </c>
      <c r="F6" s="20">
        <v>105</v>
      </c>
      <c r="I6" s="190"/>
      <c r="J6" s="190"/>
      <c r="K6" s="190"/>
      <c r="L6" s="14"/>
    </row>
    <row r="7" spans="1:12" x14ac:dyDescent="0.15">
      <c r="A7" s="9" t="s">
        <v>159</v>
      </c>
      <c r="B7" s="9" t="s">
        <v>1759</v>
      </c>
      <c r="C7" s="9" t="s">
        <v>1759</v>
      </c>
      <c r="D7" s="25" t="s">
        <v>416</v>
      </c>
      <c r="E7" s="10">
        <f t="shared" si="0"/>
        <v>106</v>
      </c>
      <c r="F7" s="20">
        <v>115</v>
      </c>
      <c r="I7" s="190"/>
      <c r="J7" s="190"/>
      <c r="K7" s="190"/>
      <c r="L7" s="14"/>
    </row>
    <row r="8" spans="1:12" x14ac:dyDescent="0.15">
      <c r="A8" s="9" t="s">
        <v>159</v>
      </c>
      <c r="B8" s="9" t="s">
        <v>1759</v>
      </c>
      <c r="C8" s="9" t="s">
        <v>1759</v>
      </c>
      <c r="D8" s="25" t="s">
        <v>417</v>
      </c>
      <c r="E8" s="10">
        <f t="shared" si="0"/>
        <v>116</v>
      </c>
      <c r="F8" s="20">
        <v>120</v>
      </c>
      <c r="I8" s="190"/>
      <c r="J8" s="190"/>
      <c r="K8" s="190"/>
      <c r="L8" s="14"/>
    </row>
    <row r="9" spans="1:12" s="32" customFormat="1" x14ac:dyDescent="0.15">
      <c r="A9" s="32" t="s">
        <v>159</v>
      </c>
      <c r="B9" s="32" t="s">
        <v>1861</v>
      </c>
      <c r="C9" s="32" t="s">
        <v>1760</v>
      </c>
      <c r="D9" s="193" t="s">
        <v>380</v>
      </c>
      <c r="E9" s="11">
        <f t="shared" si="0"/>
        <v>121</v>
      </c>
      <c r="F9" s="92">
        <v>150</v>
      </c>
      <c r="G9" s="14">
        <v>0.8</v>
      </c>
      <c r="H9" s="14">
        <v>0.15</v>
      </c>
      <c r="I9" s="190">
        <v>0.7</v>
      </c>
      <c r="J9" s="190">
        <v>0.45</v>
      </c>
      <c r="K9" s="190">
        <v>0.55000000000000004</v>
      </c>
      <c r="L9" s="14">
        <v>0.65</v>
      </c>
    </row>
    <row r="10" spans="1:12" x14ac:dyDescent="0.15">
      <c r="A10" s="9" t="s">
        <v>159</v>
      </c>
      <c r="B10" s="9" t="s">
        <v>1861</v>
      </c>
      <c r="C10" s="9" t="s">
        <v>1760</v>
      </c>
      <c r="D10" s="25" t="s">
        <v>418</v>
      </c>
      <c r="E10" s="10">
        <f t="shared" si="0"/>
        <v>151</v>
      </c>
      <c r="F10" s="20">
        <v>200</v>
      </c>
      <c r="G10" s="24"/>
      <c r="H10" s="24"/>
      <c r="I10" s="195"/>
      <c r="J10" s="190"/>
      <c r="K10" s="190"/>
      <c r="L10" s="14"/>
    </row>
    <row r="11" spans="1:12" x14ac:dyDescent="0.15">
      <c r="A11" s="9" t="s">
        <v>159</v>
      </c>
      <c r="B11" s="9" t="s">
        <v>1861</v>
      </c>
      <c r="C11" s="9" t="s">
        <v>1760</v>
      </c>
      <c r="D11" s="25" t="s">
        <v>419</v>
      </c>
      <c r="E11" s="10">
        <f t="shared" si="0"/>
        <v>201</v>
      </c>
      <c r="F11" s="20">
        <v>230</v>
      </c>
      <c r="I11" s="190"/>
      <c r="J11" s="190"/>
      <c r="K11" s="190"/>
      <c r="L11" s="14"/>
    </row>
    <row r="12" spans="1:12" x14ac:dyDescent="0.15">
      <c r="A12" s="9" t="s">
        <v>159</v>
      </c>
      <c r="B12" s="9" t="s">
        <v>1861</v>
      </c>
      <c r="C12" s="9" t="s">
        <v>1760</v>
      </c>
      <c r="D12" s="25" t="s">
        <v>848</v>
      </c>
      <c r="E12" s="10">
        <f t="shared" si="0"/>
        <v>231</v>
      </c>
      <c r="F12" s="20">
        <v>350</v>
      </c>
      <c r="I12" s="190"/>
      <c r="J12" s="190"/>
      <c r="K12" s="190"/>
      <c r="L12" s="14"/>
    </row>
    <row r="13" spans="1:12" s="32" customFormat="1" x14ac:dyDescent="0.15">
      <c r="A13" s="32" t="s">
        <v>159</v>
      </c>
      <c r="B13" s="32" t="s">
        <v>1857</v>
      </c>
      <c r="C13" s="32" t="s">
        <v>1760</v>
      </c>
      <c r="D13" s="77" t="s">
        <v>422</v>
      </c>
      <c r="E13" s="11">
        <f t="shared" si="0"/>
        <v>351</v>
      </c>
      <c r="F13" s="19">
        <v>390</v>
      </c>
      <c r="G13" s="14">
        <v>1.2</v>
      </c>
      <c r="H13" s="14">
        <v>0.25</v>
      </c>
      <c r="I13" s="190">
        <v>1</v>
      </c>
      <c r="J13" s="190">
        <v>0.65</v>
      </c>
      <c r="K13" s="190">
        <v>0.6</v>
      </c>
      <c r="L13" s="14">
        <v>0.7</v>
      </c>
    </row>
    <row r="14" spans="1:12" x14ac:dyDescent="0.15">
      <c r="A14" s="9" t="s">
        <v>159</v>
      </c>
      <c r="B14" s="9" t="s">
        <v>1857</v>
      </c>
      <c r="C14" s="9" t="s">
        <v>1760</v>
      </c>
      <c r="D14" s="25" t="s">
        <v>423</v>
      </c>
      <c r="E14" s="10">
        <f t="shared" si="0"/>
        <v>391</v>
      </c>
      <c r="F14" s="20">
        <v>435</v>
      </c>
      <c r="G14" s="24"/>
      <c r="H14" s="24"/>
      <c r="I14" s="195"/>
      <c r="J14" s="190"/>
      <c r="K14" s="190"/>
      <c r="L14" s="14"/>
    </row>
    <row r="15" spans="1:12" x14ac:dyDescent="0.15">
      <c r="A15" s="9" t="s">
        <v>159</v>
      </c>
      <c r="B15" s="9" t="s">
        <v>1857</v>
      </c>
      <c r="C15" s="9" t="s">
        <v>1760</v>
      </c>
      <c r="D15" s="25" t="s">
        <v>424</v>
      </c>
      <c r="E15" s="10">
        <f t="shared" si="0"/>
        <v>436</v>
      </c>
      <c r="F15" s="20">
        <v>465</v>
      </c>
      <c r="I15" s="190"/>
      <c r="J15" s="190"/>
      <c r="K15" s="190"/>
      <c r="L15" s="14"/>
    </row>
    <row r="16" spans="1:12" x14ac:dyDescent="0.15">
      <c r="A16" s="9" t="s">
        <v>159</v>
      </c>
      <c r="B16" s="9" t="s">
        <v>1857</v>
      </c>
      <c r="C16" s="9" t="s">
        <v>1760</v>
      </c>
      <c r="D16" s="25" t="s">
        <v>651</v>
      </c>
      <c r="E16" s="10">
        <f t="shared" si="0"/>
        <v>466</v>
      </c>
      <c r="F16" s="20">
        <v>510</v>
      </c>
      <c r="I16" s="190"/>
      <c r="J16" s="190"/>
      <c r="K16" s="190"/>
      <c r="L16" s="14"/>
    </row>
    <row r="17" spans="1:12" s="32" customFormat="1" x14ac:dyDescent="0.15">
      <c r="A17" s="32" t="s">
        <v>159</v>
      </c>
      <c r="B17" s="32" t="s">
        <v>1858</v>
      </c>
      <c r="C17" s="32" t="s">
        <v>1761</v>
      </c>
      <c r="D17" s="77" t="s">
        <v>425</v>
      </c>
      <c r="E17" s="11">
        <f t="shared" si="0"/>
        <v>511</v>
      </c>
      <c r="F17" s="19">
        <v>540</v>
      </c>
      <c r="G17" s="14">
        <v>1.5</v>
      </c>
      <c r="H17" s="14">
        <v>0.3</v>
      </c>
      <c r="I17" s="190">
        <v>1.2</v>
      </c>
      <c r="J17" s="190">
        <v>0.9</v>
      </c>
      <c r="K17" s="190">
        <v>0.65</v>
      </c>
      <c r="L17" s="14">
        <v>0.8</v>
      </c>
    </row>
    <row r="18" spans="1:12" x14ac:dyDescent="0.15">
      <c r="A18" s="9" t="s">
        <v>159</v>
      </c>
      <c r="B18" s="9" t="s">
        <v>1858</v>
      </c>
      <c r="C18" s="9" t="s">
        <v>1761</v>
      </c>
      <c r="D18" s="25" t="s">
        <v>426</v>
      </c>
      <c r="E18" s="10">
        <f t="shared" si="0"/>
        <v>541</v>
      </c>
      <c r="F18" s="20">
        <v>570</v>
      </c>
      <c r="G18" s="24"/>
      <c r="H18" s="24"/>
      <c r="I18" s="195"/>
      <c r="J18" s="190"/>
      <c r="K18" s="190"/>
      <c r="L18" s="14"/>
    </row>
    <row r="19" spans="1:12" x14ac:dyDescent="0.15">
      <c r="A19" s="9" t="s">
        <v>159</v>
      </c>
      <c r="B19" s="9" t="s">
        <v>1858</v>
      </c>
      <c r="C19" s="9" t="s">
        <v>1761</v>
      </c>
      <c r="D19" s="25" t="s">
        <v>427</v>
      </c>
      <c r="E19" s="10">
        <f t="shared" si="0"/>
        <v>571</v>
      </c>
      <c r="F19" s="20">
        <v>600</v>
      </c>
      <c r="I19" s="190"/>
      <c r="J19" s="190"/>
      <c r="K19" s="190"/>
      <c r="L19" s="14"/>
    </row>
    <row r="20" spans="1:12" s="32" customFormat="1" x14ac:dyDescent="0.15">
      <c r="A20" s="32" t="s">
        <v>159</v>
      </c>
      <c r="B20" s="32" t="s">
        <v>1859</v>
      </c>
      <c r="C20" s="32" t="s">
        <v>1761</v>
      </c>
      <c r="D20" s="77" t="s">
        <v>429</v>
      </c>
      <c r="E20" s="11">
        <f t="shared" si="0"/>
        <v>601</v>
      </c>
      <c r="F20" s="19">
        <v>615</v>
      </c>
      <c r="G20" s="14">
        <v>1.8</v>
      </c>
      <c r="H20" s="14">
        <v>0.35</v>
      </c>
      <c r="I20" s="190">
        <v>1.5</v>
      </c>
      <c r="J20" s="190">
        <v>1.05</v>
      </c>
      <c r="K20" s="190">
        <v>0.7</v>
      </c>
      <c r="L20" s="14">
        <v>0.9</v>
      </c>
    </row>
    <row r="21" spans="1:12" x14ac:dyDescent="0.15">
      <c r="A21" s="9" t="s">
        <v>159</v>
      </c>
      <c r="B21" s="9" t="s">
        <v>1859</v>
      </c>
      <c r="C21" s="9" t="s">
        <v>1761</v>
      </c>
      <c r="D21" s="25" t="s">
        <v>430</v>
      </c>
      <c r="E21" s="10">
        <f t="shared" si="0"/>
        <v>616</v>
      </c>
      <c r="F21" s="20">
        <v>630</v>
      </c>
      <c r="G21" s="24"/>
      <c r="H21" s="24"/>
      <c r="I21" s="195"/>
      <c r="J21" s="190"/>
      <c r="K21" s="190"/>
      <c r="L21" s="14"/>
    </row>
    <row r="22" spans="1:12" x14ac:dyDescent="0.15">
      <c r="A22" s="9" t="s">
        <v>159</v>
      </c>
      <c r="B22" s="9" t="s">
        <v>1859</v>
      </c>
      <c r="C22" s="9" t="s">
        <v>1761</v>
      </c>
      <c r="D22" s="25" t="s">
        <v>431</v>
      </c>
      <c r="E22" s="10">
        <f t="shared" si="0"/>
        <v>631</v>
      </c>
      <c r="F22" s="20">
        <v>645</v>
      </c>
      <c r="I22" s="190"/>
      <c r="J22" s="190"/>
      <c r="K22" s="190"/>
      <c r="L22" s="14"/>
    </row>
    <row r="23" spans="1:12" x14ac:dyDescent="0.15">
      <c r="A23" s="9" t="s">
        <v>159</v>
      </c>
      <c r="B23" s="9" t="s">
        <v>1859</v>
      </c>
      <c r="C23" s="9" t="s">
        <v>1761</v>
      </c>
      <c r="D23" s="25" t="s">
        <v>432</v>
      </c>
      <c r="E23" s="10">
        <f t="shared" si="0"/>
        <v>646</v>
      </c>
      <c r="F23" s="20">
        <v>660</v>
      </c>
      <c r="I23" s="190"/>
      <c r="J23" s="190"/>
      <c r="K23" s="190"/>
      <c r="L23" s="14"/>
    </row>
    <row r="24" spans="1:12" x14ac:dyDescent="0.15">
      <c r="A24" s="9" t="s">
        <v>159</v>
      </c>
      <c r="B24" s="9" t="s">
        <v>1859</v>
      </c>
      <c r="C24" s="9" t="s">
        <v>1761</v>
      </c>
      <c r="D24" s="25" t="s">
        <v>433</v>
      </c>
      <c r="E24" s="10">
        <f t="shared" si="0"/>
        <v>661</v>
      </c>
      <c r="F24" s="20">
        <v>675</v>
      </c>
      <c r="I24" s="190"/>
      <c r="J24" s="190"/>
      <c r="K24" s="190"/>
      <c r="L24" s="14"/>
    </row>
    <row r="25" spans="1:12" x14ac:dyDescent="0.15">
      <c r="A25" s="9" t="s">
        <v>159</v>
      </c>
      <c r="B25" s="9" t="s">
        <v>1859</v>
      </c>
      <c r="C25" s="9" t="s">
        <v>1761</v>
      </c>
      <c r="D25" s="194" t="s">
        <v>434</v>
      </c>
      <c r="E25" s="10">
        <f t="shared" si="0"/>
        <v>676</v>
      </c>
      <c r="F25" s="37">
        <v>690</v>
      </c>
      <c r="I25" s="190"/>
      <c r="J25" s="190"/>
      <c r="K25" s="190"/>
      <c r="L25" s="14"/>
    </row>
    <row r="26" spans="1:12" x14ac:dyDescent="0.15">
      <c r="A26" s="9" t="s">
        <v>159</v>
      </c>
      <c r="B26" s="9" t="s">
        <v>1859</v>
      </c>
      <c r="C26" s="9" t="s">
        <v>1761</v>
      </c>
      <c r="D26" s="25" t="s">
        <v>435</v>
      </c>
      <c r="E26" s="10">
        <f t="shared" si="0"/>
        <v>691</v>
      </c>
      <c r="F26" s="20">
        <v>705</v>
      </c>
      <c r="I26" s="190"/>
      <c r="J26" s="190"/>
      <c r="K26" s="190"/>
      <c r="L26" s="14"/>
    </row>
    <row r="27" spans="1:12" x14ac:dyDescent="0.15">
      <c r="A27" s="9" t="s">
        <v>159</v>
      </c>
      <c r="B27" s="9" t="s">
        <v>1859</v>
      </c>
      <c r="C27" s="9" t="s">
        <v>1761</v>
      </c>
      <c r="D27" s="25" t="s">
        <v>436</v>
      </c>
      <c r="E27" s="10">
        <f t="shared" si="0"/>
        <v>706</v>
      </c>
      <c r="F27" s="20">
        <v>720</v>
      </c>
      <c r="I27" s="190"/>
      <c r="J27" s="190"/>
      <c r="K27" s="190"/>
      <c r="L27" s="14"/>
    </row>
    <row r="28" spans="1:12" s="32" customFormat="1" x14ac:dyDescent="0.15">
      <c r="A28" s="32" t="s">
        <v>159</v>
      </c>
      <c r="B28" s="32" t="s">
        <v>1886</v>
      </c>
      <c r="C28" s="32" t="s">
        <v>1761</v>
      </c>
      <c r="D28" s="193" t="s">
        <v>437</v>
      </c>
      <c r="E28" s="11">
        <f t="shared" si="0"/>
        <v>721</v>
      </c>
      <c r="F28" s="19">
        <v>780</v>
      </c>
      <c r="G28" s="14">
        <v>1.2</v>
      </c>
      <c r="H28" s="14">
        <v>0.25</v>
      </c>
      <c r="I28" s="190">
        <v>1</v>
      </c>
      <c r="J28" s="190">
        <v>0.85</v>
      </c>
      <c r="K28" s="190">
        <v>0.65</v>
      </c>
      <c r="L28" s="14">
        <v>0.65</v>
      </c>
    </row>
    <row r="29" spans="1:12" x14ac:dyDescent="0.15">
      <c r="A29" s="9" t="s">
        <v>159</v>
      </c>
      <c r="B29" s="9" t="s">
        <v>1886</v>
      </c>
      <c r="C29" s="9" t="s">
        <v>1761</v>
      </c>
      <c r="D29" s="25" t="s">
        <v>438</v>
      </c>
      <c r="E29" s="10">
        <f t="shared" si="0"/>
        <v>781</v>
      </c>
      <c r="F29" s="20">
        <v>810</v>
      </c>
      <c r="G29" s="24"/>
      <c r="H29" s="24"/>
      <c r="I29" s="195"/>
      <c r="J29" s="190"/>
      <c r="K29" s="190"/>
      <c r="L29" s="14"/>
    </row>
    <row r="30" spans="1:12" x14ac:dyDescent="0.15">
      <c r="A30" s="9" t="s">
        <v>159</v>
      </c>
      <c r="B30" s="9" t="s">
        <v>1886</v>
      </c>
      <c r="C30" s="9" t="s">
        <v>1761</v>
      </c>
      <c r="D30" s="25" t="s">
        <v>439</v>
      </c>
      <c r="E30" s="10">
        <f t="shared" si="0"/>
        <v>811</v>
      </c>
      <c r="F30" s="20">
        <v>840</v>
      </c>
      <c r="I30" s="190"/>
      <c r="J30" s="190"/>
      <c r="K30" s="190"/>
      <c r="L30" s="14"/>
    </row>
    <row r="31" spans="1:12" x14ac:dyDescent="0.15">
      <c r="A31" s="9" t="s">
        <v>159</v>
      </c>
      <c r="B31" s="9" t="s">
        <v>1886</v>
      </c>
      <c r="C31" s="9" t="s">
        <v>1761</v>
      </c>
      <c r="D31" s="25" t="s">
        <v>440</v>
      </c>
      <c r="E31" s="10">
        <f t="shared" si="0"/>
        <v>841</v>
      </c>
      <c r="F31" s="20">
        <v>870</v>
      </c>
      <c r="I31" s="190"/>
      <c r="J31" s="190"/>
      <c r="K31" s="190"/>
      <c r="L31" s="14"/>
    </row>
    <row r="32" spans="1:12" x14ac:dyDescent="0.15">
      <c r="A32" s="9" t="s">
        <v>159</v>
      </c>
      <c r="B32" s="9" t="s">
        <v>1886</v>
      </c>
      <c r="C32" s="9" t="s">
        <v>1761</v>
      </c>
      <c r="D32" s="25" t="s">
        <v>441</v>
      </c>
      <c r="E32" s="10">
        <f t="shared" si="0"/>
        <v>871</v>
      </c>
      <c r="F32" s="20">
        <v>900</v>
      </c>
      <c r="I32" s="190"/>
      <c r="J32" s="190"/>
      <c r="K32" s="190"/>
      <c r="L32" s="14"/>
    </row>
    <row r="33" spans="1:12" x14ac:dyDescent="0.15">
      <c r="A33" s="9" t="s">
        <v>159</v>
      </c>
      <c r="B33" s="9" t="s">
        <v>1886</v>
      </c>
      <c r="C33" s="9" t="s">
        <v>1761</v>
      </c>
      <c r="D33" s="25" t="s">
        <v>442</v>
      </c>
      <c r="E33" s="10">
        <f t="shared" si="0"/>
        <v>901</v>
      </c>
      <c r="F33" s="20">
        <v>930</v>
      </c>
      <c r="I33" s="190"/>
      <c r="J33" s="190"/>
      <c r="K33" s="190"/>
      <c r="L33" s="14"/>
    </row>
    <row r="34" spans="1:12" x14ac:dyDescent="0.15">
      <c r="A34" s="9" t="s">
        <v>159</v>
      </c>
      <c r="B34" s="9" t="s">
        <v>1886</v>
      </c>
      <c r="C34" s="9" t="s">
        <v>1761</v>
      </c>
      <c r="D34" s="25" t="s">
        <v>443</v>
      </c>
      <c r="E34" s="10">
        <f t="shared" si="0"/>
        <v>931</v>
      </c>
      <c r="F34" s="20">
        <v>945</v>
      </c>
      <c r="I34" s="190"/>
      <c r="J34" s="190"/>
      <c r="K34" s="190"/>
      <c r="L34" s="14"/>
    </row>
    <row r="35" spans="1:12" x14ac:dyDescent="0.15">
      <c r="A35" s="9" t="s">
        <v>159</v>
      </c>
      <c r="B35" s="9" t="s">
        <v>1886</v>
      </c>
      <c r="C35" s="9" t="s">
        <v>1761</v>
      </c>
      <c r="D35" s="25" t="s">
        <v>444</v>
      </c>
      <c r="E35" s="10">
        <f t="shared" si="0"/>
        <v>946</v>
      </c>
      <c r="F35" s="20">
        <v>955</v>
      </c>
      <c r="I35" s="190"/>
      <c r="J35" s="190"/>
      <c r="K35" s="190"/>
      <c r="L35" s="14"/>
    </row>
    <row r="36" spans="1:12" x14ac:dyDescent="0.15">
      <c r="A36" s="9" t="s">
        <v>159</v>
      </c>
      <c r="B36" s="9" t="s">
        <v>1886</v>
      </c>
      <c r="C36" s="9" t="s">
        <v>1761</v>
      </c>
      <c r="D36" s="25" t="s">
        <v>445</v>
      </c>
      <c r="E36" s="10">
        <f t="shared" si="0"/>
        <v>956</v>
      </c>
      <c r="F36" s="20">
        <v>960</v>
      </c>
      <c r="I36" s="190"/>
      <c r="J36" s="190"/>
      <c r="K36" s="190"/>
      <c r="L36" s="14"/>
    </row>
    <row r="37" spans="1:12" s="32" customFormat="1" x14ac:dyDescent="0.15">
      <c r="A37" s="32" t="s">
        <v>159</v>
      </c>
      <c r="B37" s="32" t="s">
        <v>1860</v>
      </c>
      <c r="C37" s="32" t="s">
        <v>1762</v>
      </c>
      <c r="D37" s="77" t="s">
        <v>446</v>
      </c>
      <c r="E37" s="11">
        <f t="shared" si="0"/>
        <v>961</v>
      </c>
      <c r="F37" s="19">
        <v>1020</v>
      </c>
      <c r="G37" s="14">
        <v>0.6</v>
      </c>
      <c r="H37" s="14">
        <v>0.1</v>
      </c>
      <c r="I37" s="190">
        <v>0.5</v>
      </c>
      <c r="J37" s="190">
        <v>0.6</v>
      </c>
      <c r="K37" s="190">
        <v>0.55000000000000004</v>
      </c>
      <c r="L37" s="14">
        <v>0.35</v>
      </c>
    </row>
    <row r="38" spans="1:12" x14ac:dyDescent="0.15">
      <c r="A38" s="9" t="s">
        <v>159</v>
      </c>
      <c r="B38" s="9" t="s">
        <v>1860</v>
      </c>
      <c r="C38" s="9" t="s">
        <v>1762</v>
      </c>
      <c r="D38" s="25" t="s">
        <v>447</v>
      </c>
      <c r="E38" s="10">
        <f t="shared" si="0"/>
        <v>1021</v>
      </c>
      <c r="F38" s="20">
        <v>1050</v>
      </c>
      <c r="G38" s="24"/>
      <c r="H38" s="24"/>
      <c r="I38" s="195"/>
      <c r="J38" s="190"/>
      <c r="K38" s="190"/>
      <c r="L38" s="14"/>
    </row>
    <row r="39" spans="1:12" x14ac:dyDescent="0.15">
      <c r="A39" s="9" t="s">
        <v>159</v>
      </c>
      <c r="B39" s="9" t="s">
        <v>1860</v>
      </c>
      <c r="C39" s="9" t="s">
        <v>1762</v>
      </c>
      <c r="D39" s="25" t="s">
        <v>448</v>
      </c>
      <c r="E39" s="10">
        <f t="shared" si="0"/>
        <v>1051</v>
      </c>
      <c r="F39" s="20">
        <v>1080</v>
      </c>
      <c r="I39" s="190"/>
      <c r="J39" s="190"/>
      <c r="K39" s="190"/>
      <c r="L39" s="14"/>
    </row>
    <row r="40" spans="1:12" x14ac:dyDescent="0.15">
      <c r="A40" s="9" t="s">
        <v>159</v>
      </c>
      <c r="B40" s="9" t="s">
        <v>1860</v>
      </c>
      <c r="C40" s="9" t="s">
        <v>1762</v>
      </c>
      <c r="D40" s="25" t="s">
        <v>449</v>
      </c>
      <c r="E40" s="10">
        <f t="shared" si="0"/>
        <v>1081</v>
      </c>
      <c r="F40" s="20">
        <v>1110</v>
      </c>
      <c r="I40" s="190"/>
      <c r="J40" s="190"/>
      <c r="K40" s="190"/>
      <c r="L40" s="14"/>
    </row>
    <row r="41" spans="1:12" x14ac:dyDescent="0.15">
      <c r="A41" s="9" t="s">
        <v>159</v>
      </c>
      <c r="B41" s="9" t="s">
        <v>1860</v>
      </c>
      <c r="C41" s="9" t="s">
        <v>1762</v>
      </c>
      <c r="D41" s="25" t="s">
        <v>450</v>
      </c>
      <c r="E41" s="10">
        <f t="shared" si="0"/>
        <v>1111</v>
      </c>
      <c r="F41" s="20">
        <v>1140</v>
      </c>
      <c r="I41" s="190"/>
      <c r="J41" s="190"/>
      <c r="K41" s="190"/>
      <c r="L41" s="14"/>
    </row>
    <row r="42" spans="1:12" x14ac:dyDescent="0.15">
      <c r="A42" s="9" t="s">
        <v>159</v>
      </c>
      <c r="B42" s="9" t="s">
        <v>1860</v>
      </c>
      <c r="C42" s="9" t="s">
        <v>1762</v>
      </c>
      <c r="D42" s="25" t="s">
        <v>451</v>
      </c>
      <c r="E42" s="10">
        <f t="shared" si="0"/>
        <v>1141</v>
      </c>
      <c r="F42" s="20">
        <v>1170</v>
      </c>
      <c r="I42" s="190"/>
      <c r="J42" s="190"/>
      <c r="K42" s="190"/>
      <c r="L42" s="14"/>
    </row>
    <row r="43" spans="1:12" x14ac:dyDescent="0.15">
      <c r="A43" s="9" t="s">
        <v>159</v>
      </c>
      <c r="B43" s="9" t="s">
        <v>1860</v>
      </c>
      <c r="C43" s="9" t="s">
        <v>1762</v>
      </c>
      <c r="D43" s="25" t="s">
        <v>452</v>
      </c>
      <c r="E43" s="10">
        <f t="shared" si="0"/>
        <v>1171</v>
      </c>
      <c r="F43" s="20">
        <v>1200</v>
      </c>
      <c r="I43" s="190"/>
      <c r="J43" s="190"/>
      <c r="K43" s="190"/>
      <c r="L43" s="14"/>
    </row>
    <row r="44" spans="1:12" x14ac:dyDescent="0.15">
      <c r="A44" s="9" t="s">
        <v>159</v>
      </c>
      <c r="B44" s="9" t="s">
        <v>1860</v>
      </c>
      <c r="C44" s="9" t="s">
        <v>1762</v>
      </c>
      <c r="D44" s="25" t="s">
        <v>453</v>
      </c>
      <c r="E44" s="10">
        <f t="shared" si="0"/>
        <v>1201</v>
      </c>
      <c r="F44" s="20">
        <v>1220</v>
      </c>
      <c r="I44" s="190"/>
      <c r="J44" s="190"/>
      <c r="K44" s="190"/>
      <c r="L44" s="14"/>
    </row>
    <row r="45" spans="1:12" x14ac:dyDescent="0.15">
      <c r="A45" s="9" t="s">
        <v>159</v>
      </c>
      <c r="B45" s="9" t="s">
        <v>1860</v>
      </c>
      <c r="C45" s="9" t="s">
        <v>1762</v>
      </c>
      <c r="D45" s="25" t="s">
        <v>454</v>
      </c>
      <c r="E45" s="10">
        <f t="shared" si="0"/>
        <v>1221</v>
      </c>
      <c r="F45" s="20">
        <v>1230</v>
      </c>
      <c r="I45" s="190"/>
      <c r="J45" s="190"/>
      <c r="K45" s="190"/>
      <c r="L45" s="14"/>
    </row>
    <row r="46" spans="1:12" s="32" customFormat="1" x14ac:dyDescent="0.15">
      <c r="A46" s="32" t="s">
        <v>159</v>
      </c>
      <c r="B46" s="32" t="s">
        <v>1855</v>
      </c>
      <c r="C46" s="32" t="s">
        <v>1855</v>
      </c>
      <c r="D46" s="77" t="s">
        <v>455</v>
      </c>
      <c r="E46" s="11">
        <f t="shared" si="0"/>
        <v>1231</v>
      </c>
      <c r="F46" s="19">
        <v>1300</v>
      </c>
      <c r="G46" s="14">
        <v>0.2</v>
      </c>
      <c r="H46" s="14">
        <v>0.05</v>
      </c>
      <c r="I46" s="190">
        <v>0.2</v>
      </c>
      <c r="J46" s="190">
        <v>0.3</v>
      </c>
      <c r="K46" s="190">
        <v>0.5</v>
      </c>
      <c r="L46" s="14">
        <v>0.15</v>
      </c>
    </row>
    <row r="47" spans="1:12" x14ac:dyDescent="0.15">
      <c r="A47" s="9" t="s">
        <v>159</v>
      </c>
      <c r="B47" s="9" t="s">
        <v>1855</v>
      </c>
      <c r="C47" s="9" t="s">
        <v>1855</v>
      </c>
      <c r="D47" s="25" t="s">
        <v>456</v>
      </c>
      <c r="E47" s="10">
        <f t="shared" si="0"/>
        <v>1301</v>
      </c>
      <c r="F47" s="20">
        <v>1350</v>
      </c>
      <c r="I47" s="190"/>
      <c r="J47" s="190"/>
      <c r="K47" s="190"/>
      <c r="L47" s="14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E98A-8283-4696-9CED-798C1165987A}">
  <sheetPr>
    <tabColor rgb="FFFFFF00"/>
  </sheetPr>
  <dimension ref="A1:L54"/>
  <sheetViews>
    <sheetView workbookViewId="0">
      <selection activeCell="M2" sqref="M2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164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10</v>
      </c>
      <c r="G2" s="14">
        <v>0.06</v>
      </c>
      <c r="H2" s="14">
        <v>0.01</v>
      </c>
      <c r="I2" s="190">
        <v>0.06</v>
      </c>
      <c r="J2" s="190">
        <v>0.32</v>
      </c>
      <c r="K2" s="190">
        <v>0.35</v>
      </c>
      <c r="L2" s="14">
        <v>0.65</v>
      </c>
    </row>
    <row r="3" spans="1:12" x14ac:dyDescent="0.15">
      <c r="A3" s="9" t="s">
        <v>164</v>
      </c>
      <c r="B3" s="9" t="s">
        <v>1759</v>
      </c>
      <c r="C3" s="9" t="s">
        <v>1759</v>
      </c>
      <c r="D3" s="25" t="s">
        <v>374</v>
      </c>
      <c r="E3" s="10">
        <f>F2+1</f>
        <v>11</v>
      </c>
      <c r="F3" s="20">
        <v>25</v>
      </c>
      <c r="G3" s="24"/>
      <c r="H3" s="24"/>
      <c r="I3" s="195"/>
      <c r="J3" s="228"/>
      <c r="K3" s="228"/>
      <c r="L3" s="14"/>
    </row>
    <row r="4" spans="1:12" x14ac:dyDescent="0.15">
      <c r="A4" s="9" t="s">
        <v>164</v>
      </c>
      <c r="B4" s="9" t="s">
        <v>1759</v>
      </c>
      <c r="C4" s="9" t="s">
        <v>1759</v>
      </c>
      <c r="D4" s="25" t="s">
        <v>375</v>
      </c>
      <c r="E4" s="10">
        <f t="shared" ref="E4:E54" si="0">F3+1</f>
        <v>26</v>
      </c>
      <c r="F4" s="20">
        <v>50</v>
      </c>
      <c r="I4" s="228"/>
      <c r="J4" s="228"/>
      <c r="K4" s="228"/>
      <c r="L4" s="14"/>
    </row>
    <row r="5" spans="1:12" x14ac:dyDescent="0.15">
      <c r="A5" s="9" t="s">
        <v>164</v>
      </c>
      <c r="B5" s="9" t="s">
        <v>1759</v>
      </c>
      <c r="C5" s="9" t="s">
        <v>1759</v>
      </c>
      <c r="D5" s="25" t="s">
        <v>414</v>
      </c>
      <c r="E5" s="10">
        <f t="shared" si="0"/>
        <v>51</v>
      </c>
      <c r="F5" s="20">
        <v>70</v>
      </c>
      <c r="I5" s="228"/>
      <c r="J5" s="228"/>
      <c r="K5" s="228"/>
      <c r="L5" s="14"/>
    </row>
    <row r="6" spans="1:12" x14ac:dyDescent="0.15">
      <c r="A6" s="9" t="s">
        <v>164</v>
      </c>
      <c r="B6" s="9" t="s">
        <v>1759</v>
      </c>
      <c r="C6" s="9" t="s">
        <v>1759</v>
      </c>
      <c r="D6" s="25" t="s">
        <v>415</v>
      </c>
      <c r="E6" s="10">
        <f t="shared" si="0"/>
        <v>71</v>
      </c>
      <c r="F6" s="20">
        <v>85</v>
      </c>
      <c r="I6" s="228"/>
      <c r="J6" s="228"/>
      <c r="K6" s="228"/>
      <c r="L6" s="14"/>
    </row>
    <row r="7" spans="1:12" x14ac:dyDescent="0.15">
      <c r="A7" s="9" t="s">
        <v>164</v>
      </c>
      <c r="B7" s="9" t="s">
        <v>1759</v>
      </c>
      <c r="C7" s="9" t="s">
        <v>1759</v>
      </c>
      <c r="D7" s="25" t="s">
        <v>416</v>
      </c>
      <c r="E7" s="10">
        <f t="shared" si="0"/>
        <v>86</v>
      </c>
      <c r="F7" s="20">
        <v>95</v>
      </c>
      <c r="I7" s="228"/>
      <c r="J7" s="228"/>
      <c r="K7" s="228"/>
      <c r="L7" s="14"/>
    </row>
    <row r="8" spans="1:12" x14ac:dyDescent="0.15">
      <c r="A8" s="9" t="s">
        <v>164</v>
      </c>
      <c r="B8" s="9" t="s">
        <v>1759</v>
      </c>
      <c r="C8" s="9" t="s">
        <v>1759</v>
      </c>
      <c r="D8" s="25" t="s">
        <v>417</v>
      </c>
      <c r="E8" s="10">
        <f t="shared" si="0"/>
        <v>96</v>
      </c>
      <c r="F8" s="20">
        <v>120</v>
      </c>
      <c r="I8" s="228"/>
      <c r="J8" s="228"/>
      <c r="K8" s="228"/>
      <c r="L8" s="14"/>
    </row>
    <row r="9" spans="1:12" s="32" customFormat="1" x14ac:dyDescent="0.15">
      <c r="A9" s="32" t="s">
        <v>164</v>
      </c>
      <c r="B9" s="32" t="s">
        <v>1861</v>
      </c>
      <c r="C9" s="32" t="s">
        <v>1760</v>
      </c>
      <c r="D9" s="77" t="s">
        <v>534</v>
      </c>
      <c r="E9" s="11">
        <f t="shared" si="0"/>
        <v>121</v>
      </c>
      <c r="F9" s="19">
        <v>160</v>
      </c>
      <c r="G9" s="14">
        <v>0.4</v>
      </c>
      <c r="H9" s="14">
        <v>0.06</v>
      </c>
      <c r="I9" s="190">
        <v>0.5</v>
      </c>
      <c r="J9" s="190">
        <v>0.52</v>
      </c>
      <c r="K9" s="190">
        <v>0.55000000000000004</v>
      </c>
      <c r="L9" s="14">
        <v>0.55000000000000004</v>
      </c>
    </row>
    <row r="10" spans="1:12" x14ac:dyDescent="0.15">
      <c r="A10" s="9" t="s">
        <v>164</v>
      </c>
      <c r="B10" s="9" t="s">
        <v>1861</v>
      </c>
      <c r="C10" s="9" t="s">
        <v>1760</v>
      </c>
      <c r="D10" s="25" t="s">
        <v>535</v>
      </c>
      <c r="E10" s="10">
        <f t="shared" si="0"/>
        <v>161</v>
      </c>
      <c r="F10" s="20">
        <v>200</v>
      </c>
      <c r="G10" s="24"/>
      <c r="H10" s="24"/>
      <c r="I10" s="195"/>
      <c r="J10" s="228"/>
      <c r="K10" s="228"/>
      <c r="L10" s="14"/>
    </row>
    <row r="11" spans="1:12" x14ac:dyDescent="0.15">
      <c r="A11" s="9" t="s">
        <v>164</v>
      </c>
      <c r="B11" s="9" t="s">
        <v>1861</v>
      </c>
      <c r="C11" s="9" t="s">
        <v>1760</v>
      </c>
      <c r="D11" s="25" t="s">
        <v>536</v>
      </c>
      <c r="E11" s="10">
        <f t="shared" si="0"/>
        <v>201</v>
      </c>
      <c r="F11" s="20">
        <v>240</v>
      </c>
      <c r="I11" s="228"/>
      <c r="J11" s="228"/>
      <c r="K11" s="228"/>
      <c r="L11" s="14"/>
    </row>
    <row r="12" spans="1:12" x14ac:dyDescent="0.15">
      <c r="A12" s="9" t="s">
        <v>164</v>
      </c>
      <c r="B12" s="9" t="s">
        <v>1861</v>
      </c>
      <c r="C12" s="9" t="s">
        <v>1760</v>
      </c>
      <c r="D12" s="194" t="s">
        <v>537</v>
      </c>
      <c r="E12" s="10">
        <f t="shared" si="0"/>
        <v>241</v>
      </c>
      <c r="F12" s="37">
        <v>300</v>
      </c>
      <c r="I12" s="228"/>
      <c r="J12" s="228"/>
      <c r="K12" s="228"/>
      <c r="L12" s="14"/>
    </row>
    <row r="13" spans="1:12" x14ac:dyDescent="0.15">
      <c r="A13" s="9" t="s">
        <v>164</v>
      </c>
      <c r="B13" s="9" t="s">
        <v>1861</v>
      </c>
      <c r="C13" s="9" t="s">
        <v>1760</v>
      </c>
      <c r="D13" s="25" t="s">
        <v>538</v>
      </c>
      <c r="E13" s="10">
        <f t="shared" si="0"/>
        <v>301</v>
      </c>
      <c r="F13" s="20">
        <v>420</v>
      </c>
      <c r="I13" s="228"/>
      <c r="J13" s="228"/>
      <c r="K13" s="228"/>
      <c r="L13" s="14"/>
    </row>
    <row r="14" spans="1:12" s="32" customFormat="1" x14ac:dyDescent="0.15">
      <c r="A14" s="32" t="s">
        <v>164</v>
      </c>
      <c r="B14" s="32" t="s">
        <v>1849</v>
      </c>
      <c r="C14" s="32" t="s">
        <v>1760</v>
      </c>
      <c r="D14" s="77" t="s">
        <v>539</v>
      </c>
      <c r="E14" s="11">
        <f t="shared" si="0"/>
        <v>421</v>
      </c>
      <c r="F14" s="19">
        <v>440</v>
      </c>
      <c r="G14" s="14">
        <v>0.85</v>
      </c>
      <c r="H14" s="14">
        <v>0.14000000000000001</v>
      </c>
      <c r="I14" s="190">
        <v>0.95</v>
      </c>
      <c r="J14" s="190">
        <v>0.72</v>
      </c>
      <c r="K14" s="190">
        <v>0.6</v>
      </c>
      <c r="L14" s="14">
        <v>0.55000000000000004</v>
      </c>
    </row>
    <row r="15" spans="1:12" x14ac:dyDescent="0.15">
      <c r="A15" s="9" t="s">
        <v>164</v>
      </c>
      <c r="B15" s="9" t="s">
        <v>1849</v>
      </c>
      <c r="C15" s="9" t="s">
        <v>1760</v>
      </c>
      <c r="D15" s="25" t="s">
        <v>540</v>
      </c>
      <c r="E15" s="10">
        <f t="shared" si="0"/>
        <v>441</v>
      </c>
      <c r="F15" s="20">
        <v>520</v>
      </c>
      <c r="G15" s="24"/>
      <c r="H15" s="24"/>
      <c r="I15" s="195"/>
      <c r="J15" s="228"/>
      <c r="K15" s="228"/>
      <c r="L15" s="14"/>
    </row>
    <row r="16" spans="1:12" x14ac:dyDescent="0.15">
      <c r="A16" s="9" t="s">
        <v>164</v>
      </c>
      <c r="B16" s="9" t="s">
        <v>1849</v>
      </c>
      <c r="C16" s="9" t="s">
        <v>1760</v>
      </c>
      <c r="D16" s="25" t="s">
        <v>541</v>
      </c>
      <c r="E16" s="10">
        <f t="shared" si="0"/>
        <v>521</v>
      </c>
      <c r="F16" s="20">
        <v>580</v>
      </c>
      <c r="I16" s="228"/>
      <c r="J16" s="228"/>
      <c r="K16" s="228"/>
      <c r="L16" s="14"/>
    </row>
    <row r="17" spans="1:12" x14ac:dyDescent="0.15">
      <c r="A17" s="9" t="s">
        <v>164</v>
      </c>
      <c r="B17" s="9" t="s">
        <v>1849</v>
      </c>
      <c r="C17" s="9" t="s">
        <v>1760</v>
      </c>
      <c r="D17" s="25" t="s">
        <v>542</v>
      </c>
      <c r="E17" s="10">
        <f t="shared" si="0"/>
        <v>581</v>
      </c>
      <c r="F17" s="20">
        <v>640</v>
      </c>
      <c r="I17" s="228"/>
      <c r="J17" s="228"/>
      <c r="K17" s="228"/>
      <c r="L17" s="14"/>
    </row>
    <row r="18" spans="1:12" x14ac:dyDescent="0.15">
      <c r="A18" s="9" t="s">
        <v>164</v>
      </c>
      <c r="B18" s="9" t="s">
        <v>1849</v>
      </c>
      <c r="C18" s="9" t="s">
        <v>1760</v>
      </c>
      <c r="D18" s="25" t="s">
        <v>543</v>
      </c>
      <c r="E18" s="10">
        <f t="shared" si="0"/>
        <v>641</v>
      </c>
      <c r="F18" s="20">
        <v>700</v>
      </c>
      <c r="I18" s="228"/>
      <c r="J18" s="228"/>
      <c r="K18" s="228"/>
      <c r="L18" s="14"/>
    </row>
    <row r="19" spans="1:12" s="32" customFormat="1" x14ac:dyDescent="0.15">
      <c r="A19" s="32" t="s">
        <v>164</v>
      </c>
      <c r="B19" s="32" t="s">
        <v>1890</v>
      </c>
      <c r="C19" s="32" t="s">
        <v>1760</v>
      </c>
      <c r="D19" s="77" t="s">
        <v>512</v>
      </c>
      <c r="E19" s="11">
        <f t="shared" si="0"/>
        <v>701</v>
      </c>
      <c r="F19" s="19">
        <v>740</v>
      </c>
      <c r="G19" s="14">
        <v>1.3</v>
      </c>
      <c r="H19" s="14">
        <v>0.22</v>
      </c>
      <c r="I19" s="190">
        <v>1.6</v>
      </c>
      <c r="J19" s="190">
        <v>0.92</v>
      </c>
      <c r="K19" s="190">
        <v>0.66</v>
      </c>
      <c r="L19" s="14">
        <v>0.6</v>
      </c>
    </row>
    <row r="20" spans="1:12" x14ac:dyDescent="0.15">
      <c r="A20" s="9" t="s">
        <v>164</v>
      </c>
      <c r="B20" s="9" t="s">
        <v>1890</v>
      </c>
      <c r="C20" s="9" t="s">
        <v>1760</v>
      </c>
      <c r="D20" s="25" t="s">
        <v>390</v>
      </c>
      <c r="E20" s="10">
        <f t="shared" si="0"/>
        <v>741</v>
      </c>
      <c r="F20" s="20">
        <v>780</v>
      </c>
      <c r="G20" s="24"/>
      <c r="H20" s="24"/>
      <c r="I20" s="195"/>
      <c r="J20" s="228"/>
      <c r="K20" s="228"/>
      <c r="L20" s="14"/>
    </row>
    <row r="21" spans="1:12" x14ac:dyDescent="0.15">
      <c r="A21" s="9" t="s">
        <v>164</v>
      </c>
      <c r="B21" s="9" t="s">
        <v>1890</v>
      </c>
      <c r="C21" s="9" t="s">
        <v>1760</v>
      </c>
      <c r="D21" s="25" t="s">
        <v>391</v>
      </c>
      <c r="E21" s="10">
        <f t="shared" si="0"/>
        <v>781</v>
      </c>
      <c r="F21" s="20">
        <v>820</v>
      </c>
      <c r="I21" s="228"/>
      <c r="J21" s="228"/>
      <c r="K21" s="228"/>
      <c r="L21" s="14"/>
    </row>
    <row r="22" spans="1:12" x14ac:dyDescent="0.15">
      <c r="A22" s="9" t="s">
        <v>164</v>
      </c>
      <c r="B22" s="9" t="s">
        <v>1890</v>
      </c>
      <c r="C22" s="9" t="s">
        <v>1760</v>
      </c>
      <c r="D22" s="25" t="s">
        <v>392</v>
      </c>
      <c r="E22" s="10">
        <f t="shared" si="0"/>
        <v>821</v>
      </c>
      <c r="F22" s="20">
        <v>860</v>
      </c>
      <c r="I22" s="228"/>
      <c r="J22" s="228"/>
      <c r="K22" s="228"/>
      <c r="L22" s="14"/>
    </row>
    <row r="23" spans="1:12" x14ac:dyDescent="0.15">
      <c r="A23" s="9" t="s">
        <v>164</v>
      </c>
      <c r="B23" s="9" t="s">
        <v>1890</v>
      </c>
      <c r="C23" s="9" t="s">
        <v>1760</v>
      </c>
      <c r="D23" s="25" t="s">
        <v>544</v>
      </c>
      <c r="E23" s="10">
        <f t="shared" si="0"/>
        <v>861</v>
      </c>
      <c r="F23" s="20">
        <v>920</v>
      </c>
      <c r="I23" s="228"/>
      <c r="J23" s="228"/>
      <c r="K23" s="228"/>
      <c r="L23" s="14"/>
    </row>
    <row r="24" spans="1:12" x14ac:dyDescent="0.15">
      <c r="A24" s="9" t="s">
        <v>164</v>
      </c>
      <c r="B24" s="9" t="s">
        <v>1890</v>
      </c>
      <c r="C24" s="9" t="s">
        <v>1760</v>
      </c>
      <c r="D24" s="25" t="s">
        <v>394</v>
      </c>
      <c r="E24" s="10">
        <f t="shared" si="0"/>
        <v>921</v>
      </c>
      <c r="F24" s="20">
        <v>980</v>
      </c>
      <c r="I24" s="228"/>
      <c r="J24" s="228"/>
      <c r="K24" s="228"/>
      <c r="L24" s="14"/>
    </row>
    <row r="25" spans="1:12" s="32" customFormat="1" x14ac:dyDescent="0.15">
      <c r="A25" s="32" t="s">
        <v>164</v>
      </c>
      <c r="B25" s="32" t="s">
        <v>1851</v>
      </c>
      <c r="C25" s="32" t="s">
        <v>1760</v>
      </c>
      <c r="D25" s="77" t="s">
        <v>545</v>
      </c>
      <c r="E25" s="11">
        <f t="shared" si="0"/>
        <v>981</v>
      </c>
      <c r="F25" s="19">
        <v>1010</v>
      </c>
      <c r="G25" s="14">
        <v>1.6</v>
      </c>
      <c r="H25" s="14">
        <v>0.3</v>
      </c>
      <c r="I25" s="190">
        <v>1.95</v>
      </c>
      <c r="J25" s="190">
        <v>0.98</v>
      </c>
      <c r="K25" s="190">
        <v>0.67</v>
      </c>
      <c r="L25" s="14">
        <v>0.65</v>
      </c>
    </row>
    <row r="26" spans="1:12" x14ac:dyDescent="0.15">
      <c r="A26" s="9" t="s">
        <v>164</v>
      </c>
      <c r="B26" s="9" t="s">
        <v>1851</v>
      </c>
      <c r="C26" s="9" t="s">
        <v>1760</v>
      </c>
      <c r="D26" s="25" t="s">
        <v>546</v>
      </c>
      <c r="E26" s="10">
        <f t="shared" si="0"/>
        <v>1011</v>
      </c>
      <c r="F26" s="20">
        <v>1040</v>
      </c>
      <c r="G26" s="24"/>
      <c r="H26" s="24"/>
      <c r="I26" s="195"/>
      <c r="J26" s="228"/>
      <c r="K26" s="228"/>
      <c r="L26" s="14"/>
    </row>
    <row r="27" spans="1:12" x14ac:dyDescent="0.15">
      <c r="A27" s="9" t="s">
        <v>164</v>
      </c>
      <c r="B27" s="9" t="s">
        <v>1851</v>
      </c>
      <c r="C27" s="9" t="s">
        <v>1760</v>
      </c>
      <c r="D27" s="25" t="s">
        <v>547</v>
      </c>
      <c r="E27" s="10">
        <f t="shared" si="0"/>
        <v>1041</v>
      </c>
      <c r="F27" s="20">
        <v>1070</v>
      </c>
      <c r="I27" s="228"/>
      <c r="J27" s="228"/>
      <c r="K27" s="228"/>
      <c r="L27" s="14"/>
    </row>
    <row r="28" spans="1:12" x14ac:dyDescent="0.15">
      <c r="A28" s="9" t="s">
        <v>164</v>
      </c>
      <c r="B28" s="9" t="s">
        <v>1851</v>
      </c>
      <c r="C28" s="9" t="s">
        <v>1760</v>
      </c>
      <c r="D28" s="25" t="s">
        <v>548</v>
      </c>
      <c r="E28" s="10">
        <f t="shared" si="0"/>
        <v>1071</v>
      </c>
      <c r="F28" s="20">
        <v>1100</v>
      </c>
      <c r="I28" s="228"/>
      <c r="J28" s="228"/>
      <c r="K28" s="228"/>
      <c r="L28" s="14"/>
    </row>
    <row r="29" spans="1:12" x14ac:dyDescent="0.15">
      <c r="A29" s="9" t="s">
        <v>164</v>
      </c>
      <c r="B29" s="9" t="s">
        <v>1851</v>
      </c>
      <c r="C29" s="9" t="s">
        <v>1760</v>
      </c>
      <c r="D29" s="25" t="s">
        <v>549</v>
      </c>
      <c r="E29" s="10">
        <f t="shared" si="0"/>
        <v>1101</v>
      </c>
      <c r="F29" s="20">
        <v>1120</v>
      </c>
      <c r="I29" s="228"/>
      <c r="J29" s="228"/>
      <c r="K29" s="228"/>
      <c r="L29" s="14"/>
    </row>
    <row r="30" spans="1:12" s="32" customFormat="1" x14ac:dyDescent="0.15">
      <c r="A30" s="32" t="s">
        <v>164</v>
      </c>
      <c r="B30" s="32" t="s">
        <v>1893</v>
      </c>
      <c r="C30" s="32" t="s">
        <v>1761</v>
      </c>
      <c r="D30" s="77" t="s">
        <v>550</v>
      </c>
      <c r="E30" s="11">
        <f t="shared" si="0"/>
        <v>1121</v>
      </c>
      <c r="F30" s="19">
        <v>1150</v>
      </c>
      <c r="G30" s="14">
        <v>1.45</v>
      </c>
      <c r="H30" s="14">
        <v>0.28000000000000003</v>
      </c>
      <c r="I30" s="190">
        <v>1.8</v>
      </c>
      <c r="J30" s="190">
        <v>1.02</v>
      </c>
      <c r="K30" s="190">
        <v>0.64</v>
      </c>
      <c r="L30" s="14">
        <v>0.75</v>
      </c>
    </row>
    <row r="31" spans="1:12" x14ac:dyDescent="0.15">
      <c r="A31" s="9" t="s">
        <v>164</v>
      </c>
      <c r="B31" s="9" t="s">
        <v>1893</v>
      </c>
      <c r="C31" s="9" t="s">
        <v>1761</v>
      </c>
      <c r="D31" s="25" t="s">
        <v>551</v>
      </c>
      <c r="E31" s="10">
        <f t="shared" si="0"/>
        <v>1151</v>
      </c>
      <c r="F31" s="20">
        <v>1180</v>
      </c>
      <c r="G31" s="24"/>
      <c r="H31" s="24"/>
      <c r="I31" s="195"/>
      <c r="J31" s="228"/>
      <c r="K31" s="228"/>
      <c r="L31" s="14"/>
    </row>
    <row r="32" spans="1:12" x14ac:dyDescent="0.15">
      <c r="A32" s="9" t="s">
        <v>164</v>
      </c>
      <c r="B32" s="9" t="s">
        <v>1893</v>
      </c>
      <c r="C32" s="9" t="s">
        <v>1761</v>
      </c>
      <c r="D32" s="25" t="s">
        <v>552</v>
      </c>
      <c r="E32" s="10">
        <f t="shared" si="0"/>
        <v>1181</v>
      </c>
      <c r="F32" s="20">
        <v>1210</v>
      </c>
      <c r="I32" s="228"/>
      <c r="J32" s="228"/>
      <c r="K32" s="228"/>
      <c r="L32" s="14"/>
    </row>
    <row r="33" spans="1:12" x14ac:dyDescent="0.15">
      <c r="A33" s="9" t="s">
        <v>164</v>
      </c>
      <c r="B33" s="9" t="s">
        <v>1893</v>
      </c>
      <c r="C33" s="9" t="s">
        <v>1761</v>
      </c>
      <c r="D33" s="25" t="s">
        <v>553</v>
      </c>
      <c r="E33" s="10">
        <f t="shared" si="0"/>
        <v>1211</v>
      </c>
      <c r="F33" s="20">
        <v>1240</v>
      </c>
      <c r="I33" s="228"/>
      <c r="J33" s="228"/>
      <c r="K33" s="228"/>
      <c r="L33" s="14"/>
    </row>
    <row r="34" spans="1:12" x14ac:dyDescent="0.15">
      <c r="A34" s="9" t="s">
        <v>164</v>
      </c>
      <c r="B34" s="9" t="s">
        <v>1893</v>
      </c>
      <c r="C34" s="9" t="s">
        <v>1761</v>
      </c>
      <c r="D34" s="25" t="s">
        <v>554</v>
      </c>
      <c r="E34" s="10">
        <f t="shared" si="0"/>
        <v>1241</v>
      </c>
      <c r="F34" s="20">
        <v>1260</v>
      </c>
      <c r="I34" s="228"/>
      <c r="J34" s="228"/>
      <c r="K34" s="228"/>
      <c r="L34" s="14"/>
    </row>
    <row r="35" spans="1:12" x14ac:dyDescent="0.15">
      <c r="A35" s="9" t="s">
        <v>164</v>
      </c>
      <c r="B35" s="9" t="s">
        <v>1893</v>
      </c>
      <c r="C35" s="9" t="s">
        <v>1761</v>
      </c>
      <c r="D35" s="25" t="s">
        <v>555</v>
      </c>
      <c r="E35" s="10">
        <f t="shared" si="0"/>
        <v>1261</v>
      </c>
      <c r="F35" s="20">
        <v>1280</v>
      </c>
      <c r="I35" s="228"/>
      <c r="J35" s="228"/>
      <c r="K35" s="228"/>
      <c r="L35" s="14"/>
    </row>
    <row r="36" spans="1:12" x14ac:dyDescent="0.15">
      <c r="A36" s="9" t="s">
        <v>164</v>
      </c>
      <c r="B36" s="9" t="s">
        <v>1893</v>
      </c>
      <c r="C36" s="9" t="s">
        <v>1761</v>
      </c>
      <c r="D36" s="25" t="s">
        <v>556</v>
      </c>
      <c r="E36" s="10">
        <f t="shared" si="0"/>
        <v>1281</v>
      </c>
      <c r="F36" s="20">
        <v>1300</v>
      </c>
      <c r="I36" s="228"/>
      <c r="J36" s="228"/>
      <c r="K36" s="228"/>
      <c r="L36" s="14"/>
    </row>
    <row r="37" spans="1:12" x14ac:dyDescent="0.15">
      <c r="A37" s="9" t="s">
        <v>164</v>
      </c>
      <c r="B37" s="9" t="s">
        <v>1893</v>
      </c>
      <c r="C37" s="9" t="s">
        <v>1761</v>
      </c>
      <c r="D37" s="25" t="s">
        <v>557</v>
      </c>
      <c r="E37" s="10">
        <f t="shared" si="0"/>
        <v>1301</v>
      </c>
      <c r="F37" s="20">
        <v>1310</v>
      </c>
      <c r="I37" s="228"/>
      <c r="J37" s="228"/>
      <c r="K37" s="228"/>
      <c r="L37" s="14"/>
    </row>
    <row r="38" spans="1:12" x14ac:dyDescent="0.15">
      <c r="A38" s="9" t="s">
        <v>164</v>
      </c>
      <c r="B38" s="9" t="s">
        <v>1893</v>
      </c>
      <c r="C38" s="9" t="s">
        <v>1761</v>
      </c>
      <c r="D38" s="25" t="s">
        <v>558</v>
      </c>
      <c r="E38" s="10">
        <f t="shared" si="0"/>
        <v>1311</v>
      </c>
      <c r="F38" s="20">
        <v>1320</v>
      </c>
      <c r="I38" s="228"/>
      <c r="J38" s="228"/>
      <c r="K38" s="228"/>
      <c r="L38" s="14"/>
    </row>
    <row r="39" spans="1:12" s="32" customFormat="1" x14ac:dyDescent="0.15">
      <c r="A39" s="32" t="s">
        <v>164</v>
      </c>
      <c r="B39" s="32" t="s">
        <v>1894</v>
      </c>
      <c r="C39" s="32" t="s">
        <v>1761</v>
      </c>
      <c r="D39" s="77" t="s">
        <v>559</v>
      </c>
      <c r="E39" s="11">
        <f t="shared" si="0"/>
        <v>1321</v>
      </c>
      <c r="F39" s="19">
        <v>1340</v>
      </c>
      <c r="G39" s="14">
        <v>1.1000000000000001</v>
      </c>
      <c r="H39" s="14">
        <v>0.22</v>
      </c>
      <c r="I39" s="190">
        <v>1.4</v>
      </c>
      <c r="J39" s="190">
        <v>1.05</v>
      </c>
      <c r="K39" s="190">
        <v>0.6</v>
      </c>
      <c r="L39" s="14">
        <v>0.8</v>
      </c>
    </row>
    <row r="40" spans="1:12" x14ac:dyDescent="0.15">
      <c r="A40" s="9" t="s">
        <v>164</v>
      </c>
      <c r="B40" s="9" t="s">
        <v>1894</v>
      </c>
      <c r="C40" s="9" t="s">
        <v>1761</v>
      </c>
      <c r="D40" s="25" t="s">
        <v>560</v>
      </c>
      <c r="E40" s="10">
        <f t="shared" si="0"/>
        <v>1341</v>
      </c>
      <c r="F40" s="20">
        <v>1400</v>
      </c>
      <c r="G40" s="24"/>
      <c r="H40" s="24"/>
      <c r="I40" s="195"/>
      <c r="J40" s="228"/>
      <c r="K40" s="228"/>
      <c r="L40" s="14"/>
    </row>
    <row r="41" spans="1:12" x14ac:dyDescent="0.15">
      <c r="A41" s="9" t="s">
        <v>164</v>
      </c>
      <c r="B41" s="9" t="s">
        <v>1894</v>
      </c>
      <c r="C41" s="9" t="s">
        <v>1761</v>
      </c>
      <c r="D41" s="25" t="s">
        <v>561</v>
      </c>
      <c r="E41" s="10">
        <f t="shared" si="0"/>
        <v>1401</v>
      </c>
      <c r="F41" s="20">
        <v>1480</v>
      </c>
      <c r="I41" s="228"/>
      <c r="J41" s="228"/>
      <c r="K41" s="228"/>
      <c r="L41" s="14"/>
    </row>
    <row r="42" spans="1:12" s="32" customFormat="1" x14ac:dyDescent="0.15">
      <c r="A42" s="32" t="s">
        <v>164</v>
      </c>
      <c r="B42" s="32" t="s">
        <v>1886</v>
      </c>
      <c r="C42" s="32" t="s">
        <v>1761</v>
      </c>
      <c r="D42" s="193" t="s">
        <v>562</v>
      </c>
      <c r="E42" s="11">
        <f t="shared" si="0"/>
        <v>1481</v>
      </c>
      <c r="F42" s="19">
        <v>1520</v>
      </c>
      <c r="G42" s="14">
        <v>0.95</v>
      </c>
      <c r="H42" s="14">
        <v>0.16</v>
      </c>
      <c r="I42" s="190">
        <v>1.05</v>
      </c>
      <c r="J42" s="190">
        <v>0.88</v>
      </c>
      <c r="K42" s="190">
        <v>0.56000000000000005</v>
      </c>
      <c r="L42" s="14">
        <v>0.6</v>
      </c>
    </row>
    <row r="43" spans="1:12" x14ac:dyDescent="0.15">
      <c r="A43" s="9" t="s">
        <v>164</v>
      </c>
      <c r="B43" s="9" t="s">
        <v>1886</v>
      </c>
      <c r="C43" s="9" t="s">
        <v>1761</v>
      </c>
      <c r="D43" s="25" t="s">
        <v>563</v>
      </c>
      <c r="E43" s="10">
        <f t="shared" si="0"/>
        <v>1521</v>
      </c>
      <c r="F43" s="20">
        <v>1560</v>
      </c>
      <c r="G43" s="24"/>
      <c r="H43" s="24"/>
      <c r="I43" s="195"/>
      <c r="J43" s="228"/>
      <c r="K43" s="228"/>
      <c r="L43" s="14"/>
    </row>
    <row r="44" spans="1:12" x14ac:dyDescent="0.15">
      <c r="A44" s="9" t="s">
        <v>164</v>
      </c>
      <c r="B44" s="9" t="s">
        <v>1886</v>
      </c>
      <c r="C44" s="9" t="s">
        <v>1761</v>
      </c>
      <c r="D44" s="25" t="s">
        <v>564</v>
      </c>
      <c r="E44" s="10">
        <f t="shared" si="0"/>
        <v>1561</v>
      </c>
      <c r="F44" s="20">
        <v>1600</v>
      </c>
      <c r="I44" s="228"/>
      <c r="J44" s="228"/>
      <c r="K44" s="228"/>
      <c r="L44" s="14"/>
    </row>
    <row r="45" spans="1:12" x14ac:dyDescent="0.15">
      <c r="A45" s="9" t="s">
        <v>164</v>
      </c>
      <c r="B45" s="9" t="s">
        <v>1886</v>
      </c>
      <c r="C45" s="9" t="s">
        <v>1761</v>
      </c>
      <c r="D45" s="25" t="s">
        <v>565</v>
      </c>
      <c r="E45" s="10">
        <f t="shared" si="0"/>
        <v>1601</v>
      </c>
      <c r="F45" s="20">
        <v>1640</v>
      </c>
      <c r="I45" s="228"/>
      <c r="J45" s="228"/>
      <c r="K45" s="228"/>
      <c r="L45" s="14"/>
    </row>
    <row r="46" spans="1:12" x14ac:dyDescent="0.15">
      <c r="A46" s="9" t="s">
        <v>164</v>
      </c>
      <c r="B46" s="9" t="s">
        <v>1886</v>
      </c>
      <c r="C46" s="9" t="s">
        <v>1761</v>
      </c>
      <c r="D46" s="194" t="s">
        <v>566</v>
      </c>
      <c r="E46" s="10">
        <f t="shared" si="0"/>
        <v>1641</v>
      </c>
      <c r="F46" s="37">
        <v>1780</v>
      </c>
      <c r="I46" s="228"/>
      <c r="J46" s="228"/>
      <c r="K46" s="228"/>
      <c r="L46" s="14"/>
    </row>
    <row r="47" spans="1:12" s="32" customFormat="1" x14ac:dyDescent="0.15">
      <c r="A47" s="32" t="s">
        <v>164</v>
      </c>
      <c r="B47" s="32" t="s">
        <v>1762</v>
      </c>
      <c r="C47" s="32" t="s">
        <v>1762</v>
      </c>
      <c r="D47" s="77" t="s">
        <v>567</v>
      </c>
      <c r="E47" s="11">
        <f t="shared" si="0"/>
        <v>1781</v>
      </c>
      <c r="F47" s="19">
        <v>1820</v>
      </c>
      <c r="G47" s="14">
        <v>0.3</v>
      </c>
      <c r="H47" s="14">
        <v>0.05</v>
      </c>
      <c r="I47" s="190">
        <v>0.3</v>
      </c>
      <c r="J47" s="190">
        <v>0.6</v>
      </c>
      <c r="K47" s="190">
        <v>0.45</v>
      </c>
      <c r="L47" s="14">
        <v>0.35</v>
      </c>
    </row>
    <row r="48" spans="1:12" x14ac:dyDescent="0.15">
      <c r="A48" s="9" t="s">
        <v>164</v>
      </c>
      <c r="B48" s="9" t="s">
        <v>1762</v>
      </c>
      <c r="C48" s="9" t="s">
        <v>1762</v>
      </c>
      <c r="D48" s="25" t="s">
        <v>568</v>
      </c>
      <c r="E48" s="10">
        <f t="shared" si="0"/>
        <v>1821</v>
      </c>
      <c r="F48" s="20">
        <v>1860</v>
      </c>
      <c r="G48" s="24"/>
      <c r="H48" s="24"/>
      <c r="I48" s="195"/>
      <c r="J48" s="228"/>
      <c r="K48" s="228"/>
      <c r="L48" s="14"/>
    </row>
    <row r="49" spans="1:12" x14ac:dyDescent="0.15">
      <c r="A49" s="9" t="s">
        <v>164</v>
      </c>
      <c r="B49" s="9" t="s">
        <v>1762</v>
      </c>
      <c r="C49" s="9" t="s">
        <v>1762</v>
      </c>
      <c r="D49" s="25" t="s">
        <v>569</v>
      </c>
      <c r="E49" s="10">
        <f t="shared" si="0"/>
        <v>1861</v>
      </c>
      <c r="F49" s="20">
        <v>1960</v>
      </c>
      <c r="I49" s="228"/>
      <c r="J49" s="228"/>
      <c r="K49" s="228"/>
      <c r="L49" s="14"/>
    </row>
    <row r="50" spans="1:12" x14ac:dyDescent="0.15">
      <c r="A50" s="9" t="s">
        <v>164</v>
      </c>
      <c r="B50" s="9" t="s">
        <v>1762</v>
      </c>
      <c r="C50" s="9" t="s">
        <v>1762</v>
      </c>
      <c r="D50" s="25" t="s">
        <v>570</v>
      </c>
      <c r="E50" s="10">
        <f t="shared" si="0"/>
        <v>1961</v>
      </c>
      <c r="F50" s="20">
        <v>2100</v>
      </c>
      <c r="I50" s="228"/>
      <c r="J50" s="228"/>
      <c r="K50" s="228"/>
      <c r="L50" s="14"/>
    </row>
    <row r="51" spans="1:12" s="32" customFormat="1" x14ac:dyDescent="0.15">
      <c r="A51" s="32" t="s">
        <v>164</v>
      </c>
      <c r="B51" s="32" t="s">
        <v>1903</v>
      </c>
      <c r="C51" s="32" t="s">
        <v>1903</v>
      </c>
      <c r="D51" s="77" t="s">
        <v>571</v>
      </c>
      <c r="E51" s="11">
        <f t="shared" si="0"/>
        <v>2101</v>
      </c>
      <c r="F51" s="19">
        <v>2200</v>
      </c>
      <c r="G51" s="14">
        <v>0.08</v>
      </c>
      <c r="H51" s="14">
        <v>0.02</v>
      </c>
      <c r="I51" s="190">
        <v>0.08</v>
      </c>
      <c r="J51" s="190">
        <v>0.4</v>
      </c>
      <c r="K51" s="190">
        <v>0.4</v>
      </c>
      <c r="L51" s="14">
        <v>0.15</v>
      </c>
    </row>
    <row r="52" spans="1:12" x14ac:dyDescent="0.15">
      <c r="A52" s="9" t="s">
        <v>164</v>
      </c>
      <c r="B52" s="9" t="s">
        <v>1903</v>
      </c>
      <c r="C52" s="9" t="s">
        <v>1903</v>
      </c>
      <c r="D52" s="25" t="s">
        <v>572</v>
      </c>
      <c r="E52" s="10">
        <f t="shared" si="0"/>
        <v>2201</v>
      </c>
      <c r="F52" s="20">
        <v>2250</v>
      </c>
      <c r="I52" s="228"/>
      <c r="J52" s="228"/>
      <c r="K52" s="228"/>
      <c r="L52" s="14"/>
    </row>
    <row r="53" spans="1:12" x14ac:dyDescent="0.15">
      <c r="A53" s="9" t="s">
        <v>164</v>
      </c>
      <c r="B53" s="9" t="s">
        <v>1903</v>
      </c>
      <c r="C53" s="9" t="s">
        <v>1903</v>
      </c>
      <c r="D53" s="25" t="s">
        <v>573</v>
      </c>
      <c r="E53" s="10">
        <f t="shared" si="0"/>
        <v>2251</v>
      </c>
      <c r="F53" s="20">
        <v>2350</v>
      </c>
      <c r="I53" s="228"/>
      <c r="J53" s="228"/>
      <c r="K53" s="228"/>
      <c r="L53" s="13"/>
    </row>
    <row r="54" spans="1:12" x14ac:dyDescent="0.15">
      <c r="A54" s="9" t="s">
        <v>164</v>
      </c>
      <c r="B54" s="9" t="s">
        <v>1903</v>
      </c>
      <c r="C54" s="9" t="s">
        <v>1903</v>
      </c>
      <c r="D54" s="25" t="s">
        <v>574</v>
      </c>
      <c r="E54" s="10">
        <f t="shared" si="0"/>
        <v>2351</v>
      </c>
      <c r="F54" s="20">
        <v>2400</v>
      </c>
      <c r="I54" s="228"/>
      <c r="J54" s="228"/>
      <c r="K54" s="228"/>
      <c r="L54" s="13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1F92-B6B6-4E25-9201-A3B7FA0DF36C}">
  <sheetPr>
    <tabColor rgb="FFFFFF00"/>
  </sheetPr>
  <dimension ref="A1:L58"/>
  <sheetViews>
    <sheetView workbookViewId="0">
      <selection activeCell="L58" sqref="L58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41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191" t="s">
        <v>173</v>
      </c>
      <c r="B2" s="32" t="s">
        <v>1759</v>
      </c>
      <c r="C2" s="32" t="s">
        <v>1759</v>
      </c>
      <c r="D2" s="77" t="s">
        <v>373</v>
      </c>
      <c r="E2" s="21">
        <v>0</v>
      </c>
      <c r="F2" s="19">
        <v>25</v>
      </c>
      <c r="G2" s="14">
        <v>0.05</v>
      </c>
      <c r="H2" s="14">
        <v>0.01</v>
      </c>
      <c r="I2" s="190">
        <v>0.05</v>
      </c>
      <c r="J2" s="190">
        <v>0.2</v>
      </c>
      <c r="K2" s="190">
        <v>0.3</v>
      </c>
      <c r="L2" s="190">
        <v>0.75</v>
      </c>
    </row>
    <row r="3" spans="1:12" x14ac:dyDescent="0.15">
      <c r="A3" s="192" t="s">
        <v>173</v>
      </c>
      <c r="B3" s="9" t="s">
        <v>1759</v>
      </c>
      <c r="C3" s="9" t="s">
        <v>1759</v>
      </c>
      <c r="D3" s="25" t="s">
        <v>374</v>
      </c>
      <c r="E3" s="30">
        <f>F2+1</f>
        <v>26</v>
      </c>
      <c r="F3" s="20">
        <v>60</v>
      </c>
      <c r="I3" s="190"/>
      <c r="J3" s="190"/>
      <c r="K3" s="190"/>
      <c r="L3" s="190"/>
    </row>
    <row r="4" spans="1:12" x14ac:dyDescent="0.15">
      <c r="A4" s="192" t="s">
        <v>173</v>
      </c>
      <c r="B4" s="9" t="s">
        <v>1759</v>
      </c>
      <c r="C4" s="9" t="s">
        <v>1759</v>
      </c>
      <c r="D4" s="25" t="s">
        <v>375</v>
      </c>
      <c r="E4" s="30">
        <f t="shared" ref="E4:E58" si="0">F3+1</f>
        <v>61</v>
      </c>
      <c r="F4" s="20">
        <v>100</v>
      </c>
      <c r="I4" s="190"/>
      <c r="J4" s="190"/>
      <c r="K4" s="190"/>
      <c r="L4" s="190"/>
    </row>
    <row r="5" spans="1:12" x14ac:dyDescent="0.15">
      <c r="A5" s="192" t="s">
        <v>173</v>
      </c>
      <c r="B5" s="9" t="s">
        <v>1759</v>
      </c>
      <c r="C5" s="9" t="s">
        <v>1759</v>
      </c>
      <c r="D5" s="25" t="s">
        <v>414</v>
      </c>
      <c r="E5" s="30">
        <f t="shared" si="0"/>
        <v>101</v>
      </c>
      <c r="F5" s="20">
        <v>135</v>
      </c>
      <c r="I5" s="190"/>
      <c r="J5" s="190"/>
      <c r="K5" s="190"/>
      <c r="L5" s="190"/>
    </row>
    <row r="6" spans="1:12" x14ac:dyDescent="0.15">
      <c r="A6" s="192" t="s">
        <v>173</v>
      </c>
      <c r="B6" s="9" t="s">
        <v>1759</v>
      </c>
      <c r="C6" s="9" t="s">
        <v>1759</v>
      </c>
      <c r="D6" s="25" t="s">
        <v>595</v>
      </c>
      <c r="E6" s="30">
        <f t="shared" si="0"/>
        <v>136</v>
      </c>
      <c r="F6" s="20">
        <v>150</v>
      </c>
      <c r="I6" s="190"/>
      <c r="J6" s="190"/>
      <c r="K6" s="190"/>
      <c r="L6" s="190"/>
    </row>
    <row r="7" spans="1:12" x14ac:dyDescent="0.15">
      <c r="A7" s="192" t="s">
        <v>173</v>
      </c>
      <c r="B7" s="9" t="s">
        <v>1759</v>
      </c>
      <c r="C7" s="9" t="s">
        <v>1759</v>
      </c>
      <c r="D7" s="25" t="s">
        <v>596</v>
      </c>
      <c r="E7" s="30">
        <f t="shared" si="0"/>
        <v>151</v>
      </c>
      <c r="F7" s="20">
        <v>160</v>
      </c>
      <c r="I7" s="190"/>
      <c r="J7" s="190"/>
      <c r="K7" s="190"/>
      <c r="L7" s="190"/>
    </row>
    <row r="8" spans="1:12" s="32" customFormat="1" x14ac:dyDescent="0.15">
      <c r="A8" s="191" t="s">
        <v>173</v>
      </c>
      <c r="B8" s="32" t="s">
        <v>1861</v>
      </c>
      <c r="C8" s="32" t="s">
        <v>1760</v>
      </c>
      <c r="D8" s="77" t="s">
        <v>380</v>
      </c>
      <c r="E8" s="21">
        <f t="shared" si="0"/>
        <v>161</v>
      </c>
      <c r="F8" s="19">
        <v>200</v>
      </c>
      <c r="G8" s="14">
        <v>0.8</v>
      </c>
      <c r="H8" s="14">
        <v>0.15</v>
      </c>
      <c r="I8" s="190">
        <v>0.7</v>
      </c>
      <c r="J8" s="190">
        <v>0.45</v>
      </c>
      <c r="K8" s="190">
        <v>0.5</v>
      </c>
      <c r="L8" s="190">
        <v>0.6</v>
      </c>
    </row>
    <row r="9" spans="1:12" x14ac:dyDescent="0.15">
      <c r="A9" s="192" t="s">
        <v>173</v>
      </c>
      <c r="B9" s="9" t="s">
        <v>1861</v>
      </c>
      <c r="C9" s="9" t="s">
        <v>1760</v>
      </c>
      <c r="D9" s="25" t="s">
        <v>535</v>
      </c>
      <c r="E9" s="30">
        <f t="shared" si="0"/>
        <v>201</v>
      </c>
      <c r="F9" s="20">
        <v>260</v>
      </c>
      <c r="G9" s="13"/>
      <c r="H9" s="13"/>
      <c r="I9" s="228"/>
      <c r="J9" s="190"/>
      <c r="K9" s="190"/>
      <c r="L9" s="190"/>
    </row>
    <row r="10" spans="1:12" x14ac:dyDescent="0.15">
      <c r="A10" s="192" t="s">
        <v>173</v>
      </c>
      <c r="B10" s="9" t="s">
        <v>1861</v>
      </c>
      <c r="C10" s="9" t="s">
        <v>1760</v>
      </c>
      <c r="D10" s="25" t="s">
        <v>536</v>
      </c>
      <c r="E10" s="30">
        <f t="shared" si="0"/>
        <v>261</v>
      </c>
      <c r="F10" s="20">
        <v>320</v>
      </c>
      <c r="I10" s="190"/>
      <c r="J10" s="190"/>
      <c r="K10" s="190"/>
      <c r="L10" s="190"/>
    </row>
    <row r="11" spans="1:12" x14ac:dyDescent="0.15">
      <c r="A11" s="192" t="s">
        <v>173</v>
      </c>
      <c r="B11" s="9" t="s">
        <v>1861</v>
      </c>
      <c r="C11" s="9" t="s">
        <v>1760</v>
      </c>
      <c r="D11" s="25" t="s">
        <v>537</v>
      </c>
      <c r="E11" s="30">
        <f t="shared" si="0"/>
        <v>321</v>
      </c>
      <c r="F11" s="20">
        <v>380</v>
      </c>
      <c r="I11" s="190"/>
      <c r="J11" s="190"/>
      <c r="K11" s="190"/>
      <c r="L11" s="190"/>
    </row>
    <row r="12" spans="1:12" x14ac:dyDescent="0.15">
      <c r="A12" s="192" t="s">
        <v>173</v>
      </c>
      <c r="B12" s="9" t="s">
        <v>1861</v>
      </c>
      <c r="C12" s="9" t="s">
        <v>1760</v>
      </c>
      <c r="D12" s="25" t="s">
        <v>538</v>
      </c>
      <c r="E12" s="30">
        <f t="shared" si="0"/>
        <v>381</v>
      </c>
      <c r="F12" s="20">
        <v>450</v>
      </c>
      <c r="I12" s="190"/>
      <c r="J12" s="190"/>
      <c r="K12" s="190"/>
      <c r="L12" s="190"/>
    </row>
    <row r="13" spans="1:12" s="32" customFormat="1" x14ac:dyDescent="0.15">
      <c r="A13" s="191" t="s">
        <v>173</v>
      </c>
      <c r="B13" s="32" t="s">
        <v>1857</v>
      </c>
      <c r="C13" s="32" t="s">
        <v>1760</v>
      </c>
      <c r="D13" s="77" t="s">
        <v>597</v>
      </c>
      <c r="E13" s="21">
        <f t="shared" si="0"/>
        <v>451</v>
      </c>
      <c r="F13" s="19">
        <v>480</v>
      </c>
      <c r="G13" s="14">
        <v>1.2</v>
      </c>
      <c r="H13" s="14">
        <v>0.25</v>
      </c>
      <c r="I13" s="190">
        <v>1</v>
      </c>
      <c r="J13" s="190">
        <v>0.65</v>
      </c>
      <c r="K13" s="190">
        <v>0.5</v>
      </c>
      <c r="L13" s="190">
        <v>0.65</v>
      </c>
    </row>
    <row r="14" spans="1:12" x14ac:dyDescent="0.15">
      <c r="A14" s="192" t="s">
        <v>173</v>
      </c>
      <c r="B14" s="9" t="s">
        <v>1857</v>
      </c>
      <c r="C14" s="9" t="s">
        <v>1760</v>
      </c>
      <c r="D14" s="25" t="s">
        <v>598</v>
      </c>
      <c r="E14" s="30">
        <f t="shared" si="0"/>
        <v>481</v>
      </c>
      <c r="F14" s="20">
        <v>520</v>
      </c>
      <c r="G14" s="13"/>
      <c r="H14" s="13"/>
      <c r="I14" s="228"/>
      <c r="J14" s="190"/>
      <c r="K14" s="190"/>
      <c r="L14" s="190"/>
    </row>
    <row r="15" spans="1:12" x14ac:dyDescent="0.15">
      <c r="A15" s="192" t="s">
        <v>173</v>
      </c>
      <c r="B15" s="9" t="s">
        <v>1857</v>
      </c>
      <c r="C15" s="9" t="s">
        <v>1760</v>
      </c>
      <c r="D15" s="25" t="s">
        <v>599</v>
      </c>
      <c r="E15" s="30">
        <f t="shared" si="0"/>
        <v>521</v>
      </c>
      <c r="F15" s="20">
        <v>560</v>
      </c>
      <c r="I15" s="190"/>
      <c r="J15" s="190"/>
      <c r="K15" s="190"/>
      <c r="L15" s="190"/>
    </row>
    <row r="16" spans="1:12" x14ac:dyDescent="0.15">
      <c r="A16" s="192" t="s">
        <v>173</v>
      </c>
      <c r="B16" s="9" t="s">
        <v>1857</v>
      </c>
      <c r="C16" s="9" t="s">
        <v>1760</v>
      </c>
      <c r="D16" s="25" t="s">
        <v>600</v>
      </c>
      <c r="E16" s="30">
        <f t="shared" si="0"/>
        <v>561</v>
      </c>
      <c r="F16" s="20">
        <v>590</v>
      </c>
      <c r="I16" s="190"/>
      <c r="J16" s="190"/>
      <c r="K16" s="190"/>
      <c r="L16" s="190"/>
    </row>
    <row r="17" spans="1:12" x14ac:dyDescent="0.15">
      <c r="A17" s="192" t="s">
        <v>173</v>
      </c>
      <c r="B17" s="9" t="s">
        <v>1857</v>
      </c>
      <c r="C17" s="9" t="s">
        <v>1760</v>
      </c>
      <c r="D17" s="25" t="s">
        <v>729</v>
      </c>
      <c r="E17" s="30">
        <f t="shared" si="0"/>
        <v>591</v>
      </c>
      <c r="F17" s="20">
        <v>600</v>
      </c>
      <c r="I17" s="190"/>
      <c r="J17" s="190"/>
      <c r="K17" s="190"/>
      <c r="L17" s="190"/>
    </row>
    <row r="18" spans="1:12" s="32" customFormat="1" x14ac:dyDescent="0.15">
      <c r="A18" s="191" t="s">
        <v>173</v>
      </c>
      <c r="B18" s="32" t="s">
        <v>1895</v>
      </c>
      <c r="C18" s="32" t="s">
        <v>1760</v>
      </c>
      <c r="D18" s="77" t="s">
        <v>512</v>
      </c>
      <c r="E18" s="21">
        <f t="shared" si="0"/>
        <v>601</v>
      </c>
      <c r="F18" s="19">
        <v>660</v>
      </c>
      <c r="G18" s="14">
        <v>1.8</v>
      </c>
      <c r="H18" s="14">
        <v>0.3</v>
      </c>
      <c r="I18" s="190">
        <v>1.5</v>
      </c>
      <c r="J18" s="190">
        <v>0.9</v>
      </c>
      <c r="K18" s="190">
        <v>0.5</v>
      </c>
      <c r="L18" s="190">
        <v>0.7</v>
      </c>
    </row>
    <row r="19" spans="1:12" x14ac:dyDescent="0.15">
      <c r="A19" s="192" t="s">
        <v>173</v>
      </c>
      <c r="B19" s="9" t="s">
        <v>1895</v>
      </c>
      <c r="C19" s="9" t="s">
        <v>1760</v>
      </c>
      <c r="D19" s="25" t="s">
        <v>601</v>
      </c>
      <c r="E19" s="30">
        <f t="shared" si="0"/>
        <v>661</v>
      </c>
      <c r="F19" s="20">
        <v>720</v>
      </c>
      <c r="G19" s="13"/>
      <c r="H19" s="13"/>
      <c r="I19" s="228"/>
      <c r="J19" s="190"/>
      <c r="K19" s="190"/>
      <c r="L19" s="190"/>
    </row>
    <row r="20" spans="1:12" x14ac:dyDescent="0.15">
      <c r="A20" s="192" t="s">
        <v>173</v>
      </c>
      <c r="B20" s="9" t="s">
        <v>1895</v>
      </c>
      <c r="C20" s="9" t="s">
        <v>1760</v>
      </c>
      <c r="D20" s="25" t="s">
        <v>602</v>
      </c>
      <c r="E20" s="30">
        <f t="shared" si="0"/>
        <v>721</v>
      </c>
      <c r="F20" s="20">
        <v>780</v>
      </c>
      <c r="I20" s="190"/>
      <c r="J20" s="190"/>
      <c r="K20" s="190"/>
      <c r="L20" s="190"/>
    </row>
    <row r="21" spans="1:12" x14ac:dyDescent="0.15">
      <c r="A21" s="192" t="s">
        <v>173</v>
      </c>
      <c r="B21" s="9" t="s">
        <v>1895</v>
      </c>
      <c r="C21" s="9" t="s">
        <v>1760</v>
      </c>
      <c r="D21" s="25" t="s">
        <v>603</v>
      </c>
      <c r="E21" s="30">
        <f t="shared" si="0"/>
        <v>781</v>
      </c>
      <c r="F21" s="20">
        <v>840</v>
      </c>
      <c r="I21" s="190"/>
      <c r="J21" s="190"/>
      <c r="K21" s="190"/>
      <c r="L21" s="190"/>
    </row>
    <row r="22" spans="1:12" x14ac:dyDescent="0.15">
      <c r="A22" s="192" t="s">
        <v>173</v>
      </c>
      <c r="B22" s="9" t="s">
        <v>1895</v>
      </c>
      <c r="C22" s="9" t="s">
        <v>1760</v>
      </c>
      <c r="D22" s="25" t="s">
        <v>516</v>
      </c>
      <c r="E22" s="30">
        <f t="shared" si="0"/>
        <v>841</v>
      </c>
      <c r="F22" s="20">
        <v>900</v>
      </c>
      <c r="I22" s="190"/>
      <c r="J22" s="190"/>
      <c r="K22" s="190"/>
      <c r="L22" s="190"/>
    </row>
    <row r="23" spans="1:12" s="32" customFormat="1" x14ac:dyDescent="0.15">
      <c r="A23" s="191" t="s">
        <v>173</v>
      </c>
      <c r="B23" s="32" t="s">
        <v>1858</v>
      </c>
      <c r="C23" s="32" t="s">
        <v>1761</v>
      </c>
      <c r="D23" s="77" t="s">
        <v>604</v>
      </c>
      <c r="E23" s="21">
        <f t="shared" si="0"/>
        <v>901</v>
      </c>
      <c r="F23" s="19">
        <v>960</v>
      </c>
      <c r="G23" s="14">
        <v>2</v>
      </c>
      <c r="H23" s="14">
        <v>0.35</v>
      </c>
      <c r="I23" s="190">
        <v>1.8</v>
      </c>
      <c r="J23" s="190">
        <v>1.05</v>
      </c>
      <c r="K23" s="190">
        <v>0.5</v>
      </c>
      <c r="L23" s="190">
        <v>0.8</v>
      </c>
    </row>
    <row r="24" spans="1:12" x14ac:dyDescent="0.15">
      <c r="A24" s="192" t="s">
        <v>173</v>
      </c>
      <c r="B24" s="9" t="s">
        <v>1858</v>
      </c>
      <c r="C24" s="9" t="s">
        <v>1761</v>
      </c>
      <c r="D24" s="25" t="s">
        <v>605</v>
      </c>
      <c r="E24" s="30">
        <f t="shared" si="0"/>
        <v>961</v>
      </c>
      <c r="F24" s="20">
        <v>1000</v>
      </c>
      <c r="G24" s="13"/>
      <c r="H24" s="13"/>
      <c r="I24" s="228"/>
      <c r="J24" s="190"/>
      <c r="K24" s="190"/>
      <c r="L24" s="190"/>
    </row>
    <row r="25" spans="1:12" x14ac:dyDescent="0.15">
      <c r="A25" s="192" t="s">
        <v>173</v>
      </c>
      <c r="B25" s="9" t="s">
        <v>1858</v>
      </c>
      <c r="C25" s="9" t="s">
        <v>1761</v>
      </c>
      <c r="D25" s="25" t="s">
        <v>606</v>
      </c>
      <c r="E25" s="30">
        <f t="shared" si="0"/>
        <v>1001</v>
      </c>
      <c r="F25" s="20">
        <v>1040</v>
      </c>
      <c r="I25" s="190"/>
      <c r="J25" s="190"/>
      <c r="K25" s="190"/>
      <c r="L25" s="190"/>
    </row>
    <row r="26" spans="1:12" x14ac:dyDescent="0.15">
      <c r="A26" s="192" t="s">
        <v>173</v>
      </c>
      <c r="B26" s="9" t="s">
        <v>1858</v>
      </c>
      <c r="C26" s="9" t="s">
        <v>1761</v>
      </c>
      <c r="D26" s="25" t="s">
        <v>607</v>
      </c>
      <c r="E26" s="30">
        <f t="shared" si="0"/>
        <v>1041</v>
      </c>
      <c r="F26" s="20">
        <v>1080</v>
      </c>
      <c r="I26" s="190"/>
      <c r="J26" s="190"/>
      <c r="K26" s="190"/>
      <c r="L26" s="190"/>
    </row>
    <row r="27" spans="1:12" x14ac:dyDescent="0.15">
      <c r="A27" s="192" t="s">
        <v>173</v>
      </c>
      <c r="B27" s="9" t="s">
        <v>1858</v>
      </c>
      <c r="C27" s="9" t="s">
        <v>1761</v>
      </c>
      <c r="D27" s="25" t="s">
        <v>608</v>
      </c>
      <c r="E27" s="30">
        <f t="shared" si="0"/>
        <v>1081</v>
      </c>
      <c r="F27" s="20">
        <v>1110</v>
      </c>
      <c r="I27" s="190"/>
      <c r="J27" s="190"/>
      <c r="K27" s="190"/>
      <c r="L27" s="190"/>
    </row>
    <row r="28" spans="1:12" x14ac:dyDescent="0.15">
      <c r="A28" s="192" t="s">
        <v>173</v>
      </c>
      <c r="B28" s="9" t="s">
        <v>1858</v>
      </c>
      <c r="C28" s="9" t="s">
        <v>1761</v>
      </c>
      <c r="D28" s="25" t="s">
        <v>609</v>
      </c>
      <c r="E28" s="30">
        <f t="shared" si="0"/>
        <v>1111</v>
      </c>
      <c r="F28" s="20">
        <v>1130</v>
      </c>
      <c r="I28" s="190"/>
      <c r="J28" s="190"/>
      <c r="K28" s="190"/>
      <c r="L28" s="190"/>
    </row>
    <row r="29" spans="1:12" x14ac:dyDescent="0.15">
      <c r="A29" s="192" t="s">
        <v>173</v>
      </c>
      <c r="B29" s="9" t="s">
        <v>1858</v>
      </c>
      <c r="C29" s="9" t="s">
        <v>1761</v>
      </c>
      <c r="D29" s="25" t="s">
        <v>610</v>
      </c>
      <c r="E29" s="30">
        <f t="shared" si="0"/>
        <v>1131</v>
      </c>
      <c r="F29" s="20">
        <v>1150</v>
      </c>
      <c r="I29" s="190"/>
      <c r="J29" s="190"/>
      <c r="K29" s="190"/>
      <c r="L29" s="190"/>
    </row>
    <row r="30" spans="1:12" s="32" customFormat="1" x14ac:dyDescent="0.15">
      <c r="A30" s="191" t="s">
        <v>173</v>
      </c>
      <c r="B30" s="32" t="s">
        <v>1859</v>
      </c>
      <c r="C30" s="32" t="s">
        <v>1761</v>
      </c>
      <c r="D30" s="77" t="s">
        <v>611</v>
      </c>
      <c r="E30" s="21">
        <f t="shared" si="0"/>
        <v>1151</v>
      </c>
      <c r="F30" s="19">
        <v>1170</v>
      </c>
      <c r="G30" s="14">
        <v>2.2000000000000002</v>
      </c>
      <c r="H30" s="14">
        <v>0.4</v>
      </c>
      <c r="I30" s="190">
        <v>2</v>
      </c>
      <c r="J30" s="190">
        <v>1.1000000000000001</v>
      </c>
      <c r="K30" s="190">
        <v>0.5</v>
      </c>
      <c r="L30" s="190">
        <v>0.9</v>
      </c>
    </row>
    <row r="31" spans="1:12" x14ac:dyDescent="0.15">
      <c r="A31" s="192" t="s">
        <v>173</v>
      </c>
      <c r="B31" s="9" t="s">
        <v>1859</v>
      </c>
      <c r="C31" s="9" t="s">
        <v>1761</v>
      </c>
      <c r="D31" s="25" t="s">
        <v>612</v>
      </c>
      <c r="E31" s="30">
        <f t="shared" si="0"/>
        <v>1171</v>
      </c>
      <c r="F31" s="20">
        <v>1200</v>
      </c>
      <c r="G31" s="13"/>
      <c r="H31" s="13"/>
      <c r="I31" s="228"/>
      <c r="J31" s="190"/>
      <c r="K31" s="190"/>
      <c r="L31" s="190"/>
    </row>
    <row r="32" spans="1:12" x14ac:dyDescent="0.15">
      <c r="A32" s="192" t="s">
        <v>173</v>
      </c>
      <c r="B32" s="9" t="s">
        <v>1859</v>
      </c>
      <c r="C32" s="9" t="s">
        <v>1761</v>
      </c>
      <c r="D32" s="25" t="s">
        <v>613</v>
      </c>
      <c r="E32" s="30">
        <f t="shared" si="0"/>
        <v>1201</v>
      </c>
      <c r="F32" s="20">
        <v>1230</v>
      </c>
      <c r="I32" s="190"/>
      <c r="J32" s="190"/>
      <c r="K32" s="190"/>
      <c r="L32" s="190"/>
    </row>
    <row r="33" spans="1:12" x14ac:dyDescent="0.15">
      <c r="A33" s="192" t="s">
        <v>173</v>
      </c>
      <c r="B33" s="9" t="s">
        <v>1859</v>
      </c>
      <c r="C33" s="9" t="s">
        <v>1761</v>
      </c>
      <c r="D33" s="25" t="s">
        <v>614</v>
      </c>
      <c r="E33" s="30">
        <f t="shared" si="0"/>
        <v>1231</v>
      </c>
      <c r="F33" s="20">
        <v>1260</v>
      </c>
      <c r="I33" s="190"/>
      <c r="J33" s="190"/>
      <c r="K33" s="190"/>
      <c r="L33" s="190"/>
    </row>
    <row r="34" spans="1:12" x14ac:dyDescent="0.15">
      <c r="A34" s="192" t="s">
        <v>173</v>
      </c>
      <c r="B34" s="9" t="s">
        <v>1859</v>
      </c>
      <c r="C34" s="9" t="s">
        <v>1761</v>
      </c>
      <c r="D34" s="25" t="s">
        <v>615</v>
      </c>
      <c r="E34" s="30">
        <f t="shared" si="0"/>
        <v>1261</v>
      </c>
      <c r="F34" s="20">
        <v>1290</v>
      </c>
      <c r="I34" s="190"/>
      <c r="J34" s="190"/>
      <c r="K34" s="190"/>
      <c r="L34" s="190"/>
    </row>
    <row r="35" spans="1:12" x14ac:dyDescent="0.15">
      <c r="A35" s="192" t="s">
        <v>173</v>
      </c>
      <c r="B35" s="9" t="s">
        <v>1859</v>
      </c>
      <c r="C35" s="9" t="s">
        <v>1761</v>
      </c>
      <c r="D35" s="25" t="s">
        <v>902</v>
      </c>
      <c r="E35" s="30">
        <f t="shared" si="0"/>
        <v>1291</v>
      </c>
      <c r="F35" s="20">
        <v>1330</v>
      </c>
      <c r="I35" s="190"/>
      <c r="J35" s="190"/>
      <c r="K35" s="190"/>
      <c r="L35" s="190"/>
    </row>
    <row r="36" spans="1:12" x14ac:dyDescent="0.15">
      <c r="A36" s="192" t="s">
        <v>173</v>
      </c>
      <c r="B36" s="9" t="s">
        <v>1859</v>
      </c>
      <c r="C36" s="9" t="s">
        <v>1761</v>
      </c>
      <c r="D36" s="25" t="s">
        <v>520</v>
      </c>
      <c r="E36" s="30">
        <f t="shared" si="0"/>
        <v>1331</v>
      </c>
      <c r="F36" s="20">
        <v>1370</v>
      </c>
      <c r="I36" s="190"/>
      <c r="J36" s="190"/>
      <c r="K36" s="190"/>
      <c r="L36" s="190"/>
    </row>
    <row r="37" spans="1:12" x14ac:dyDescent="0.15">
      <c r="A37" s="192" t="s">
        <v>173</v>
      </c>
      <c r="B37" s="9" t="s">
        <v>1859</v>
      </c>
      <c r="C37" s="9" t="s">
        <v>1761</v>
      </c>
      <c r="D37" s="25" t="s">
        <v>521</v>
      </c>
      <c r="E37" s="30">
        <f t="shared" si="0"/>
        <v>1371</v>
      </c>
      <c r="F37" s="20">
        <v>1400</v>
      </c>
      <c r="I37" s="190"/>
      <c r="J37" s="190"/>
      <c r="K37" s="190"/>
      <c r="L37" s="190"/>
    </row>
    <row r="38" spans="1:12" s="32" customFormat="1" x14ac:dyDescent="0.15">
      <c r="A38" s="191" t="s">
        <v>173</v>
      </c>
      <c r="B38" s="32" t="s">
        <v>1854</v>
      </c>
      <c r="C38" s="32" t="s">
        <v>1761</v>
      </c>
      <c r="D38" s="77" t="s">
        <v>617</v>
      </c>
      <c r="E38" s="21">
        <f t="shared" si="0"/>
        <v>1401</v>
      </c>
      <c r="F38" s="19">
        <v>1430</v>
      </c>
      <c r="G38" s="14">
        <v>1.4</v>
      </c>
      <c r="H38" s="14">
        <v>0.25</v>
      </c>
      <c r="I38" s="190">
        <v>1.2</v>
      </c>
      <c r="J38" s="190">
        <v>0.85</v>
      </c>
      <c r="K38" s="190">
        <v>0.5</v>
      </c>
      <c r="L38" s="190">
        <v>0.65</v>
      </c>
    </row>
    <row r="39" spans="1:12" x14ac:dyDescent="0.15">
      <c r="A39" s="192" t="s">
        <v>173</v>
      </c>
      <c r="B39" s="9" t="s">
        <v>1854</v>
      </c>
      <c r="C39" s="9" t="s">
        <v>1761</v>
      </c>
      <c r="D39" s="25" t="s">
        <v>618</v>
      </c>
      <c r="E39" s="30">
        <f t="shared" si="0"/>
        <v>1431</v>
      </c>
      <c r="F39" s="20">
        <v>1460</v>
      </c>
      <c r="G39" s="13"/>
      <c r="H39" s="13"/>
      <c r="I39" s="228"/>
      <c r="J39" s="190"/>
      <c r="K39" s="190"/>
      <c r="L39" s="190"/>
    </row>
    <row r="40" spans="1:12" x14ac:dyDescent="0.15">
      <c r="A40" s="192" t="s">
        <v>173</v>
      </c>
      <c r="B40" s="9" t="s">
        <v>1854</v>
      </c>
      <c r="C40" s="9" t="s">
        <v>1761</v>
      </c>
      <c r="D40" s="25" t="s">
        <v>619</v>
      </c>
      <c r="E40" s="30">
        <f t="shared" si="0"/>
        <v>1461</v>
      </c>
      <c r="F40" s="20">
        <v>1490</v>
      </c>
      <c r="I40" s="190"/>
      <c r="J40" s="190"/>
      <c r="K40" s="190"/>
      <c r="L40" s="190"/>
    </row>
    <row r="41" spans="1:12" x14ac:dyDescent="0.15">
      <c r="A41" s="192" t="s">
        <v>173</v>
      </c>
      <c r="B41" s="9" t="s">
        <v>1854</v>
      </c>
      <c r="C41" s="9" t="s">
        <v>1761</v>
      </c>
      <c r="D41" s="25" t="s">
        <v>620</v>
      </c>
      <c r="E41" s="30">
        <f t="shared" si="0"/>
        <v>1491</v>
      </c>
      <c r="F41" s="20">
        <v>1520</v>
      </c>
      <c r="I41" s="190"/>
      <c r="J41" s="190"/>
      <c r="K41" s="190"/>
      <c r="L41" s="190"/>
    </row>
    <row r="42" spans="1:12" x14ac:dyDescent="0.15">
      <c r="A42" s="192" t="s">
        <v>173</v>
      </c>
      <c r="B42" s="9" t="s">
        <v>1854</v>
      </c>
      <c r="C42" s="9" t="s">
        <v>1761</v>
      </c>
      <c r="D42" s="25" t="s">
        <v>621</v>
      </c>
      <c r="E42" s="30">
        <f t="shared" si="0"/>
        <v>1521</v>
      </c>
      <c r="F42" s="20">
        <v>1550</v>
      </c>
      <c r="I42" s="190"/>
      <c r="J42" s="190"/>
      <c r="K42" s="190"/>
      <c r="L42" s="190"/>
    </row>
    <row r="43" spans="1:12" x14ac:dyDescent="0.15">
      <c r="A43" s="192" t="s">
        <v>173</v>
      </c>
      <c r="B43" s="9" t="s">
        <v>1854</v>
      </c>
      <c r="C43" s="9" t="s">
        <v>1761</v>
      </c>
      <c r="D43" s="25" t="s">
        <v>622</v>
      </c>
      <c r="E43" s="30">
        <f t="shared" si="0"/>
        <v>1551</v>
      </c>
      <c r="F43" s="20">
        <v>1580</v>
      </c>
      <c r="I43" s="190"/>
      <c r="J43" s="190"/>
      <c r="K43" s="190"/>
      <c r="L43" s="190"/>
    </row>
    <row r="44" spans="1:12" x14ac:dyDescent="0.15">
      <c r="A44" s="192" t="s">
        <v>173</v>
      </c>
      <c r="B44" s="9" t="s">
        <v>1854</v>
      </c>
      <c r="C44" s="9" t="s">
        <v>1761</v>
      </c>
      <c r="D44" s="25" t="s">
        <v>623</v>
      </c>
      <c r="E44" s="30">
        <f t="shared" si="0"/>
        <v>1581</v>
      </c>
      <c r="F44" s="20">
        <v>1605</v>
      </c>
      <c r="I44" s="190"/>
      <c r="J44" s="190"/>
      <c r="K44" s="190"/>
      <c r="L44" s="190"/>
    </row>
    <row r="45" spans="1:12" x14ac:dyDescent="0.15">
      <c r="A45" s="192" t="s">
        <v>173</v>
      </c>
      <c r="B45" s="9" t="s">
        <v>1854</v>
      </c>
      <c r="C45" s="9" t="s">
        <v>1761</v>
      </c>
      <c r="D45" s="25" t="s">
        <v>624</v>
      </c>
      <c r="E45" s="30">
        <f t="shared" si="0"/>
        <v>1606</v>
      </c>
      <c r="F45" s="20">
        <v>1625</v>
      </c>
      <c r="I45" s="190"/>
      <c r="J45" s="190"/>
      <c r="K45" s="190"/>
      <c r="L45" s="190"/>
    </row>
    <row r="46" spans="1:12" x14ac:dyDescent="0.15">
      <c r="A46" s="192" t="s">
        <v>173</v>
      </c>
      <c r="B46" s="9" t="s">
        <v>1854</v>
      </c>
      <c r="C46" s="9" t="s">
        <v>1761</v>
      </c>
      <c r="D46" s="25" t="s">
        <v>625</v>
      </c>
      <c r="E46" s="30">
        <f t="shared" si="0"/>
        <v>1626</v>
      </c>
      <c r="F46" s="20">
        <v>1650</v>
      </c>
      <c r="I46" s="190"/>
      <c r="J46" s="190"/>
      <c r="K46" s="190"/>
      <c r="L46" s="190"/>
    </row>
    <row r="47" spans="1:12" s="32" customFormat="1" x14ac:dyDescent="0.15">
      <c r="A47" s="191" t="s">
        <v>173</v>
      </c>
      <c r="B47" s="32" t="s">
        <v>1762</v>
      </c>
      <c r="C47" s="32" t="s">
        <v>1762</v>
      </c>
      <c r="D47" s="77" t="s">
        <v>626</v>
      </c>
      <c r="E47" s="21">
        <f t="shared" si="0"/>
        <v>1651</v>
      </c>
      <c r="F47" s="19">
        <v>1670</v>
      </c>
      <c r="G47" s="14">
        <v>0.8</v>
      </c>
      <c r="H47" s="14">
        <v>0.1</v>
      </c>
      <c r="I47" s="190">
        <v>0.6</v>
      </c>
      <c r="J47" s="190">
        <v>0.6</v>
      </c>
      <c r="K47" s="190">
        <v>0.5</v>
      </c>
      <c r="L47" s="190">
        <v>0.4</v>
      </c>
    </row>
    <row r="48" spans="1:12" x14ac:dyDescent="0.15">
      <c r="A48" s="192" t="s">
        <v>173</v>
      </c>
      <c r="B48" s="9" t="s">
        <v>1762</v>
      </c>
      <c r="C48" s="9" t="s">
        <v>1762</v>
      </c>
      <c r="D48" s="25" t="s">
        <v>627</v>
      </c>
      <c r="E48" s="30">
        <f t="shared" si="0"/>
        <v>1671</v>
      </c>
      <c r="F48" s="20">
        <v>1390</v>
      </c>
      <c r="G48" s="13"/>
      <c r="H48" s="13"/>
      <c r="I48" s="228"/>
      <c r="J48" s="190"/>
      <c r="K48" s="190"/>
      <c r="L48" s="190"/>
    </row>
    <row r="49" spans="1:12" x14ac:dyDescent="0.15">
      <c r="A49" s="192" t="s">
        <v>173</v>
      </c>
      <c r="B49" s="9" t="s">
        <v>1762</v>
      </c>
      <c r="C49" s="9" t="s">
        <v>1762</v>
      </c>
      <c r="D49" s="25" t="s">
        <v>628</v>
      </c>
      <c r="E49" s="30">
        <f t="shared" si="0"/>
        <v>1391</v>
      </c>
      <c r="F49" s="20">
        <v>1710</v>
      </c>
      <c r="I49" s="190"/>
      <c r="J49" s="190"/>
      <c r="K49" s="190"/>
      <c r="L49" s="190"/>
    </row>
    <row r="50" spans="1:12" x14ac:dyDescent="0.15">
      <c r="A50" s="192" t="s">
        <v>173</v>
      </c>
      <c r="B50" s="9" t="s">
        <v>1762</v>
      </c>
      <c r="C50" s="9" t="s">
        <v>1762</v>
      </c>
      <c r="D50" s="25" t="s">
        <v>629</v>
      </c>
      <c r="E50" s="30">
        <f t="shared" si="0"/>
        <v>1711</v>
      </c>
      <c r="F50" s="20">
        <v>1730</v>
      </c>
      <c r="I50" s="190"/>
      <c r="J50" s="190"/>
      <c r="K50" s="190"/>
      <c r="L50" s="190"/>
    </row>
    <row r="51" spans="1:12" x14ac:dyDescent="0.15">
      <c r="A51" s="192" t="s">
        <v>173</v>
      </c>
      <c r="B51" s="9" t="s">
        <v>1762</v>
      </c>
      <c r="C51" s="9" t="s">
        <v>1762</v>
      </c>
      <c r="D51" s="25" t="s">
        <v>630</v>
      </c>
      <c r="E51" s="30">
        <f t="shared" si="0"/>
        <v>1731</v>
      </c>
      <c r="F51" s="20">
        <v>1750</v>
      </c>
      <c r="I51" s="190"/>
      <c r="J51" s="190"/>
      <c r="K51" s="190"/>
      <c r="L51" s="190"/>
    </row>
    <row r="52" spans="1:12" x14ac:dyDescent="0.15">
      <c r="A52" s="192" t="s">
        <v>173</v>
      </c>
      <c r="B52" s="9" t="s">
        <v>1762</v>
      </c>
      <c r="C52" s="9" t="s">
        <v>1762</v>
      </c>
      <c r="D52" s="25" t="s">
        <v>631</v>
      </c>
      <c r="E52" s="30">
        <f t="shared" si="0"/>
        <v>1751</v>
      </c>
      <c r="F52" s="20">
        <v>1770</v>
      </c>
      <c r="I52" s="190"/>
      <c r="J52" s="190"/>
      <c r="K52" s="190"/>
      <c r="L52" s="190"/>
    </row>
    <row r="53" spans="1:12" x14ac:dyDescent="0.15">
      <c r="A53" s="192" t="s">
        <v>173</v>
      </c>
      <c r="B53" s="9" t="s">
        <v>1762</v>
      </c>
      <c r="C53" s="9" t="s">
        <v>1762</v>
      </c>
      <c r="D53" s="25" t="s">
        <v>632</v>
      </c>
      <c r="E53" s="30">
        <f t="shared" si="0"/>
        <v>1771</v>
      </c>
      <c r="F53" s="20">
        <v>1790</v>
      </c>
      <c r="I53" s="190"/>
      <c r="J53" s="190"/>
      <c r="K53" s="190"/>
      <c r="L53" s="190"/>
    </row>
    <row r="54" spans="1:12" x14ac:dyDescent="0.15">
      <c r="A54" s="192" t="s">
        <v>173</v>
      </c>
      <c r="B54" s="9" t="s">
        <v>1762</v>
      </c>
      <c r="C54" s="9" t="s">
        <v>1762</v>
      </c>
      <c r="D54" s="25" t="s">
        <v>633</v>
      </c>
      <c r="E54" s="30">
        <f t="shared" si="0"/>
        <v>1791</v>
      </c>
      <c r="F54" s="20">
        <v>1810</v>
      </c>
      <c r="I54" s="190"/>
      <c r="J54" s="190"/>
      <c r="K54" s="190"/>
      <c r="L54" s="190"/>
    </row>
    <row r="55" spans="1:12" x14ac:dyDescent="0.15">
      <c r="A55" s="192" t="s">
        <v>173</v>
      </c>
      <c r="B55" s="9" t="s">
        <v>1762</v>
      </c>
      <c r="C55" s="9" t="s">
        <v>1762</v>
      </c>
      <c r="D55" s="25" t="s">
        <v>634</v>
      </c>
      <c r="E55" s="30">
        <f t="shared" si="0"/>
        <v>1811</v>
      </c>
      <c r="F55" s="20">
        <v>1830</v>
      </c>
      <c r="I55" s="190"/>
      <c r="J55" s="190"/>
      <c r="K55" s="190"/>
      <c r="L55" s="190"/>
    </row>
    <row r="56" spans="1:12" x14ac:dyDescent="0.15">
      <c r="A56" s="192" t="s">
        <v>173</v>
      </c>
      <c r="B56" s="9" t="s">
        <v>1762</v>
      </c>
      <c r="C56" s="9" t="s">
        <v>1762</v>
      </c>
      <c r="D56" s="25" t="s">
        <v>635</v>
      </c>
      <c r="E56" s="30">
        <f t="shared" si="0"/>
        <v>1831</v>
      </c>
      <c r="F56" s="20">
        <v>1850</v>
      </c>
      <c r="I56" s="190"/>
      <c r="J56" s="190"/>
      <c r="K56" s="190"/>
      <c r="L56" s="190"/>
    </row>
    <row r="57" spans="1:12" s="32" customFormat="1" x14ac:dyDescent="0.15">
      <c r="A57" s="191" t="s">
        <v>173</v>
      </c>
      <c r="B57" s="32" t="s">
        <v>1855</v>
      </c>
      <c r="C57" s="32" t="s">
        <v>1855</v>
      </c>
      <c r="D57" s="77" t="s">
        <v>636</v>
      </c>
      <c r="E57" s="21">
        <f t="shared" si="0"/>
        <v>1851</v>
      </c>
      <c r="F57" s="19">
        <v>1880</v>
      </c>
      <c r="G57" s="14">
        <v>0.2</v>
      </c>
      <c r="H57" s="14">
        <v>0.05</v>
      </c>
      <c r="I57" s="190">
        <v>0.2</v>
      </c>
      <c r="J57" s="190">
        <v>0.3</v>
      </c>
      <c r="K57" s="190">
        <v>0.5</v>
      </c>
      <c r="L57" s="190">
        <v>0.2</v>
      </c>
    </row>
    <row r="58" spans="1:12" x14ac:dyDescent="0.15">
      <c r="A58" s="180" t="s">
        <v>173</v>
      </c>
      <c r="B58" s="181" t="s">
        <v>1855</v>
      </c>
      <c r="C58" s="181" t="s">
        <v>1855</v>
      </c>
      <c r="D58" s="182" t="s">
        <v>456</v>
      </c>
      <c r="E58" s="171">
        <f t="shared" si="0"/>
        <v>1881</v>
      </c>
      <c r="F58" s="172">
        <v>1900</v>
      </c>
      <c r="G58" s="188"/>
      <c r="H58" s="188"/>
      <c r="I58" s="189"/>
      <c r="J58" s="189"/>
      <c r="K58" s="189"/>
      <c r="L58" s="189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CF7E-0EEC-47F6-9BEA-5CB5A246C22C}">
  <sheetPr>
    <tabColor rgb="FFFFFF00"/>
  </sheetPr>
  <dimension ref="A1:L51"/>
  <sheetViews>
    <sheetView workbookViewId="0">
      <selection activeCell="G58" sqref="G58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179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5</v>
      </c>
      <c r="G2" s="14">
        <v>0.06</v>
      </c>
      <c r="H2" s="14">
        <v>0.01</v>
      </c>
      <c r="I2" s="190">
        <v>0.06</v>
      </c>
      <c r="J2" s="190">
        <v>0.3</v>
      </c>
      <c r="K2" s="190">
        <v>0.35</v>
      </c>
      <c r="L2" s="14">
        <v>0.8</v>
      </c>
    </row>
    <row r="3" spans="1:12" x14ac:dyDescent="0.15">
      <c r="A3" s="9" t="s">
        <v>179</v>
      </c>
      <c r="B3" s="9" t="s">
        <v>1759</v>
      </c>
      <c r="C3" s="9" t="s">
        <v>1759</v>
      </c>
      <c r="D3" s="25" t="s">
        <v>374</v>
      </c>
      <c r="E3" s="10">
        <f>F2+1</f>
        <v>6</v>
      </c>
      <c r="F3" s="20">
        <v>20</v>
      </c>
      <c r="G3" s="24"/>
      <c r="H3" s="24"/>
      <c r="I3" s="195"/>
      <c r="J3" s="228"/>
      <c r="K3" s="228"/>
      <c r="L3" s="14"/>
    </row>
    <row r="4" spans="1:12" x14ac:dyDescent="0.15">
      <c r="A4" s="9" t="s">
        <v>179</v>
      </c>
      <c r="B4" s="9" t="s">
        <v>1759</v>
      </c>
      <c r="C4" s="9" t="s">
        <v>1759</v>
      </c>
      <c r="D4" s="25" t="s">
        <v>375</v>
      </c>
      <c r="E4" s="10">
        <f t="shared" ref="E4:E51" si="0">F3+1</f>
        <v>21</v>
      </c>
      <c r="F4" s="20">
        <v>40</v>
      </c>
      <c r="I4" s="228"/>
      <c r="J4" s="228"/>
      <c r="K4" s="228"/>
      <c r="L4" s="14"/>
    </row>
    <row r="5" spans="1:12" x14ac:dyDescent="0.15">
      <c r="A5" s="9" t="s">
        <v>179</v>
      </c>
      <c r="B5" s="9" t="s">
        <v>1759</v>
      </c>
      <c r="C5" s="9" t="s">
        <v>1759</v>
      </c>
      <c r="D5" s="25" t="s">
        <v>414</v>
      </c>
      <c r="E5" s="10">
        <f t="shared" si="0"/>
        <v>41</v>
      </c>
      <c r="F5" s="20">
        <v>70</v>
      </c>
      <c r="I5" s="228"/>
      <c r="J5" s="228"/>
      <c r="K5" s="228"/>
      <c r="L5" s="14"/>
    </row>
    <row r="6" spans="1:12" x14ac:dyDescent="0.15">
      <c r="A6" s="9" t="s">
        <v>179</v>
      </c>
      <c r="B6" s="9" t="s">
        <v>1759</v>
      </c>
      <c r="C6" s="9" t="s">
        <v>1759</v>
      </c>
      <c r="D6" s="25" t="s">
        <v>415</v>
      </c>
      <c r="E6" s="10">
        <f t="shared" si="0"/>
        <v>71</v>
      </c>
      <c r="F6" s="20">
        <v>90</v>
      </c>
      <c r="I6" s="228"/>
      <c r="J6" s="228"/>
      <c r="K6" s="228"/>
      <c r="L6" s="14"/>
    </row>
    <row r="7" spans="1:12" x14ac:dyDescent="0.15">
      <c r="A7" s="9" t="s">
        <v>179</v>
      </c>
      <c r="B7" s="9" t="s">
        <v>1759</v>
      </c>
      <c r="C7" s="9" t="s">
        <v>1759</v>
      </c>
      <c r="D7" s="25" t="s">
        <v>416</v>
      </c>
      <c r="E7" s="10">
        <f t="shared" si="0"/>
        <v>91</v>
      </c>
      <c r="F7" s="20">
        <v>110</v>
      </c>
      <c r="I7" s="228"/>
      <c r="J7" s="228"/>
      <c r="K7" s="228"/>
      <c r="L7" s="14"/>
    </row>
    <row r="8" spans="1:12" x14ac:dyDescent="0.15">
      <c r="A8" s="9" t="s">
        <v>179</v>
      </c>
      <c r="B8" s="9" t="s">
        <v>1759</v>
      </c>
      <c r="C8" s="9" t="s">
        <v>1759</v>
      </c>
      <c r="D8" s="25" t="s">
        <v>417</v>
      </c>
      <c r="E8" s="10">
        <f t="shared" si="0"/>
        <v>111</v>
      </c>
      <c r="F8" s="20">
        <v>130</v>
      </c>
      <c r="I8" s="228"/>
      <c r="J8" s="228"/>
      <c r="K8" s="228"/>
      <c r="L8" s="14"/>
    </row>
    <row r="9" spans="1:12" s="32" customFormat="1" x14ac:dyDescent="0.15">
      <c r="A9" s="32" t="s">
        <v>179</v>
      </c>
      <c r="B9" s="32" t="s">
        <v>1861</v>
      </c>
      <c r="C9" s="32" t="s">
        <v>1760</v>
      </c>
      <c r="D9" s="77" t="s">
        <v>534</v>
      </c>
      <c r="E9" s="11">
        <f t="shared" si="0"/>
        <v>131</v>
      </c>
      <c r="F9" s="19">
        <v>160</v>
      </c>
      <c r="G9" s="14">
        <v>0.3</v>
      </c>
      <c r="H9" s="14">
        <v>0.04</v>
      </c>
      <c r="I9" s="190">
        <v>0.4</v>
      </c>
      <c r="J9" s="190">
        <v>0.5</v>
      </c>
      <c r="K9" s="190">
        <v>0.55000000000000004</v>
      </c>
      <c r="L9" s="14">
        <v>0.65</v>
      </c>
    </row>
    <row r="10" spans="1:12" x14ac:dyDescent="0.15">
      <c r="A10" s="9" t="s">
        <v>179</v>
      </c>
      <c r="B10" s="9" t="s">
        <v>1861</v>
      </c>
      <c r="C10" s="9" t="s">
        <v>1760</v>
      </c>
      <c r="D10" s="25" t="s">
        <v>535</v>
      </c>
      <c r="E10" s="10">
        <f t="shared" si="0"/>
        <v>161</v>
      </c>
      <c r="F10" s="20">
        <v>200</v>
      </c>
      <c r="G10" s="24"/>
      <c r="H10" s="24"/>
      <c r="I10" s="195"/>
      <c r="J10" s="228"/>
      <c r="K10" s="228"/>
      <c r="L10" s="14"/>
    </row>
    <row r="11" spans="1:12" x14ac:dyDescent="0.15">
      <c r="A11" s="9" t="s">
        <v>179</v>
      </c>
      <c r="B11" s="9" t="s">
        <v>1861</v>
      </c>
      <c r="C11" s="9" t="s">
        <v>1760</v>
      </c>
      <c r="D11" s="25" t="s">
        <v>536</v>
      </c>
      <c r="E11" s="10">
        <f t="shared" si="0"/>
        <v>201</v>
      </c>
      <c r="F11" s="20">
        <v>260</v>
      </c>
      <c r="I11" s="228"/>
      <c r="J11" s="228"/>
      <c r="K11" s="228"/>
      <c r="L11" s="14"/>
    </row>
    <row r="12" spans="1:12" x14ac:dyDescent="0.15">
      <c r="A12" s="9" t="s">
        <v>179</v>
      </c>
      <c r="B12" s="9" t="s">
        <v>1861</v>
      </c>
      <c r="C12" s="9" t="s">
        <v>1760</v>
      </c>
      <c r="D12" s="194" t="s">
        <v>537</v>
      </c>
      <c r="E12" s="10">
        <f t="shared" si="0"/>
        <v>261</v>
      </c>
      <c r="F12" s="20">
        <v>320</v>
      </c>
      <c r="I12" s="228"/>
      <c r="J12" s="228"/>
      <c r="K12" s="228"/>
      <c r="L12" s="14"/>
    </row>
    <row r="13" spans="1:12" x14ac:dyDescent="0.15">
      <c r="A13" s="9" t="s">
        <v>179</v>
      </c>
      <c r="B13" s="9" t="s">
        <v>1861</v>
      </c>
      <c r="C13" s="9" t="s">
        <v>1760</v>
      </c>
      <c r="D13" s="25" t="s">
        <v>538</v>
      </c>
      <c r="E13" s="10">
        <f t="shared" si="0"/>
        <v>321</v>
      </c>
      <c r="F13" s="20">
        <v>600</v>
      </c>
      <c r="I13" s="228"/>
      <c r="J13" s="228"/>
      <c r="K13" s="228"/>
      <c r="L13" s="14"/>
    </row>
    <row r="14" spans="1:12" s="32" customFormat="1" x14ac:dyDescent="0.15">
      <c r="A14" s="32" t="s">
        <v>179</v>
      </c>
      <c r="B14" s="32" t="s">
        <v>1849</v>
      </c>
      <c r="C14" s="32" t="s">
        <v>1760</v>
      </c>
      <c r="D14" s="77" t="s">
        <v>539</v>
      </c>
      <c r="E14" s="11">
        <f t="shared" si="0"/>
        <v>601</v>
      </c>
      <c r="F14" s="19">
        <v>620</v>
      </c>
      <c r="G14" s="14">
        <v>0.65</v>
      </c>
      <c r="H14" s="14">
        <v>0.1</v>
      </c>
      <c r="I14" s="190">
        <v>0.85</v>
      </c>
      <c r="J14" s="190">
        <v>0.7</v>
      </c>
      <c r="K14" s="190">
        <v>0.6</v>
      </c>
      <c r="L14" s="14">
        <v>0.65</v>
      </c>
    </row>
    <row r="15" spans="1:12" x14ac:dyDescent="0.15">
      <c r="A15" s="9" t="s">
        <v>179</v>
      </c>
      <c r="B15" s="9" t="s">
        <v>1849</v>
      </c>
      <c r="C15" s="9" t="s">
        <v>1760</v>
      </c>
      <c r="D15" s="25" t="s">
        <v>540</v>
      </c>
      <c r="E15" s="10">
        <f t="shared" si="0"/>
        <v>621</v>
      </c>
      <c r="F15" s="20">
        <v>660</v>
      </c>
      <c r="G15" s="24"/>
      <c r="H15" s="24"/>
      <c r="I15" s="195"/>
      <c r="J15" s="228"/>
      <c r="K15" s="228"/>
      <c r="L15" s="14"/>
    </row>
    <row r="16" spans="1:12" x14ac:dyDescent="0.15">
      <c r="A16" s="9" t="s">
        <v>179</v>
      </c>
      <c r="B16" s="9" t="s">
        <v>1849</v>
      </c>
      <c r="C16" s="9" t="s">
        <v>1760</v>
      </c>
      <c r="D16" s="25" t="s">
        <v>576</v>
      </c>
      <c r="E16" s="10">
        <f t="shared" si="0"/>
        <v>661</v>
      </c>
      <c r="F16" s="20">
        <v>720</v>
      </c>
      <c r="I16" s="228"/>
      <c r="J16" s="228"/>
      <c r="K16" s="228"/>
      <c r="L16" s="14"/>
    </row>
    <row r="17" spans="1:12" x14ac:dyDescent="0.15">
      <c r="A17" s="9" t="s">
        <v>179</v>
      </c>
      <c r="B17" s="9" t="s">
        <v>1849</v>
      </c>
      <c r="C17" s="9" t="s">
        <v>1760</v>
      </c>
      <c r="D17" s="25" t="s">
        <v>543</v>
      </c>
      <c r="E17" s="10">
        <f t="shared" si="0"/>
        <v>721</v>
      </c>
      <c r="F17" s="20">
        <v>880</v>
      </c>
      <c r="I17" s="228"/>
      <c r="J17" s="228"/>
      <c r="K17" s="228"/>
      <c r="L17" s="14"/>
    </row>
    <row r="18" spans="1:12" s="32" customFormat="1" x14ac:dyDescent="0.15">
      <c r="A18" s="32" t="s">
        <v>179</v>
      </c>
      <c r="B18" s="32" t="s">
        <v>1850</v>
      </c>
      <c r="C18" s="32" t="s">
        <v>1760</v>
      </c>
      <c r="D18" s="77" t="s">
        <v>512</v>
      </c>
      <c r="E18" s="11">
        <f t="shared" si="0"/>
        <v>881</v>
      </c>
      <c r="F18" s="19">
        <v>900</v>
      </c>
      <c r="G18" s="14">
        <v>1.1000000000000001</v>
      </c>
      <c r="H18" s="14">
        <v>0.2</v>
      </c>
      <c r="I18" s="190">
        <v>1.4</v>
      </c>
      <c r="J18" s="190">
        <v>0.9</v>
      </c>
      <c r="K18" s="190">
        <v>0.66</v>
      </c>
      <c r="L18" s="14">
        <v>0.7</v>
      </c>
    </row>
    <row r="19" spans="1:12" x14ac:dyDescent="0.15">
      <c r="A19" s="9" t="s">
        <v>179</v>
      </c>
      <c r="B19" s="9" t="s">
        <v>1850</v>
      </c>
      <c r="C19" s="9" t="s">
        <v>1760</v>
      </c>
      <c r="D19" s="25" t="s">
        <v>390</v>
      </c>
      <c r="E19" s="10">
        <f t="shared" si="0"/>
        <v>901</v>
      </c>
      <c r="F19" s="20">
        <v>960</v>
      </c>
      <c r="G19" s="24"/>
      <c r="H19" s="24"/>
      <c r="I19" s="195"/>
      <c r="J19" s="228"/>
      <c r="K19" s="228"/>
      <c r="L19" s="14"/>
    </row>
    <row r="20" spans="1:12" x14ac:dyDescent="0.15">
      <c r="A20" s="9" t="s">
        <v>179</v>
      </c>
      <c r="B20" s="9" t="s">
        <v>1850</v>
      </c>
      <c r="C20" s="9" t="s">
        <v>1760</v>
      </c>
      <c r="D20" s="25" t="s">
        <v>391</v>
      </c>
      <c r="E20" s="10">
        <f t="shared" si="0"/>
        <v>961</v>
      </c>
      <c r="F20" s="20">
        <v>1020</v>
      </c>
      <c r="I20" s="228"/>
      <c r="J20" s="228"/>
      <c r="K20" s="228"/>
      <c r="L20" s="14"/>
    </row>
    <row r="21" spans="1:12" x14ac:dyDescent="0.15">
      <c r="A21" s="9" t="s">
        <v>179</v>
      </c>
      <c r="B21" s="9" t="s">
        <v>1850</v>
      </c>
      <c r="C21" s="9" t="s">
        <v>1760</v>
      </c>
      <c r="D21" s="25" t="s">
        <v>392</v>
      </c>
      <c r="E21" s="10">
        <f t="shared" si="0"/>
        <v>1021</v>
      </c>
      <c r="F21" s="20">
        <v>1080</v>
      </c>
      <c r="I21" s="228"/>
      <c r="J21" s="228"/>
      <c r="K21" s="228"/>
      <c r="L21" s="14"/>
    </row>
    <row r="22" spans="1:12" x14ac:dyDescent="0.15">
      <c r="A22" s="9" t="s">
        <v>179</v>
      </c>
      <c r="B22" s="9" t="s">
        <v>1850</v>
      </c>
      <c r="C22" s="9" t="s">
        <v>1760</v>
      </c>
      <c r="D22" s="25" t="s">
        <v>544</v>
      </c>
      <c r="E22" s="10">
        <f t="shared" si="0"/>
        <v>1081</v>
      </c>
      <c r="F22" s="20">
        <v>1140</v>
      </c>
      <c r="I22" s="228"/>
      <c r="J22" s="228"/>
      <c r="K22" s="228"/>
      <c r="L22" s="14"/>
    </row>
    <row r="23" spans="1:12" x14ac:dyDescent="0.15">
      <c r="A23" s="9" t="s">
        <v>179</v>
      </c>
      <c r="B23" s="9" t="s">
        <v>1850</v>
      </c>
      <c r="C23" s="9" t="s">
        <v>1760</v>
      </c>
      <c r="D23" s="25" t="s">
        <v>394</v>
      </c>
      <c r="E23" s="10">
        <f t="shared" si="0"/>
        <v>1141</v>
      </c>
      <c r="F23" s="20">
        <v>1200</v>
      </c>
      <c r="I23" s="228"/>
      <c r="J23" s="228"/>
      <c r="K23" s="228"/>
      <c r="L23" s="14"/>
    </row>
    <row r="24" spans="1:12" s="32" customFormat="1" x14ac:dyDescent="0.15">
      <c r="A24" s="32" t="s">
        <v>179</v>
      </c>
      <c r="B24" s="32" t="s">
        <v>1851</v>
      </c>
      <c r="C24" s="32" t="s">
        <v>1760</v>
      </c>
      <c r="D24" s="77" t="s">
        <v>545</v>
      </c>
      <c r="E24" s="11">
        <f t="shared" si="0"/>
        <v>1201</v>
      </c>
      <c r="F24" s="19">
        <v>1230</v>
      </c>
      <c r="G24" s="14">
        <v>1.4</v>
      </c>
      <c r="H24" s="14">
        <v>0.3</v>
      </c>
      <c r="I24" s="190">
        <v>1.7</v>
      </c>
      <c r="J24" s="190">
        <v>0.95</v>
      </c>
      <c r="K24" s="190">
        <v>0.67</v>
      </c>
      <c r="L24" s="14">
        <v>0.75</v>
      </c>
    </row>
    <row r="25" spans="1:12" x14ac:dyDescent="0.15">
      <c r="A25" s="9" t="s">
        <v>179</v>
      </c>
      <c r="B25" s="9" t="s">
        <v>1851</v>
      </c>
      <c r="C25" s="9" t="s">
        <v>1760</v>
      </c>
      <c r="D25" s="25" t="s">
        <v>546</v>
      </c>
      <c r="E25" s="10">
        <f t="shared" si="0"/>
        <v>1231</v>
      </c>
      <c r="F25" s="20">
        <v>1270</v>
      </c>
      <c r="G25" s="24"/>
      <c r="H25" s="24"/>
      <c r="I25" s="195"/>
      <c r="J25" s="228"/>
      <c r="K25" s="228"/>
      <c r="L25" s="14"/>
    </row>
    <row r="26" spans="1:12" x14ac:dyDescent="0.15">
      <c r="A26" s="9" t="s">
        <v>179</v>
      </c>
      <c r="B26" s="9" t="s">
        <v>1851</v>
      </c>
      <c r="C26" s="9" t="s">
        <v>1760</v>
      </c>
      <c r="D26" s="25" t="s">
        <v>547</v>
      </c>
      <c r="E26" s="10">
        <f t="shared" si="0"/>
        <v>1271</v>
      </c>
      <c r="F26" s="20">
        <v>1300</v>
      </c>
      <c r="I26" s="228"/>
      <c r="J26" s="228"/>
      <c r="K26" s="228"/>
      <c r="L26" s="14"/>
    </row>
    <row r="27" spans="1:12" x14ac:dyDescent="0.15">
      <c r="A27" s="9" t="s">
        <v>179</v>
      </c>
      <c r="B27" s="9" t="s">
        <v>1851</v>
      </c>
      <c r="C27" s="9" t="s">
        <v>1760</v>
      </c>
      <c r="D27" s="25" t="s">
        <v>579</v>
      </c>
      <c r="E27" s="10">
        <f t="shared" si="0"/>
        <v>1301</v>
      </c>
      <c r="F27" s="20">
        <v>1350</v>
      </c>
      <c r="I27" s="228"/>
      <c r="J27" s="228"/>
      <c r="K27" s="228"/>
      <c r="L27" s="14"/>
    </row>
    <row r="28" spans="1:12" s="32" customFormat="1" x14ac:dyDescent="0.15">
      <c r="A28" s="32" t="s">
        <v>179</v>
      </c>
      <c r="B28" s="32" t="s">
        <v>1893</v>
      </c>
      <c r="C28" s="32" t="s">
        <v>1761</v>
      </c>
      <c r="D28" s="77" t="s">
        <v>550</v>
      </c>
      <c r="E28" s="11">
        <f t="shared" si="0"/>
        <v>1351</v>
      </c>
      <c r="F28" s="19">
        <v>1380</v>
      </c>
      <c r="G28" s="14">
        <v>1.25</v>
      </c>
      <c r="H28" s="14">
        <v>0.25</v>
      </c>
      <c r="I28" s="190">
        <v>1.6</v>
      </c>
      <c r="J28" s="190">
        <v>1</v>
      </c>
      <c r="K28" s="190">
        <v>0.64</v>
      </c>
      <c r="L28" s="14">
        <v>0.8</v>
      </c>
    </row>
    <row r="29" spans="1:12" x14ac:dyDescent="0.15">
      <c r="A29" s="9" t="s">
        <v>179</v>
      </c>
      <c r="B29" s="9" t="s">
        <v>1893</v>
      </c>
      <c r="C29" s="9" t="s">
        <v>1761</v>
      </c>
      <c r="D29" s="25" t="s">
        <v>551</v>
      </c>
      <c r="E29" s="10">
        <f t="shared" si="0"/>
        <v>1381</v>
      </c>
      <c r="F29" s="20">
        <v>1410</v>
      </c>
      <c r="G29" s="24"/>
      <c r="H29" s="24"/>
      <c r="I29" s="195"/>
      <c r="J29" s="228"/>
      <c r="K29" s="228"/>
      <c r="L29" s="14"/>
    </row>
    <row r="30" spans="1:12" x14ac:dyDescent="0.15">
      <c r="A30" s="9" t="s">
        <v>179</v>
      </c>
      <c r="B30" s="9" t="s">
        <v>1893</v>
      </c>
      <c r="C30" s="9" t="s">
        <v>1761</v>
      </c>
      <c r="D30" s="25" t="s">
        <v>552</v>
      </c>
      <c r="E30" s="10">
        <f t="shared" si="0"/>
        <v>1411</v>
      </c>
      <c r="F30" s="20">
        <v>1430</v>
      </c>
      <c r="I30" s="228"/>
      <c r="J30" s="228"/>
      <c r="K30" s="228"/>
      <c r="L30" s="14"/>
    </row>
    <row r="31" spans="1:12" x14ac:dyDescent="0.15">
      <c r="A31" s="9" t="s">
        <v>179</v>
      </c>
      <c r="B31" s="9" t="s">
        <v>1893</v>
      </c>
      <c r="C31" s="9" t="s">
        <v>1761</v>
      </c>
      <c r="D31" s="25" t="s">
        <v>553</v>
      </c>
      <c r="E31" s="10">
        <f t="shared" si="0"/>
        <v>1431</v>
      </c>
      <c r="F31" s="20">
        <v>1450</v>
      </c>
      <c r="I31" s="228"/>
      <c r="J31" s="228"/>
      <c r="K31" s="228"/>
      <c r="L31" s="14"/>
    </row>
    <row r="32" spans="1:12" x14ac:dyDescent="0.15">
      <c r="A32" s="9" t="s">
        <v>179</v>
      </c>
      <c r="B32" s="9" t="s">
        <v>1893</v>
      </c>
      <c r="C32" s="9" t="s">
        <v>1761</v>
      </c>
      <c r="D32" s="25" t="s">
        <v>554</v>
      </c>
      <c r="E32" s="10">
        <f t="shared" si="0"/>
        <v>1451</v>
      </c>
      <c r="F32" s="20">
        <v>1470</v>
      </c>
      <c r="I32" s="228"/>
      <c r="J32" s="228"/>
      <c r="K32" s="228"/>
      <c r="L32" s="14"/>
    </row>
    <row r="33" spans="1:12" x14ac:dyDescent="0.15">
      <c r="A33" s="9" t="s">
        <v>179</v>
      </c>
      <c r="B33" s="9" t="s">
        <v>1893</v>
      </c>
      <c r="C33" s="9" t="s">
        <v>1761</v>
      </c>
      <c r="D33" s="25" t="s">
        <v>555</v>
      </c>
      <c r="E33" s="10">
        <f t="shared" si="0"/>
        <v>1471</v>
      </c>
      <c r="F33" s="20">
        <v>1485</v>
      </c>
      <c r="I33" s="228"/>
      <c r="J33" s="228"/>
      <c r="K33" s="228"/>
      <c r="L33" s="14"/>
    </row>
    <row r="34" spans="1:12" x14ac:dyDescent="0.15">
      <c r="A34" s="9" t="s">
        <v>179</v>
      </c>
      <c r="B34" s="9" t="s">
        <v>1893</v>
      </c>
      <c r="C34" s="9" t="s">
        <v>1761</v>
      </c>
      <c r="D34" s="25" t="s">
        <v>556</v>
      </c>
      <c r="E34" s="10">
        <f t="shared" si="0"/>
        <v>1486</v>
      </c>
      <c r="F34" s="20">
        <v>1495</v>
      </c>
      <c r="I34" s="228"/>
      <c r="J34" s="228"/>
      <c r="K34" s="228"/>
      <c r="L34" s="14"/>
    </row>
    <row r="35" spans="1:12" x14ac:dyDescent="0.15">
      <c r="A35" s="9" t="s">
        <v>179</v>
      </c>
      <c r="B35" s="9" t="s">
        <v>1893</v>
      </c>
      <c r="C35" s="9" t="s">
        <v>1761</v>
      </c>
      <c r="D35" s="25" t="s">
        <v>557</v>
      </c>
      <c r="E35" s="10">
        <f t="shared" si="0"/>
        <v>1496</v>
      </c>
      <c r="F35" s="20">
        <v>1499</v>
      </c>
      <c r="I35" s="228"/>
      <c r="J35" s="228"/>
      <c r="K35" s="228"/>
      <c r="L35" s="14"/>
    </row>
    <row r="36" spans="1:12" x14ac:dyDescent="0.15">
      <c r="A36" s="9" t="s">
        <v>179</v>
      </c>
      <c r="B36" s="9" t="s">
        <v>1893</v>
      </c>
      <c r="C36" s="9" t="s">
        <v>1761</v>
      </c>
      <c r="D36" s="25" t="s">
        <v>558</v>
      </c>
      <c r="E36" s="10">
        <f t="shared" si="0"/>
        <v>1500</v>
      </c>
      <c r="F36" s="20">
        <v>1500</v>
      </c>
      <c r="I36" s="228"/>
      <c r="J36" s="228"/>
      <c r="K36" s="228"/>
      <c r="L36" s="14"/>
    </row>
    <row r="37" spans="1:12" s="32" customFormat="1" x14ac:dyDescent="0.15">
      <c r="A37" s="32" t="s">
        <v>179</v>
      </c>
      <c r="B37" s="32" t="s">
        <v>1894</v>
      </c>
      <c r="C37" s="32" t="s">
        <v>1761</v>
      </c>
      <c r="D37" s="77" t="s">
        <v>559</v>
      </c>
      <c r="E37" s="11">
        <f t="shared" si="0"/>
        <v>1501</v>
      </c>
      <c r="F37" s="19">
        <v>1540</v>
      </c>
      <c r="G37" s="14">
        <v>1</v>
      </c>
      <c r="H37" s="14">
        <v>0.18</v>
      </c>
      <c r="I37" s="190">
        <v>1.2</v>
      </c>
      <c r="J37" s="190">
        <v>1.05</v>
      </c>
      <c r="K37" s="190">
        <v>0.6</v>
      </c>
      <c r="L37" s="14">
        <v>0.85</v>
      </c>
    </row>
    <row r="38" spans="1:12" x14ac:dyDescent="0.15">
      <c r="A38" s="9" t="s">
        <v>179</v>
      </c>
      <c r="B38" s="9" t="s">
        <v>1894</v>
      </c>
      <c r="C38" s="9" t="s">
        <v>1761</v>
      </c>
      <c r="D38" s="25" t="s">
        <v>560</v>
      </c>
      <c r="E38" s="10">
        <f t="shared" si="0"/>
        <v>1541</v>
      </c>
      <c r="F38" s="20">
        <v>1590</v>
      </c>
      <c r="G38" s="24"/>
      <c r="H38" s="24"/>
      <c r="I38" s="195"/>
      <c r="J38" s="228"/>
      <c r="K38" s="228"/>
      <c r="L38" s="14"/>
    </row>
    <row r="39" spans="1:12" x14ac:dyDescent="0.15">
      <c r="A39" s="9" t="s">
        <v>179</v>
      </c>
      <c r="B39" s="9" t="s">
        <v>1894</v>
      </c>
      <c r="C39" s="9" t="s">
        <v>1761</v>
      </c>
      <c r="D39" s="25" t="s">
        <v>561</v>
      </c>
      <c r="E39" s="10">
        <f t="shared" si="0"/>
        <v>1591</v>
      </c>
      <c r="F39" s="20">
        <v>1650</v>
      </c>
      <c r="I39" s="228"/>
      <c r="J39" s="228"/>
      <c r="K39" s="228"/>
      <c r="L39" s="14"/>
    </row>
    <row r="40" spans="1:12" s="32" customFormat="1" x14ac:dyDescent="0.15">
      <c r="A40" s="32" t="s">
        <v>179</v>
      </c>
      <c r="B40" s="32" t="s">
        <v>1854</v>
      </c>
      <c r="C40" s="32" t="s">
        <v>1761</v>
      </c>
      <c r="D40" s="77" t="s">
        <v>562</v>
      </c>
      <c r="E40" s="11">
        <f t="shared" si="0"/>
        <v>1651</v>
      </c>
      <c r="F40" s="19">
        <v>1700</v>
      </c>
      <c r="G40" s="14">
        <v>0.8</v>
      </c>
      <c r="H40" s="14">
        <v>0.15</v>
      </c>
      <c r="I40" s="190">
        <v>0.95</v>
      </c>
      <c r="J40" s="190">
        <v>0.85</v>
      </c>
      <c r="K40" s="190">
        <v>0.56000000000000005</v>
      </c>
      <c r="L40" s="14">
        <v>0.65</v>
      </c>
    </row>
    <row r="41" spans="1:12" x14ac:dyDescent="0.15">
      <c r="A41" s="9" t="s">
        <v>179</v>
      </c>
      <c r="B41" s="9" t="s">
        <v>1854</v>
      </c>
      <c r="C41" s="9" t="s">
        <v>1761</v>
      </c>
      <c r="D41" s="25" t="s">
        <v>563</v>
      </c>
      <c r="E41" s="10">
        <f t="shared" si="0"/>
        <v>1701</v>
      </c>
      <c r="F41" s="20">
        <v>1750</v>
      </c>
      <c r="G41" s="24"/>
      <c r="H41" s="24"/>
      <c r="I41" s="195"/>
      <c r="J41" s="228"/>
      <c r="K41" s="228"/>
      <c r="L41" s="14"/>
    </row>
    <row r="42" spans="1:12" x14ac:dyDescent="0.15">
      <c r="A42" s="9" t="s">
        <v>179</v>
      </c>
      <c r="B42" s="9" t="s">
        <v>1854</v>
      </c>
      <c r="C42" s="9" t="s">
        <v>1761</v>
      </c>
      <c r="D42" s="25" t="s">
        <v>564</v>
      </c>
      <c r="E42" s="10">
        <f t="shared" si="0"/>
        <v>1751</v>
      </c>
      <c r="F42" s="20">
        <v>1790</v>
      </c>
      <c r="I42" s="228"/>
      <c r="J42" s="228"/>
      <c r="K42" s="228"/>
      <c r="L42" s="14"/>
    </row>
    <row r="43" spans="1:12" x14ac:dyDescent="0.15">
      <c r="A43" s="9" t="s">
        <v>179</v>
      </c>
      <c r="B43" s="9" t="s">
        <v>1854</v>
      </c>
      <c r="C43" s="9" t="s">
        <v>1761</v>
      </c>
      <c r="D43" s="25" t="s">
        <v>565</v>
      </c>
      <c r="E43" s="10">
        <f t="shared" si="0"/>
        <v>1791</v>
      </c>
      <c r="F43" s="20">
        <v>1840</v>
      </c>
      <c r="I43" s="228"/>
      <c r="J43" s="228"/>
      <c r="K43" s="228"/>
      <c r="L43" s="14"/>
    </row>
    <row r="44" spans="1:12" s="32" customFormat="1" x14ac:dyDescent="0.15">
      <c r="A44" s="32" t="s">
        <v>179</v>
      </c>
      <c r="B44" s="32" t="s">
        <v>1762</v>
      </c>
      <c r="C44" s="32" t="s">
        <v>1762</v>
      </c>
      <c r="D44" s="77" t="s">
        <v>567</v>
      </c>
      <c r="E44" s="11">
        <f t="shared" si="0"/>
        <v>1841</v>
      </c>
      <c r="F44" s="19">
        <v>1900</v>
      </c>
      <c r="G44" s="14">
        <v>0.25</v>
      </c>
      <c r="H44" s="14">
        <v>0.04</v>
      </c>
      <c r="I44" s="190">
        <v>0.25</v>
      </c>
      <c r="J44" s="190">
        <v>0.6</v>
      </c>
      <c r="K44" s="190">
        <v>0.45</v>
      </c>
      <c r="L44" s="14">
        <v>0.35</v>
      </c>
    </row>
    <row r="45" spans="1:12" x14ac:dyDescent="0.15">
      <c r="A45" s="9" t="s">
        <v>179</v>
      </c>
      <c r="B45" s="9" t="s">
        <v>1762</v>
      </c>
      <c r="C45" s="9" t="s">
        <v>1762</v>
      </c>
      <c r="D45" s="25" t="s">
        <v>582</v>
      </c>
      <c r="E45" s="10">
        <f t="shared" si="0"/>
        <v>1901</v>
      </c>
      <c r="F45" s="20">
        <v>1925</v>
      </c>
      <c r="G45" s="24"/>
      <c r="H45" s="24"/>
      <c r="I45" s="195"/>
      <c r="J45" s="228"/>
      <c r="K45" s="228"/>
      <c r="L45" s="14"/>
    </row>
    <row r="46" spans="1:12" x14ac:dyDescent="0.15">
      <c r="A46" s="9" t="s">
        <v>179</v>
      </c>
      <c r="B46" s="9" t="s">
        <v>1762</v>
      </c>
      <c r="C46" s="9" t="s">
        <v>1762</v>
      </c>
      <c r="D46" s="25" t="s">
        <v>569</v>
      </c>
      <c r="E46" s="10">
        <f t="shared" si="0"/>
        <v>1926</v>
      </c>
      <c r="F46" s="20">
        <v>1950</v>
      </c>
      <c r="I46" s="228"/>
      <c r="J46" s="228"/>
      <c r="K46" s="228"/>
      <c r="L46" s="14"/>
    </row>
    <row r="47" spans="1:12" x14ac:dyDescent="0.15">
      <c r="A47" s="9" t="s">
        <v>179</v>
      </c>
      <c r="B47" s="9" t="s">
        <v>1762</v>
      </c>
      <c r="C47" s="9" t="s">
        <v>1762</v>
      </c>
      <c r="D47" s="194" t="s">
        <v>570</v>
      </c>
      <c r="E47" s="10">
        <f t="shared" si="0"/>
        <v>1951</v>
      </c>
      <c r="F47" s="37">
        <v>2000</v>
      </c>
      <c r="I47" s="228"/>
      <c r="J47" s="228"/>
      <c r="K47" s="228"/>
      <c r="L47" s="14"/>
    </row>
    <row r="48" spans="1:12" s="32" customFormat="1" x14ac:dyDescent="0.15">
      <c r="A48" s="32" t="s">
        <v>179</v>
      </c>
      <c r="B48" s="32" t="s">
        <v>1903</v>
      </c>
      <c r="C48" s="32" t="s">
        <v>1903</v>
      </c>
      <c r="D48" s="77" t="s">
        <v>571</v>
      </c>
      <c r="E48" s="11">
        <f t="shared" si="0"/>
        <v>2001</v>
      </c>
      <c r="F48" s="19">
        <v>2150</v>
      </c>
      <c r="G48" s="14">
        <v>0.08</v>
      </c>
      <c r="H48" s="14">
        <v>0.02</v>
      </c>
      <c r="I48" s="190">
        <v>0.08</v>
      </c>
      <c r="J48" s="190">
        <v>0.35</v>
      </c>
      <c r="K48" s="190">
        <v>0.4</v>
      </c>
      <c r="L48" s="14">
        <v>0.15</v>
      </c>
    </row>
    <row r="49" spans="1:12" x14ac:dyDescent="0.15">
      <c r="A49" s="9" t="s">
        <v>179</v>
      </c>
      <c r="B49" s="9" t="s">
        <v>1903</v>
      </c>
      <c r="C49" s="9" t="s">
        <v>1903</v>
      </c>
      <c r="D49" s="25" t="s">
        <v>572</v>
      </c>
      <c r="E49" s="10">
        <f t="shared" si="0"/>
        <v>2151</v>
      </c>
      <c r="F49" s="20">
        <v>2200</v>
      </c>
      <c r="I49" s="228"/>
      <c r="J49" s="228"/>
      <c r="K49" s="228"/>
      <c r="L49" s="14"/>
    </row>
    <row r="50" spans="1:12" x14ac:dyDescent="0.15">
      <c r="A50" s="9" t="s">
        <v>179</v>
      </c>
      <c r="B50" s="9" t="s">
        <v>1903</v>
      </c>
      <c r="C50" s="9" t="s">
        <v>1903</v>
      </c>
      <c r="D50" s="25" t="s">
        <v>573</v>
      </c>
      <c r="E50" s="10">
        <f t="shared" si="0"/>
        <v>2201</v>
      </c>
      <c r="F50" s="20">
        <v>2300</v>
      </c>
      <c r="I50" s="228"/>
      <c r="J50" s="228"/>
      <c r="K50" s="228"/>
      <c r="L50" s="14"/>
    </row>
    <row r="51" spans="1:12" x14ac:dyDescent="0.15">
      <c r="A51" s="9" t="s">
        <v>179</v>
      </c>
      <c r="B51" s="9" t="s">
        <v>1903</v>
      </c>
      <c r="C51" s="9" t="s">
        <v>1903</v>
      </c>
      <c r="D51" s="25" t="s">
        <v>574</v>
      </c>
      <c r="E51" s="10">
        <f t="shared" si="0"/>
        <v>2301</v>
      </c>
      <c r="F51" s="20">
        <v>2350</v>
      </c>
      <c r="I51" s="228"/>
      <c r="J51" s="228"/>
      <c r="K51" s="228"/>
      <c r="L51" s="13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3DCB-7FDB-48E7-807D-D1645C602B71}">
  <sheetPr>
    <tabColor rgb="FFFFFF00"/>
  </sheetPr>
  <dimension ref="A1:L39"/>
  <sheetViews>
    <sheetView workbookViewId="0">
      <selection activeCell="L37" sqref="L37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2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21" t="s">
        <v>1753</v>
      </c>
      <c r="B1" s="222" t="s">
        <v>1846</v>
      </c>
      <c r="C1" s="222" t="s">
        <v>1758</v>
      </c>
      <c r="D1" s="223" t="s">
        <v>1847</v>
      </c>
      <c r="E1" s="224" t="s">
        <v>1802</v>
      </c>
      <c r="F1" s="225" t="s">
        <v>1803</v>
      </c>
      <c r="G1" s="226" t="s">
        <v>584</v>
      </c>
      <c r="H1" s="226" t="s">
        <v>585</v>
      </c>
      <c r="I1" s="227" t="s">
        <v>586</v>
      </c>
      <c r="J1" s="227" t="s">
        <v>587</v>
      </c>
      <c r="K1" s="227" t="s">
        <v>588</v>
      </c>
      <c r="L1" s="84" t="s">
        <v>2348</v>
      </c>
    </row>
    <row r="2" spans="1:12" s="32" customFormat="1" x14ac:dyDescent="0.15">
      <c r="A2" s="32" t="s">
        <v>190</v>
      </c>
      <c r="B2" s="32" t="s">
        <v>1759</v>
      </c>
      <c r="C2" s="32" t="s">
        <v>1759</v>
      </c>
      <c r="D2" s="212" t="s">
        <v>373</v>
      </c>
      <c r="E2" s="11">
        <v>0</v>
      </c>
      <c r="F2" s="19">
        <v>15</v>
      </c>
      <c r="G2" s="14">
        <v>0.1</v>
      </c>
      <c r="H2" s="14">
        <v>0.02</v>
      </c>
      <c r="I2" s="190">
        <v>0.1</v>
      </c>
      <c r="J2" s="190">
        <v>0.2</v>
      </c>
      <c r="K2" s="190">
        <v>0.4</v>
      </c>
      <c r="L2" s="14">
        <v>0.85</v>
      </c>
    </row>
    <row r="3" spans="1:12" x14ac:dyDescent="0.15">
      <c r="A3" s="9" t="s">
        <v>190</v>
      </c>
      <c r="B3" s="9" t="s">
        <v>1759</v>
      </c>
      <c r="C3" s="9" t="s">
        <v>1759</v>
      </c>
      <c r="D3" s="213" t="s">
        <v>374</v>
      </c>
      <c r="E3" s="10">
        <f>F2+1</f>
        <v>16</v>
      </c>
      <c r="F3" s="20">
        <v>35</v>
      </c>
      <c r="G3" s="24"/>
      <c r="H3" s="24"/>
      <c r="I3" s="195"/>
      <c r="J3" s="190"/>
      <c r="K3" s="190"/>
    </row>
    <row r="4" spans="1:12" x14ac:dyDescent="0.15">
      <c r="A4" s="9" t="s">
        <v>190</v>
      </c>
      <c r="B4" s="9" t="s">
        <v>1759</v>
      </c>
      <c r="C4" s="9" t="s">
        <v>1759</v>
      </c>
      <c r="D4" s="213" t="s">
        <v>375</v>
      </c>
      <c r="E4" s="10">
        <f t="shared" ref="E4:E39" si="0">F3+1</f>
        <v>36</v>
      </c>
      <c r="F4" s="20">
        <v>55</v>
      </c>
      <c r="I4" s="190"/>
      <c r="J4" s="190"/>
      <c r="K4" s="190"/>
    </row>
    <row r="5" spans="1:12" x14ac:dyDescent="0.15">
      <c r="A5" s="9" t="s">
        <v>190</v>
      </c>
      <c r="B5" s="9" t="s">
        <v>1759</v>
      </c>
      <c r="C5" s="9" t="s">
        <v>1759</v>
      </c>
      <c r="D5" s="213" t="s">
        <v>414</v>
      </c>
      <c r="E5" s="10">
        <f t="shared" si="0"/>
        <v>56</v>
      </c>
      <c r="F5" s="20">
        <v>85</v>
      </c>
      <c r="I5" s="190"/>
      <c r="J5" s="190"/>
      <c r="K5" s="190"/>
    </row>
    <row r="6" spans="1:12" x14ac:dyDescent="0.15">
      <c r="A6" s="9" t="s">
        <v>190</v>
      </c>
      <c r="B6" s="9" t="s">
        <v>1759</v>
      </c>
      <c r="C6" s="9" t="s">
        <v>1759</v>
      </c>
      <c r="D6" s="213" t="s">
        <v>377</v>
      </c>
      <c r="E6" s="10">
        <f t="shared" si="0"/>
        <v>86</v>
      </c>
      <c r="F6" s="20">
        <v>110</v>
      </c>
      <c r="I6" s="190"/>
      <c r="J6" s="190"/>
      <c r="K6" s="190"/>
    </row>
    <row r="7" spans="1:12" x14ac:dyDescent="0.15">
      <c r="A7" s="9" t="s">
        <v>190</v>
      </c>
      <c r="B7" s="9" t="s">
        <v>1759</v>
      </c>
      <c r="C7" s="9" t="s">
        <v>1759</v>
      </c>
      <c r="D7" s="213" t="s">
        <v>457</v>
      </c>
      <c r="E7" s="10">
        <f t="shared" si="0"/>
        <v>111</v>
      </c>
      <c r="F7" s="20">
        <v>140</v>
      </c>
      <c r="I7" s="190"/>
      <c r="J7" s="190"/>
      <c r="K7" s="190"/>
    </row>
    <row r="8" spans="1:12" s="32" customFormat="1" x14ac:dyDescent="0.15">
      <c r="A8" s="32" t="s">
        <v>190</v>
      </c>
      <c r="B8" s="32" t="s">
        <v>1861</v>
      </c>
      <c r="C8" s="32" t="s">
        <v>1760</v>
      </c>
      <c r="D8" s="214" t="s">
        <v>380</v>
      </c>
      <c r="E8" s="11">
        <f t="shared" si="0"/>
        <v>141</v>
      </c>
      <c r="F8" s="92">
        <v>160</v>
      </c>
      <c r="G8" s="14">
        <v>1</v>
      </c>
      <c r="H8" s="14">
        <v>0.2</v>
      </c>
      <c r="I8" s="190">
        <v>1</v>
      </c>
      <c r="J8" s="190">
        <v>0.4</v>
      </c>
      <c r="K8" s="190">
        <v>0.45</v>
      </c>
      <c r="L8" s="14">
        <v>0.7</v>
      </c>
    </row>
    <row r="9" spans="1:12" x14ac:dyDescent="0.15">
      <c r="A9" s="9" t="s">
        <v>190</v>
      </c>
      <c r="B9" s="9" t="s">
        <v>1861</v>
      </c>
      <c r="C9" s="9" t="s">
        <v>1760</v>
      </c>
      <c r="D9" s="213" t="s">
        <v>458</v>
      </c>
      <c r="E9" s="10">
        <f t="shared" si="0"/>
        <v>161</v>
      </c>
      <c r="F9" s="20">
        <v>190</v>
      </c>
      <c r="G9" s="24"/>
      <c r="H9" s="24"/>
      <c r="I9" s="195"/>
      <c r="J9" s="190"/>
      <c r="K9" s="190"/>
    </row>
    <row r="10" spans="1:12" x14ac:dyDescent="0.15">
      <c r="A10" s="9" t="s">
        <v>190</v>
      </c>
      <c r="B10" s="9" t="s">
        <v>1861</v>
      </c>
      <c r="C10" s="9" t="s">
        <v>1760</v>
      </c>
      <c r="D10" s="213" t="s">
        <v>459</v>
      </c>
      <c r="E10" s="10">
        <f t="shared" si="0"/>
        <v>191</v>
      </c>
      <c r="F10" s="20">
        <v>220</v>
      </c>
      <c r="I10" s="190"/>
      <c r="J10" s="190"/>
      <c r="K10" s="190"/>
    </row>
    <row r="11" spans="1:12" x14ac:dyDescent="0.15">
      <c r="A11" s="9" t="s">
        <v>190</v>
      </c>
      <c r="B11" s="9" t="s">
        <v>1861</v>
      </c>
      <c r="C11" s="9" t="s">
        <v>1760</v>
      </c>
      <c r="D11" s="213" t="s">
        <v>460</v>
      </c>
      <c r="E11" s="10">
        <f t="shared" si="0"/>
        <v>221</v>
      </c>
      <c r="F11" s="20">
        <v>250</v>
      </c>
      <c r="I11" s="190"/>
      <c r="J11" s="190"/>
      <c r="K11" s="190"/>
    </row>
    <row r="12" spans="1:12" x14ac:dyDescent="0.15">
      <c r="A12" s="9" t="s">
        <v>190</v>
      </c>
      <c r="B12" s="9" t="s">
        <v>1861</v>
      </c>
      <c r="C12" s="9" t="s">
        <v>1760</v>
      </c>
      <c r="D12" s="215" t="s">
        <v>589</v>
      </c>
      <c r="E12" s="10">
        <f t="shared" si="0"/>
        <v>251</v>
      </c>
      <c r="F12" s="37">
        <v>400</v>
      </c>
      <c r="I12" s="190"/>
      <c r="J12" s="190"/>
      <c r="K12" s="190"/>
    </row>
    <row r="13" spans="1:12" s="32" customFormat="1" x14ac:dyDescent="0.15">
      <c r="A13" s="32" t="s">
        <v>190</v>
      </c>
      <c r="B13" s="32" t="s">
        <v>1857</v>
      </c>
      <c r="C13" s="32" t="s">
        <v>1760</v>
      </c>
      <c r="D13" s="212" t="s">
        <v>461</v>
      </c>
      <c r="E13" s="11">
        <f t="shared" si="0"/>
        <v>401</v>
      </c>
      <c r="F13" s="19">
        <v>430</v>
      </c>
      <c r="G13" s="14">
        <v>1.5</v>
      </c>
      <c r="H13" s="14">
        <v>0.3</v>
      </c>
      <c r="I13" s="190">
        <v>1.5</v>
      </c>
      <c r="J13" s="190">
        <v>0.6</v>
      </c>
      <c r="K13" s="190">
        <v>0.5</v>
      </c>
      <c r="L13" s="14">
        <v>0.75</v>
      </c>
    </row>
    <row r="14" spans="1:12" x14ac:dyDescent="0.15">
      <c r="A14" s="9" t="s">
        <v>190</v>
      </c>
      <c r="B14" s="9" t="s">
        <v>1857</v>
      </c>
      <c r="C14" s="9" t="s">
        <v>1760</v>
      </c>
      <c r="D14" s="213" t="s">
        <v>462</v>
      </c>
      <c r="E14" s="10">
        <f t="shared" si="0"/>
        <v>431</v>
      </c>
      <c r="F14" s="20">
        <v>460</v>
      </c>
      <c r="G14" s="24"/>
      <c r="H14" s="24"/>
      <c r="I14" s="195"/>
      <c r="J14" s="190"/>
      <c r="K14" s="190"/>
    </row>
    <row r="15" spans="1:12" x14ac:dyDescent="0.15">
      <c r="A15" s="9" t="s">
        <v>190</v>
      </c>
      <c r="B15" s="9" t="s">
        <v>1857</v>
      </c>
      <c r="C15" s="9" t="s">
        <v>1760</v>
      </c>
      <c r="D15" s="213" t="s">
        <v>463</v>
      </c>
      <c r="E15" s="10">
        <f t="shared" si="0"/>
        <v>461</v>
      </c>
      <c r="F15" s="20">
        <v>550</v>
      </c>
      <c r="I15" s="190"/>
      <c r="J15" s="190"/>
      <c r="K15" s="190"/>
    </row>
    <row r="16" spans="1:12" x14ac:dyDescent="0.15">
      <c r="A16" s="9" t="s">
        <v>190</v>
      </c>
      <c r="B16" s="9" t="s">
        <v>1857</v>
      </c>
      <c r="C16" s="9" t="s">
        <v>1760</v>
      </c>
      <c r="D16" s="213" t="s">
        <v>910</v>
      </c>
      <c r="E16" s="10">
        <f t="shared" si="0"/>
        <v>551</v>
      </c>
      <c r="F16" s="20">
        <v>650</v>
      </c>
      <c r="I16" s="190"/>
      <c r="J16" s="190"/>
      <c r="K16" s="190"/>
    </row>
    <row r="17" spans="1:12" s="32" customFormat="1" x14ac:dyDescent="0.15">
      <c r="A17" s="32" t="s">
        <v>190</v>
      </c>
      <c r="B17" s="32" t="s">
        <v>1858</v>
      </c>
      <c r="C17" s="32" t="s">
        <v>1761</v>
      </c>
      <c r="D17" s="212" t="s">
        <v>465</v>
      </c>
      <c r="E17" s="11">
        <f t="shared" si="0"/>
        <v>651</v>
      </c>
      <c r="F17" s="19">
        <v>700</v>
      </c>
      <c r="G17" s="14">
        <v>2</v>
      </c>
      <c r="H17" s="14">
        <v>0.4</v>
      </c>
      <c r="I17" s="190">
        <v>2</v>
      </c>
      <c r="J17" s="190">
        <v>0.9</v>
      </c>
      <c r="K17" s="190">
        <v>0.65</v>
      </c>
      <c r="L17" s="14">
        <v>0.82</v>
      </c>
    </row>
    <row r="18" spans="1:12" x14ac:dyDescent="0.15">
      <c r="A18" s="9" t="s">
        <v>190</v>
      </c>
      <c r="B18" s="9" t="s">
        <v>1858</v>
      </c>
      <c r="C18" s="9" t="s">
        <v>1761</v>
      </c>
      <c r="D18" s="213" t="s">
        <v>904</v>
      </c>
      <c r="E18" s="10">
        <f t="shared" si="0"/>
        <v>701</v>
      </c>
      <c r="F18" s="20">
        <v>730</v>
      </c>
      <c r="G18" s="24"/>
      <c r="H18" s="24"/>
      <c r="I18" s="195"/>
      <c r="J18" s="190"/>
      <c r="K18" s="190"/>
    </row>
    <row r="19" spans="1:12" x14ac:dyDescent="0.15">
      <c r="A19" s="9" t="s">
        <v>190</v>
      </c>
      <c r="B19" s="9" t="s">
        <v>1858</v>
      </c>
      <c r="C19" s="9" t="s">
        <v>1761</v>
      </c>
      <c r="D19" s="213" t="s">
        <v>905</v>
      </c>
      <c r="E19" s="10">
        <f t="shared" si="0"/>
        <v>731</v>
      </c>
      <c r="F19" s="20">
        <v>760</v>
      </c>
      <c r="I19" s="190"/>
      <c r="J19" s="190"/>
      <c r="K19" s="190"/>
    </row>
    <row r="20" spans="1:12" x14ac:dyDescent="0.15">
      <c r="A20" s="9" t="s">
        <v>190</v>
      </c>
      <c r="B20" s="9" t="s">
        <v>1858</v>
      </c>
      <c r="C20" s="9" t="s">
        <v>1761</v>
      </c>
      <c r="D20" s="213" t="s">
        <v>506</v>
      </c>
      <c r="E20" s="10">
        <f t="shared" si="0"/>
        <v>761</v>
      </c>
      <c r="F20" s="20">
        <v>820</v>
      </c>
      <c r="I20" s="190"/>
      <c r="J20" s="190"/>
      <c r="K20" s="190"/>
    </row>
    <row r="21" spans="1:12" s="32" customFormat="1" x14ac:dyDescent="0.15">
      <c r="A21" s="32" t="s">
        <v>190</v>
      </c>
      <c r="B21" s="32" t="s">
        <v>1896</v>
      </c>
      <c r="C21" s="32" t="s">
        <v>1761</v>
      </c>
      <c r="D21" s="212" t="s">
        <v>468</v>
      </c>
      <c r="E21" s="11">
        <f t="shared" si="0"/>
        <v>821</v>
      </c>
      <c r="F21" s="19">
        <v>870</v>
      </c>
      <c r="G21" s="14">
        <v>2.5</v>
      </c>
      <c r="H21" s="14">
        <v>0.5</v>
      </c>
      <c r="I21" s="190">
        <v>2.5</v>
      </c>
      <c r="J21" s="190">
        <v>1.1000000000000001</v>
      </c>
      <c r="K21" s="190">
        <v>0.7</v>
      </c>
      <c r="L21" s="14">
        <v>0.9</v>
      </c>
    </row>
    <row r="22" spans="1:12" x14ac:dyDescent="0.15">
      <c r="A22" s="9" t="s">
        <v>190</v>
      </c>
      <c r="B22" s="9" t="s">
        <v>1896</v>
      </c>
      <c r="C22" s="9" t="s">
        <v>1761</v>
      </c>
      <c r="D22" s="213" t="s">
        <v>906</v>
      </c>
      <c r="E22" s="10">
        <f t="shared" si="0"/>
        <v>871</v>
      </c>
      <c r="F22" s="20">
        <v>910</v>
      </c>
      <c r="G22" s="24"/>
      <c r="H22" s="24"/>
      <c r="I22" s="195"/>
      <c r="J22" s="190"/>
      <c r="K22" s="190"/>
    </row>
    <row r="23" spans="1:12" x14ac:dyDescent="0.15">
      <c r="A23" s="9" t="s">
        <v>190</v>
      </c>
      <c r="B23" s="9" t="s">
        <v>1896</v>
      </c>
      <c r="C23" s="9" t="s">
        <v>1761</v>
      </c>
      <c r="D23" s="213" t="s">
        <v>907</v>
      </c>
      <c r="E23" s="10">
        <f t="shared" si="0"/>
        <v>911</v>
      </c>
      <c r="F23" s="20">
        <v>950</v>
      </c>
      <c r="I23" s="190"/>
      <c r="J23" s="190"/>
      <c r="K23" s="190"/>
    </row>
    <row r="24" spans="1:12" x14ac:dyDescent="0.15">
      <c r="A24" s="9" t="s">
        <v>190</v>
      </c>
      <c r="B24" s="9" t="s">
        <v>1896</v>
      </c>
      <c r="C24" s="9" t="s">
        <v>1761</v>
      </c>
      <c r="D24" s="213" t="s">
        <v>590</v>
      </c>
      <c r="E24" s="10">
        <f t="shared" si="0"/>
        <v>951</v>
      </c>
      <c r="F24" s="20">
        <v>1050</v>
      </c>
      <c r="I24" s="190"/>
      <c r="J24" s="190"/>
      <c r="K24" s="190"/>
    </row>
    <row r="25" spans="1:12" s="32" customFormat="1" x14ac:dyDescent="0.15">
      <c r="A25" s="32" t="s">
        <v>190</v>
      </c>
      <c r="B25" s="32" t="s">
        <v>1854</v>
      </c>
      <c r="C25" s="32" t="s">
        <v>1761</v>
      </c>
      <c r="D25" s="214" t="s">
        <v>471</v>
      </c>
      <c r="E25" s="11">
        <f t="shared" si="0"/>
        <v>1051</v>
      </c>
      <c r="F25" s="19">
        <v>1110</v>
      </c>
      <c r="G25" s="14">
        <v>2</v>
      </c>
      <c r="H25" s="14">
        <v>0.4</v>
      </c>
      <c r="I25" s="190">
        <v>2</v>
      </c>
      <c r="J25" s="190">
        <v>0.8</v>
      </c>
      <c r="K25" s="190">
        <v>0.65</v>
      </c>
      <c r="L25" s="14">
        <v>0.7</v>
      </c>
    </row>
    <row r="26" spans="1:12" x14ac:dyDescent="0.15">
      <c r="A26" s="9" t="s">
        <v>190</v>
      </c>
      <c r="B26" s="9" t="s">
        <v>1854</v>
      </c>
      <c r="C26" s="9" t="s">
        <v>1761</v>
      </c>
      <c r="D26" s="213" t="s">
        <v>908</v>
      </c>
      <c r="E26" s="10">
        <f t="shared" si="0"/>
        <v>1111</v>
      </c>
      <c r="F26" s="20">
        <v>1170</v>
      </c>
      <c r="G26" s="24"/>
      <c r="H26" s="24"/>
      <c r="I26" s="195"/>
      <c r="J26" s="190"/>
      <c r="K26" s="190"/>
    </row>
    <row r="27" spans="1:12" x14ac:dyDescent="0.15">
      <c r="A27" s="9" t="s">
        <v>190</v>
      </c>
      <c r="B27" s="9" t="s">
        <v>1854</v>
      </c>
      <c r="C27" s="9" t="s">
        <v>1761</v>
      </c>
      <c r="D27" s="213" t="s">
        <v>909</v>
      </c>
      <c r="E27" s="10">
        <f t="shared" si="0"/>
        <v>1171</v>
      </c>
      <c r="F27" s="20">
        <v>1230</v>
      </c>
      <c r="I27" s="190"/>
      <c r="J27" s="190"/>
      <c r="K27" s="190"/>
    </row>
    <row r="28" spans="1:12" x14ac:dyDescent="0.15">
      <c r="A28" s="9" t="s">
        <v>190</v>
      </c>
      <c r="B28" s="9" t="s">
        <v>1854</v>
      </c>
      <c r="C28" s="9" t="s">
        <v>1761</v>
      </c>
      <c r="D28" s="213" t="s">
        <v>591</v>
      </c>
      <c r="E28" s="10">
        <f t="shared" si="0"/>
        <v>1231</v>
      </c>
      <c r="F28" s="20">
        <v>1400</v>
      </c>
      <c r="I28" s="190"/>
      <c r="J28" s="190"/>
      <c r="K28" s="190"/>
    </row>
    <row r="29" spans="1:12" s="32" customFormat="1" x14ac:dyDescent="0.15">
      <c r="A29" s="32" t="s">
        <v>190</v>
      </c>
      <c r="B29" s="32" t="s">
        <v>1860</v>
      </c>
      <c r="C29" s="32" t="s">
        <v>1762</v>
      </c>
      <c r="D29" s="212" t="s">
        <v>474</v>
      </c>
      <c r="E29" s="11">
        <f t="shared" si="0"/>
        <v>1401</v>
      </c>
      <c r="F29" s="19">
        <v>1440</v>
      </c>
      <c r="G29" s="14">
        <v>1</v>
      </c>
      <c r="H29" s="14">
        <v>0.2</v>
      </c>
      <c r="I29" s="190">
        <v>1</v>
      </c>
      <c r="J29" s="190">
        <v>0.6</v>
      </c>
      <c r="K29" s="190">
        <v>0.55000000000000004</v>
      </c>
      <c r="L29" s="14">
        <v>0.4</v>
      </c>
    </row>
    <row r="30" spans="1:12" x14ac:dyDescent="0.15">
      <c r="A30" s="9" t="s">
        <v>190</v>
      </c>
      <c r="B30" s="9" t="s">
        <v>1860</v>
      </c>
      <c r="C30" s="9" t="s">
        <v>1762</v>
      </c>
      <c r="D30" s="213" t="s">
        <v>475</v>
      </c>
      <c r="E30" s="10">
        <f t="shared" si="0"/>
        <v>1441</v>
      </c>
      <c r="F30" s="20">
        <v>1480</v>
      </c>
      <c r="G30" s="24"/>
      <c r="H30" s="24"/>
      <c r="I30" s="195"/>
      <c r="J30" s="190"/>
      <c r="K30" s="190"/>
    </row>
    <row r="31" spans="1:12" x14ac:dyDescent="0.15">
      <c r="A31" s="9" t="s">
        <v>190</v>
      </c>
      <c r="B31" s="9" t="s">
        <v>1860</v>
      </c>
      <c r="C31" s="9" t="s">
        <v>1762</v>
      </c>
      <c r="D31" s="213" t="s">
        <v>476</v>
      </c>
      <c r="E31" s="10">
        <f t="shared" si="0"/>
        <v>1481</v>
      </c>
      <c r="F31" s="20">
        <v>1520</v>
      </c>
      <c r="I31" s="190"/>
      <c r="J31" s="190"/>
      <c r="K31" s="190"/>
    </row>
    <row r="32" spans="1:12" x14ac:dyDescent="0.15">
      <c r="A32" s="9" t="s">
        <v>190</v>
      </c>
      <c r="B32" s="9" t="s">
        <v>1860</v>
      </c>
      <c r="C32" s="9" t="s">
        <v>1762</v>
      </c>
      <c r="D32" s="213" t="s">
        <v>477</v>
      </c>
      <c r="E32" s="10">
        <f t="shared" si="0"/>
        <v>1521</v>
      </c>
      <c r="F32" s="20">
        <v>1560</v>
      </c>
      <c r="I32" s="190"/>
      <c r="J32" s="190"/>
      <c r="K32" s="190"/>
    </row>
    <row r="33" spans="1:12" x14ac:dyDescent="0.15">
      <c r="A33" s="9" t="s">
        <v>190</v>
      </c>
      <c r="B33" s="9" t="s">
        <v>1860</v>
      </c>
      <c r="C33" s="9" t="s">
        <v>1762</v>
      </c>
      <c r="D33" s="213" t="s">
        <v>478</v>
      </c>
      <c r="E33" s="10">
        <f t="shared" si="0"/>
        <v>1561</v>
      </c>
      <c r="F33" s="20">
        <v>1600</v>
      </c>
      <c r="I33" s="190"/>
      <c r="J33" s="190"/>
      <c r="K33" s="190"/>
    </row>
    <row r="34" spans="1:12" x14ac:dyDescent="0.15">
      <c r="A34" s="9" t="s">
        <v>190</v>
      </c>
      <c r="B34" s="9" t="s">
        <v>1860</v>
      </c>
      <c r="C34" s="9" t="s">
        <v>1762</v>
      </c>
      <c r="D34" s="213" t="s">
        <v>479</v>
      </c>
      <c r="E34" s="10">
        <f t="shared" si="0"/>
        <v>1601</v>
      </c>
      <c r="F34" s="20">
        <v>1640</v>
      </c>
      <c r="I34" s="190"/>
      <c r="J34" s="190"/>
      <c r="K34" s="190"/>
    </row>
    <row r="35" spans="1:12" x14ac:dyDescent="0.15">
      <c r="A35" s="9" t="s">
        <v>190</v>
      </c>
      <c r="B35" s="9" t="s">
        <v>1860</v>
      </c>
      <c r="C35" s="9" t="s">
        <v>1762</v>
      </c>
      <c r="D35" s="213" t="s">
        <v>480</v>
      </c>
      <c r="E35" s="10">
        <f t="shared" si="0"/>
        <v>1641</v>
      </c>
      <c r="F35" s="20">
        <v>1680</v>
      </c>
      <c r="I35" s="190"/>
      <c r="J35" s="190"/>
      <c r="K35" s="190"/>
    </row>
    <row r="36" spans="1:12" x14ac:dyDescent="0.15">
      <c r="A36" s="9" t="s">
        <v>190</v>
      </c>
      <c r="B36" s="9" t="s">
        <v>1860</v>
      </c>
      <c r="C36" s="9" t="s">
        <v>1762</v>
      </c>
      <c r="D36" s="213" t="s">
        <v>481</v>
      </c>
      <c r="E36" s="10">
        <f t="shared" si="0"/>
        <v>1681</v>
      </c>
      <c r="F36" s="20">
        <v>1720</v>
      </c>
      <c r="I36" s="190"/>
      <c r="J36" s="190"/>
      <c r="K36" s="190"/>
    </row>
    <row r="37" spans="1:12" x14ac:dyDescent="0.15">
      <c r="A37" s="9" t="s">
        <v>190</v>
      </c>
      <c r="B37" s="9" t="s">
        <v>1860</v>
      </c>
      <c r="C37" s="9" t="s">
        <v>1762</v>
      </c>
      <c r="D37" s="213" t="s">
        <v>482</v>
      </c>
      <c r="E37" s="10">
        <f t="shared" si="0"/>
        <v>1721</v>
      </c>
      <c r="F37" s="20">
        <v>1800</v>
      </c>
      <c r="I37" s="190"/>
      <c r="J37" s="190"/>
      <c r="K37" s="190"/>
    </row>
    <row r="38" spans="1:12" s="32" customFormat="1" x14ac:dyDescent="0.15">
      <c r="A38" s="32" t="s">
        <v>190</v>
      </c>
      <c r="B38" s="32" t="s">
        <v>1855</v>
      </c>
      <c r="C38" s="32" t="s">
        <v>1855</v>
      </c>
      <c r="D38" s="212" t="s">
        <v>483</v>
      </c>
      <c r="E38" s="11">
        <f t="shared" si="0"/>
        <v>1801</v>
      </c>
      <c r="F38" s="19">
        <v>1900</v>
      </c>
      <c r="G38" s="14">
        <v>0.2</v>
      </c>
      <c r="H38" s="14">
        <v>0.05</v>
      </c>
      <c r="I38" s="190">
        <v>0.2</v>
      </c>
      <c r="J38" s="190">
        <v>0.3</v>
      </c>
      <c r="K38" s="190">
        <v>0.4</v>
      </c>
      <c r="L38" s="14">
        <v>0.2</v>
      </c>
    </row>
    <row r="39" spans="1:12" x14ac:dyDescent="0.15">
      <c r="A39" s="9" t="s">
        <v>190</v>
      </c>
      <c r="B39" s="9" t="s">
        <v>1855</v>
      </c>
      <c r="C39" s="9" t="s">
        <v>1855</v>
      </c>
      <c r="D39" s="213" t="s">
        <v>456</v>
      </c>
      <c r="E39" s="10">
        <f t="shared" si="0"/>
        <v>1901</v>
      </c>
      <c r="F39" s="20">
        <v>2000</v>
      </c>
      <c r="I39" s="190"/>
      <c r="J39" s="190"/>
      <c r="K39" s="190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3542-992E-42E3-892E-C0286ECD2FE0}">
  <sheetPr>
    <tabColor rgb="FFFFFF00"/>
  </sheetPr>
  <dimension ref="A1:L48"/>
  <sheetViews>
    <sheetView workbookViewId="0">
      <selection activeCell="L46" sqref="L46"/>
    </sheetView>
  </sheetViews>
  <sheetFormatPr defaultColWidth="13"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3.42578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13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196</v>
      </c>
      <c r="B2" s="32" t="s">
        <v>1759</v>
      </c>
      <c r="C2" s="32" t="s">
        <v>1759</v>
      </c>
      <c r="D2" s="77" t="s">
        <v>940</v>
      </c>
      <c r="E2" s="11">
        <v>0</v>
      </c>
      <c r="F2" s="19">
        <v>10</v>
      </c>
      <c r="G2" s="14">
        <v>0.05</v>
      </c>
      <c r="H2" s="14">
        <v>0.01</v>
      </c>
      <c r="I2" s="190">
        <v>0.05</v>
      </c>
      <c r="J2" s="190">
        <v>0.2</v>
      </c>
      <c r="K2" s="190">
        <v>0.4</v>
      </c>
      <c r="L2" s="14">
        <v>0.85</v>
      </c>
    </row>
    <row r="3" spans="1:12" x14ac:dyDescent="0.15">
      <c r="A3" s="9" t="s">
        <v>196</v>
      </c>
      <c r="B3" s="9" t="s">
        <v>1759</v>
      </c>
      <c r="C3" s="9" t="s">
        <v>1759</v>
      </c>
      <c r="D3" s="25" t="s">
        <v>374</v>
      </c>
      <c r="E3" s="10">
        <f>F2+1</f>
        <v>11</v>
      </c>
      <c r="F3" s="20">
        <v>30</v>
      </c>
      <c r="G3" s="24"/>
      <c r="H3" s="24"/>
      <c r="I3" s="195"/>
      <c r="J3" s="190"/>
      <c r="K3" s="190"/>
      <c r="L3" s="14"/>
    </row>
    <row r="4" spans="1:12" x14ac:dyDescent="0.15">
      <c r="A4" s="9" t="s">
        <v>196</v>
      </c>
      <c r="B4" s="9" t="s">
        <v>1759</v>
      </c>
      <c r="C4" s="9" t="s">
        <v>1759</v>
      </c>
      <c r="D4" s="25" t="s">
        <v>375</v>
      </c>
      <c r="E4" s="10">
        <f t="shared" ref="E4:E48" si="0">F3+1</f>
        <v>31</v>
      </c>
      <c r="F4" s="20">
        <v>60</v>
      </c>
      <c r="I4" s="190"/>
      <c r="J4" s="190"/>
      <c r="K4" s="190"/>
      <c r="L4" s="14"/>
    </row>
    <row r="5" spans="1:12" x14ac:dyDescent="0.15">
      <c r="A5" s="9" t="s">
        <v>196</v>
      </c>
      <c r="B5" s="9" t="s">
        <v>1759</v>
      </c>
      <c r="C5" s="9" t="s">
        <v>1759</v>
      </c>
      <c r="D5" s="25" t="s">
        <v>414</v>
      </c>
      <c r="E5" s="10">
        <f t="shared" si="0"/>
        <v>61</v>
      </c>
      <c r="F5" s="20">
        <v>90</v>
      </c>
      <c r="I5" s="190"/>
      <c r="J5" s="190"/>
      <c r="K5" s="190"/>
      <c r="L5" s="14"/>
    </row>
    <row r="6" spans="1:12" x14ac:dyDescent="0.15">
      <c r="A6" s="9" t="s">
        <v>196</v>
      </c>
      <c r="B6" s="9" t="s">
        <v>1759</v>
      </c>
      <c r="C6" s="9" t="s">
        <v>1759</v>
      </c>
      <c r="D6" s="25" t="s">
        <v>941</v>
      </c>
      <c r="E6" s="10">
        <f t="shared" si="0"/>
        <v>91</v>
      </c>
      <c r="F6" s="20">
        <v>110</v>
      </c>
      <c r="I6" s="190"/>
      <c r="J6" s="190"/>
      <c r="K6" s="190"/>
      <c r="L6" s="14"/>
    </row>
    <row r="7" spans="1:12" x14ac:dyDescent="0.15">
      <c r="A7" s="9" t="s">
        <v>196</v>
      </c>
      <c r="B7" s="9" t="s">
        <v>1759</v>
      </c>
      <c r="C7" s="9" t="s">
        <v>1759</v>
      </c>
      <c r="D7" s="25" t="s">
        <v>645</v>
      </c>
      <c r="E7" s="10">
        <f t="shared" si="0"/>
        <v>111</v>
      </c>
      <c r="F7" s="20">
        <v>120</v>
      </c>
      <c r="I7" s="190"/>
      <c r="J7" s="190"/>
      <c r="K7" s="190"/>
      <c r="L7" s="14"/>
    </row>
    <row r="8" spans="1:12" s="32" customFormat="1" x14ac:dyDescent="0.15">
      <c r="A8" s="32" t="s">
        <v>196</v>
      </c>
      <c r="B8" s="32" t="s">
        <v>1887</v>
      </c>
      <c r="C8" s="32" t="s">
        <v>1760</v>
      </c>
      <c r="D8" s="193" t="s">
        <v>943</v>
      </c>
      <c r="E8" s="11">
        <f t="shared" si="0"/>
        <v>121</v>
      </c>
      <c r="F8" s="92">
        <v>160</v>
      </c>
      <c r="G8" s="14">
        <v>1</v>
      </c>
      <c r="H8" s="14">
        <v>0.15</v>
      </c>
      <c r="I8" s="190">
        <v>1</v>
      </c>
      <c r="J8" s="190">
        <v>0.4</v>
      </c>
      <c r="K8" s="190">
        <v>0.5</v>
      </c>
      <c r="L8" s="14">
        <v>0.7</v>
      </c>
    </row>
    <row r="9" spans="1:12" x14ac:dyDescent="0.15">
      <c r="A9" s="9" t="s">
        <v>196</v>
      </c>
      <c r="B9" s="9" t="s">
        <v>1887</v>
      </c>
      <c r="C9" s="9" t="s">
        <v>1760</v>
      </c>
      <c r="D9" s="25" t="s">
        <v>912</v>
      </c>
      <c r="E9" s="10">
        <f t="shared" si="0"/>
        <v>161</v>
      </c>
      <c r="F9" s="20">
        <v>210</v>
      </c>
      <c r="G9" s="24"/>
      <c r="H9" s="24"/>
      <c r="I9" s="195"/>
      <c r="J9" s="190"/>
      <c r="K9" s="190"/>
      <c r="L9" s="14"/>
    </row>
    <row r="10" spans="1:12" x14ac:dyDescent="0.15">
      <c r="A10" s="9" t="s">
        <v>196</v>
      </c>
      <c r="B10" s="9" t="s">
        <v>1887</v>
      </c>
      <c r="C10" s="9" t="s">
        <v>1760</v>
      </c>
      <c r="D10" s="25" t="s">
        <v>913</v>
      </c>
      <c r="E10" s="10">
        <f t="shared" si="0"/>
        <v>211</v>
      </c>
      <c r="F10" s="20">
        <v>260</v>
      </c>
      <c r="I10" s="190"/>
      <c r="J10" s="190"/>
      <c r="K10" s="190"/>
      <c r="L10" s="14"/>
    </row>
    <row r="11" spans="1:12" x14ac:dyDescent="0.15">
      <c r="A11" s="9" t="s">
        <v>196</v>
      </c>
      <c r="B11" s="9" t="s">
        <v>1887</v>
      </c>
      <c r="C11" s="9" t="s">
        <v>1760</v>
      </c>
      <c r="D11" s="25" t="s">
        <v>914</v>
      </c>
      <c r="E11" s="10">
        <f t="shared" si="0"/>
        <v>261</v>
      </c>
      <c r="F11" s="20">
        <v>310</v>
      </c>
      <c r="I11" s="190"/>
      <c r="J11" s="190"/>
      <c r="K11" s="190"/>
      <c r="L11" s="14"/>
    </row>
    <row r="12" spans="1:12" x14ac:dyDescent="0.15">
      <c r="A12" s="9" t="s">
        <v>196</v>
      </c>
      <c r="B12" s="9" t="s">
        <v>1887</v>
      </c>
      <c r="C12" s="9" t="s">
        <v>1760</v>
      </c>
      <c r="D12" s="25" t="s">
        <v>915</v>
      </c>
      <c r="E12" s="10">
        <f t="shared" si="0"/>
        <v>311</v>
      </c>
      <c r="F12" s="20">
        <v>450</v>
      </c>
      <c r="I12" s="190"/>
      <c r="J12" s="190"/>
      <c r="K12" s="190"/>
      <c r="L12" s="14"/>
    </row>
    <row r="13" spans="1:12" s="32" customFormat="1" x14ac:dyDescent="0.15">
      <c r="A13" s="32" t="s">
        <v>196</v>
      </c>
      <c r="B13" s="32" t="s">
        <v>1888</v>
      </c>
      <c r="C13" s="32" t="s">
        <v>1760</v>
      </c>
      <c r="D13" s="77" t="s">
        <v>916</v>
      </c>
      <c r="E13" s="11">
        <f t="shared" si="0"/>
        <v>451</v>
      </c>
      <c r="F13" s="19">
        <v>550</v>
      </c>
      <c r="G13" s="14">
        <v>2</v>
      </c>
      <c r="H13" s="14">
        <v>0.3</v>
      </c>
      <c r="I13" s="190">
        <v>1.8</v>
      </c>
      <c r="J13" s="190">
        <v>1.05</v>
      </c>
      <c r="K13" s="190">
        <v>0.55000000000000004</v>
      </c>
      <c r="L13" s="14">
        <v>0.88</v>
      </c>
    </row>
    <row r="14" spans="1:12" x14ac:dyDescent="0.15">
      <c r="A14" s="9" t="s">
        <v>196</v>
      </c>
      <c r="B14" s="9" t="s">
        <v>1888</v>
      </c>
      <c r="C14" s="9" t="s">
        <v>1760</v>
      </c>
      <c r="D14" s="25" t="s">
        <v>917</v>
      </c>
      <c r="E14" s="10">
        <f t="shared" si="0"/>
        <v>551</v>
      </c>
      <c r="F14" s="20">
        <v>700</v>
      </c>
      <c r="G14" s="24"/>
      <c r="H14" s="24"/>
      <c r="I14" s="195"/>
      <c r="J14" s="190"/>
      <c r="K14" s="190"/>
      <c r="L14" s="14"/>
    </row>
    <row r="15" spans="1:12" x14ac:dyDescent="0.15">
      <c r="A15" s="9" t="s">
        <v>196</v>
      </c>
      <c r="B15" s="9" t="s">
        <v>1888</v>
      </c>
      <c r="C15" s="9" t="s">
        <v>1760</v>
      </c>
      <c r="D15" s="25" t="s">
        <v>918</v>
      </c>
      <c r="E15" s="10">
        <f t="shared" si="0"/>
        <v>701</v>
      </c>
      <c r="F15" s="20">
        <v>850</v>
      </c>
      <c r="I15" s="190"/>
      <c r="J15" s="190"/>
      <c r="K15" s="190"/>
      <c r="L15" s="14"/>
    </row>
    <row r="16" spans="1:12" x14ac:dyDescent="0.15">
      <c r="A16" s="9" t="s">
        <v>196</v>
      </c>
      <c r="B16" s="9" t="s">
        <v>1888</v>
      </c>
      <c r="C16" s="9" t="s">
        <v>1760</v>
      </c>
      <c r="D16" s="25" t="s">
        <v>919</v>
      </c>
      <c r="E16" s="10">
        <f t="shared" si="0"/>
        <v>851</v>
      </c>
      <c r="F16" s="20">
        <v>950</v>
      </c>
      <c r="I16" s="190"/>
      <c r="J16" s="190"/>
      <c r="K16" s="190"/>
      <c r="L16" s="14"/>
    </row>
    <row r="17" spans="1:12" x14ac:dyDescent="0.15">
      <c r="A17" s="9" t="s">
        <v>196</v>
      </c>
      <c r="B17" s="9" t="s">
        <v>1888</v>
      </c>
      <c r="C17" s="9" t="s">
        <v>1760</v>
      </c>
      <c r="D17" s="25" t="s">
        <v>920</v>
      </c>
      <c r="E17" s="10">
        <f t="shared" si="0"/>
        <v>951</v>
      </c>
      <c r="F17" s="20">
        <v>1020</v>
      </c>
      <c r="I17" s="190"/>
      <c r="J17" s="190"/>
      <c r="K17" s="190"/>
      <c r="L17" s="14"/>
    </row>
    <row r="18" spans="1:12" x14ac:dyDescent="0.15">
      <c r="A18" s="9" t="s">
        <v>196</v>
      </c>
      <c r="B18" s="9" t="s">
        <v>1888</v>
      </c>
      <c r="C18" s="9" t="s">
        <v>1760</v>
      </c>
      <c r="D18" s="25" t="s">
        <v>921</v>
      </c>
      <c r="E18" s="10">
        <f t="shared" si="0"/>
        <v>1021</v>
      </c>
      <c r="F18" s="20">
        <v>1100</v>
      </c>
      <c r="I18" s="190"/>
      <c r="J18" s="190"/>
      <c r="K18" s="190"/>
      <c r="L18" s="14"/>
    </row>
    <row r="19" spans="1:12" s="32" customFormat="1" x14ac:dyDescent="0.15">
      <c r="A19" s="32" t="s">
        <v>196</v>
      </c>
      <c r="B19" s="32" t="s">
        <v>1858</v>
      </c>
      <c r="C19" s="32" t="s">
        <v>1761</v>
      </c>
      <c r="D19" s="77" t="s">
        <v>942</v>
      </c>
      <c r="E19" s="11">
        <f t="shared" si="0"/>
        <v>1101</v>
      </c>
      <c r="F19" s="19">
        <v>1140</v>
      </c>
      <c r="G19" s="14">
        <v>2.5</v>
      </c>
      <c r="H19" s="14">
        <v>0.4</v>
      </c>
      <c r="I19" s="190">
        <v>2.5</v>
      </c>
      <c r="J19" s="190">
        <v>1.1499999999999999</v>
      </c>
      <c r="K19" s="190">
        <v>0.55000000000000004</v>
      </c>
      <c r="L19" s="14">
        <v>0.75</v>
      </c>
    </row>
    <row r="20" spans="1:12" x14ac:dyDescent="0.15">
      <c r="A20" s="9" t="s">
        <v>196</v>
      </c>
      <c r="B20" s="9" t="s">
        <v>1858</v>
      </c>
      <c r="C20" s="9" t="s">
        <v>1761</v>
      </c>
      <c r="D20" s="25" t="s">
        <v>922</v>
      </c>
      <c r="E20" s="10">
        <f t="shared" si="0"/>
        <v>1141</v>
      </c>
      <c r="F20" s="20">
        <v>1180</v>
      </c>
      <c r="G20" s="24"/>
      <c r="H20" s="24"/>
      <c r="I20" s="195"/>
      <c r="J20" s="190"/>
      <c r="K20" s="190"/>
      <c r="L20" s="14"/>
    </row>
    <row r="21" spans="1:12" x14ac:dyDescent="0.15">
      <c r="A21" s="9" t="s">
        <v>196</v>
      </c>
      <c r="B21" s="9" t="s">
        <v>1858</v>
      </c>
      <c r="C21" s="9" t="s">
        <v>1761</v>
      </c>
      <c r="D21" s="194" t="s">
        <v>923</v>
      </c>
      <c r="E21" s="10">
        <f t="shared" si="0"/>
        <v>1181</v>
      </c>
      <c r="F21" s="37">
        <v>1260</v>
      </c>
      <c r="I21" s="190"/>
      <c r="J21" s="190"/>
      <c r="K21" s="190"/>
      <c r="L21" s="14"/>
    </row>
    <row r="22" spans="1:12" x14ac:dyDescent="0.15">
      <c r="A22" s="9" t="s">
        <v>196</v>
      </c>
      <c r="B22" s="9" t="s">
        <v>1858</v>
      </c>
      <c r="C22" s="9" t="s">
        <v>1761</v>
      </c>
      <c r="D22" s="25" t="s">
        <v>924</v>
      </c>
      <c r="E22" s="10">
        <f t="shared" si="0"/>
        <v>1261</v>
      </c>
      <c r="F22" s="20">
        <v>1320</v>
      </c>
      <c r="I22" s="190"/>
      <c r="J22" s="190"/>
      <c r="K22" s="190"/>
      <c r="L22" s="14"/>
    </row>
    <row r="23" spans="1:12" x14ac:dyDescent="0.15">
      <c r="A23" s="9" t="s">
        <v>196</v>
      </c>
      <c r="B23" s="9" t="s">
        <v>1858</v>
      </c>
      <c r="C23" s="9" t="s">
        <v>1761</v>
      </c>
      <c r="D23" s="25" t="s">
        <v>925</v>
      </c>
      <c r="E23" s="10">
        <f t="shared" si="0"/>
        <v>1321</v>
      </c>
      <c r="F23" s="20">
        <v>1360</v>
      </c>
      <c r="I23" s="190"/>
      <c r="J23" s="190"/>
      <c r="K23" s="190"/>
      <c r="L23" s="14"/>
    </row>
    <row r="24" spans="1:12" x14ac:dyDescent="0.15">
      <c r="A24" s="9" t="s">
        <v>196</v>
      </c>
      <c r="B24" s="9" t="s">
        <v>1858</v>
      </c>
      <c r="C24" s="9" t="s">
        <v>1761</v>
      </c>
      <c r="D24" s="25" t="s">
        <v>926</v>
      </c>
      <c r="E24" s="10">
        <f t="shared" si="0"/>
        <v>1361</v>
      </c>
      <c r="F24" s="20">
        <v>1380</v>
      </c>
      <c r="I24" s="190"/>
      <c r="J24" s="190"/>
      <c r="K24" s="190"/>
      <c r="L24" s="14"/>
    </row>
    <row r="25" spans="1:12" s="32" customFormat="1" x14ac:dyDescent="0.15">
      <c r="A25" s="32" t="s">
        <v>196</v>
      </c>
      <c r="B25" s="32" t="s">
        <v>1859</v>
      </c>
      <c r="C25" s="32" t="s">
        <v>1761</v>
      </c>
      <c r="D25" s="77" t="s">
        <v>671</v>
      </c>
      <c r="E25" s="11">
        <f t="shared" si="0"/>
        <v>1381</v>
      </c>
      <c r="F25" s="19">
        <v>1420</v>
      </c>
      <c r="G25" s="14">
        <v>3</v>
      </c>
      <c r="H25" s="14">
        <v>0.5</v>
      </c>
      <c r="I25" s="190">
        <v>3</v>
      </c>
      <c r="J25" s="190">
        <v>1.1000000000000001</v>
      </c>
      <c r="K25" s="190">
        <v>0.55000000000000004</v>
      </c>
      <c r="L25" s="14">
        <v>0.85</v>
      </c>
    </row>
    <row r="26" spans="1:12" x14ac:dyDescent="0.15">
      <c r="A26" s="9" t="s">
        <v>196</v>
      </c>
      <c r="B26" s="9" t="s">
        <v>1859</v>
      </c>
      <c r="C26" s="9" t="s">
        <v>1761</v>
      </c>
      <c r="D26" s="25" t="s">
        <v>430</v>
      </c>
      <c r="E26" s="10">
        <f t="shared" si="0"/>
        <v>1421</v>
      </c>
      <c r="F26" s="20">
        <v>1450</v>
      </c>
      <c r="G26" s="24"/>
      <c r="H26" s="24"/>
      <c r="I26" s="195"/>
      <c r="J26" s="190"/>
      <c r="K26" s="190"/>
      <c r="L26" s="14"/>
    </row>
    <row r="27" spans="1:12" x14ac:dyDescent="0.15">
      <c r="A27" s="9" t="s">
        <v>196</v>
      </c>
      <c r="B27" s="9" t="s">
        <v>1859</v>
      </c>
      <c r="C27" s="9" t="s">
        <v>1761</v>
      </c>
      <c r="D27" s="25" t="s">
        <v>431</v>
      </c>
      <c r="E27" s="10">
        <f t="shared" si="0"/>
        <v>1451</v>
      </c>
      <c r="F27" s="20">
        <v>1480</v>
      </c>
      <c r="I27" s="190"/>
      <c r="J27" s="190"/>
      <c r="K27" s="190"/>
      <c r="L27" s="14"/>
    </row>
    <row r="28" spans="1:12" x14ac:dyDescent="0.15">
      <c r="A28" s="9" t="s">
        <v>196</v>
      </c>
      <c r="B28" s="9" t="s">
        <v>1859</v>
      </c>
      <c r="C28" s="9" t="s">
        <v>1761</v>
      </c>
      <c r="D28" s="25" t="s">
        <v>432</v>
      </c>
      <c r="E28" s="10">
        <f t="shared" si="0"/>
        <v>1481</v>
      </c>
      <c r="F28" s="20">
        <v>1510</v>
      </c>
      <c r="I28" s="190"/>
      <c r="J28" s="190"/>
      <c r="K28" s="190"/>
      <c r="L28" s="14"/>
    </row>
    <row r="29" spans="1:12" x14ac:dyDescent="0.15">
      <c r="A29" s="9" t="s">
        <v>196</v>
      </c>
      <c r="B29" s="9" t="s">
        <v>1859</v>
      </c>
      <c r="C29" s="9" t="s">
        <v>1761</v>
      </c>
      <c r="D29" s="25" t="s">
        <v>433</v>
      </c>
      <c r="E29" s="10">
        <f t="shared" si="0"/>
        <v>1511</v>
      </c>
      <c r="F29" s="20">
        <v>1530</v>
      </c>
      <c r="I29" s="190"/>
      <c r="J29" s="190"/>
      <c r="K29" s="190"/>
      <c r="L29" s="14"/>
    </row>
    <row r="30" spans="1:12" x14ac:dyDescent="0.15">
      <c r="A30" s="9" t="s">
        <v>196</v>
      </c>
      <c r="B30" s="9" t="s">
        <v>1859</v>
      </c>
      <c r="C30" s="9" t="s">
        <v>1761</v>
      </c>
      <c r="D30" s="25" t="s">
        <v>434</v>
      </c>
      <c r="E30" s="10">
        <f t="shared" si="0"/>
        <v>1531</v>
      </c>
      <c r="F30" s="20">
        <v>1550</v>
      </c>
      <c r="I30" s="190"/>
      <c r="J30" s="190"/>
      <c r="K30" s="190"/>
      <c r="L30" s="14"/>
    </row>
    <row r="31" spans="1:12" x14ac:dyDescent="0.15">
      <c r="A31" s="9" t="s">
        <v>196</v>
      </c>
      <c r="B31" s="9" t="s">
        <v>1859</v>
      </c>
      <c r="C31" s="9" t="s">
        <v>1761</v>
      </c>
      <c r="D31" s="25" t="s">
        <v>927</v>
      </c>
      <c r="E31" s="10">
        <f t="shared" si="0"/>
        <v>1551</v>
      </c>
      <c r="F31" s="20">
        <v>1580</v>
      </c>
      <c r="I31" s="190"/>
      <c r="J31" s="190"/>
      <c r="K31" s="190"/>
      <c r="L31" s="14"/>
    </row>
    <row r="32" spans="1:12" x14ac:dyDescent="0.15">
      <c r="A32" s="9" t="s">
        <v>196</v>
      </c>
      <c r="B32" s="9" t="s">
        <v>1859</v>
      </c>
      <c r="C32" s="9" t="s">
        <v>1761</v>
      </c>
      <c r="D32" s="25" t="s">
        <v>521</v>
      </c>
      <c r="E32" s="10">
        <f t="shared" si="0"/>
        <v>1581</v>
      </c>
      <c r="F32" s="20">
        <v>1600</v>
      </c>
      <c r="I32" s="190"/>
      <c r="J32" s="190"/>
      <c r="K32" s="190"/>
      <c r="L32" s="14"/>
    </row>
    <row r="33" spans="1:12" s="32" customFormat="1" x14ac:dyDescent="0.15">
      <c r="A33" s="32" t="s">
        <v>196</v>
      </c>
      <c r="B33" s="32" t="s">
        <v>1886</v>
      </c>
      <c r="C33" s="32" t="s">
        <v>1761</v>
      </c>
      <c r="D33" s="193" t="s">
        <v>928</v>
      </c>
      <c r="E33" s="11">
        <f t="shared" si="0"/>
        <v>1601</v>
      </c>
      <c r="F33" s="19">
        <v>1640</v>
      </c>
      <c r="G33" s="14">
        <v>2.5</v>
      </c>
      <c r="H33" s="14">
        <v>0.4</v>
      </c>
      <c r="I33" s="190">
        <v>2</v>
      </c>
      <c r="J33" s="190">
        <v>0.9</v>
      </c>
      <c r="K33" s="190">
        <v>0.55000000000000004</v>
      </c>
      <c r="L33" s="14">
        <v>0.65</v>
      </c>
    </row>
    <row r="34" spans="1:12" x14ac:dyDescent="0.15">
      <c r="A34" s="9" t="s">
        <v>196</v>
      </c>
      <c r="B34" s="9" t="s">
        <v>1886</v>
      </c>
      <c r="C34" s="9" t="s">
        <v>1761</v>
      </c>
      <c r="D34" s="25" t="s">
        <v>929</v>
      </c>
      <c r="E34" s="10">
        <f t="shared" si="0"/>
        <v>1641</v>
      </c>
      <c r="F34" s="20">
        <v>1680</v>
      </c>
      <c r="G34" s="24"/>
      <c r="H34" s="24"/>
      <c r="I34" s="195"/>
      <c r="J34" s="190"/>
      <c r="K34" s="190"/>
      <c r="L34" s="14"/>
    </row>
    <row r="35" spans="1:12" x14ac:dyDescent="0.15">
      <c r="A35" s="9" t="s">
        <v>196</v>
      </c>
      <c r="B35" s="9" t="s">
        <v>1886</v>
      </c>
      <c r="C35" s="9" t="s">
        <v>1761</v>
      </c>
      <c r="D35" s="25" t="s">
        <v>930</v>
      </c>
      <c r="E35" s="10">
        <f t="shared" si="0"/>
        <v>1681</v>
      </c>
      <c r="F35" s="20">
        <v>1710</v>
      </c>
      <c r="I35" s="190"/>
      <c r="J35" s="190"/>
      <c r="K35" s="190"/>
      <c r="L35" s="14"/>
    </row>
    <row r="36" spans="1:12" x14ac:dyDescent="0.15">
      <c r="A36" s="9" t="s">
        <v>196</v>
      </c>
      <c r="B36" s="9" t="s">
        <v>1886</v>
      </c>
      <c r="C36" s="9" t="s">
        <v>1761</v>
      </c>
      <c r="D36" s="25" t="s">
        <v>931</v>
      </c>
      <c r="E36" s="10">
        <f t="shared" si="0"/>
        <v>1711</v>
      </c>
      <c r="F36" s="20">
        <v>1730</v>
      </c>
      <c r="I36" s="190"/>
      <c r="J36" s="190"/>
      <c r="K36" s="190"/>
      <c r="L36" s="14"/>
    </row>
    <row r="37" spans="1:12" x14ac:dyDescent="0.15">
      <c r="A37" s="9" t="s">
        <v>196</v>
      </c>
      <c r="B37" s="9" t="s">
        <v>1886</v>
      </c>
      <c r="C37" s="9" t="s">
        <v>1761</v>
      </c>
      <c r="D37" s="25" t="s">
        <v>932</v>
      </c>
      <c r="E37" s="10">
        <f t="shared" si="0"/>
        <v>1731</v>
      </c>
      <c r="F37" s="20">
        <v>1750</v>
      </c>
      <c r="I37" s="190"/>
      <c r="J37" s="190"/>
      <c r="K37" s="190"/>
      <c r="L37" s="14"/>
    </row>
    <row r="38" spans="1:12" x14ac:dyDescent="0.15">
      <c r="A38" s="9" t="s">
        <v>196</v>
      </c>
      <c r="B38" s="9" t="s">
        <v>1886</v>
      </c>
      <c r="C38" s="9" t="s">
        <v>1761</v>
      </c>
      <c r="D38" s="25" t="s">
        <v>933</v>
      </c>
      <c r="E38" s="10">
        <f t="shared" si="0"/>
        <v>1751</v>
      </c>
      <c r="F38" s="20">
        <v>1760</v>
      </c>
      <c r="I38" s="190"/>
      <c r="J38" s="190"/>
      <c r="K38" s="190"/>
      <c r="L38" s="14"/>
    </row>
    <row r="39" spans="1:12" x14ac:dyDescent="0.15">
      <c r="A39" s="9" t="s">
        <v>196</v>
      </c>
      <c r="B39" s="9" t="s">
        <v>1886</v>
      </c>
      <c r="C39" s="9" t="s">
        <v>1761</v>
      </c>
      <c r="D39" s="25" t="s">
        <v>934</v>
      </c>
      <c r="E39" s="10">
        <f t="shared" si="0"/>
        <v>1761</v>
      </c>
      <c r="F39" s="20">
        <v>1770</v>
      </c>
      <c r="I39" s="190"/>
      <c r="J39" s="190"/>
      <c r="K39" s="190"/>
      <c r="L39" s="14"/>
    </row>
    <row r="40" spans="1:12" x14ac:dyDescent="0.15">
      <c r="A40" s="9" t="s">
        <v>196</v>
      </c>
      <c r="B40" s="9" t="s">
        <v>1886</v>
      </c>
      <c r="C40" s="9" t="s">
        <v>1761</v>
      </c>
      <c r="D40" s="25" t="s">
        <v>935</v>
      </c>
      <c r="E40" s="10">
        <f t="shared" si="0"/>
        <v>1771</v>
      </c>
      <c r="F40" s="20">
        <v>1775</v>
      </c>
      <c r="I40" s="190"/>
      <c r="J40" s="190"/>
      <c r="K40" s="190"/>
      <c r="L40" s="14"/>
    </row>
    <row r="41" spans="1:12" x14ac:dyDescent="0.15">
      <c r="A41" s="9" t="s">
        <v>196</v>
      </c>
      <c r="B41" s="9" t="s">
        <v>1886</v>
      </c>
      <c r="C41" s="9" t="s">
        <v>1761</v>
      </c>
      <c r="D41" s="25" t="s">
        <v>936</v>
      </c>
      <c r="E41" s="10">
        <f t="shared" si="0"/>
        <v>1776</v>
      </c>
      <c r="F41" s="20">
        <v>1785</v>
      </c>
      <c r="I41" s="190"/>
      <c r="J41" s="190"/>
      <c r="K41" s="190"/>
      <c r="L41" s="14"/>
    </row>
    <row r="42" spans="1:12" s="32" customFormat="1" x14ac:dyDescent="0.15">
      <c r="A42" s="32" t="s">
        <v>196</v>
      </c>
      <c r="B42" s="32" t="s">
        <v>1860</v>
      </c>
      <c r="C42" s="32" t="s">
        <v>1762</v>
      </c>
      <c r="D42" s="77" t="s">
        <v>937</v>
      </c>
      <c r="E42" s="11">
        <f t="shared" si="0"/>
        <v>1786</v>
      </c>
      <c r="F42" s="19">
        <v>1810</v>
      </c>
      <c r="G42" s="14">
        <v>1</v>
      </c>
      <c r="H42" s="14">
        <v>0.15</v>
      </c>
      <c r="I42" s="190">
        <v>1</v>
      </c>
      <c r="J42" s="190">
        <v>0.6</v>
      </c>
      <c r="K42" s="190">
        <v>0.52</v>
      </c>
      <c r="L42" s="14">
        <v>0.4</v>
      </c>
    </row>
    <row r="43" spans="1:12" x14ac:dyDescent="0.15">
      <c r="A43" s="9" t="s">
        <v>196</v>
      </c>
      <c r="B43" s="9" t="s">
        <v>1860</v>
      </c>
      <c r="C43" s="9" t="s">
        <v>1762</v>
      </c>
      <c r="D43" s="25" t="s">
        <v>938</v>
      </c>
      <c r="E43" s="10">
        <f t="shared" si="0"/>
        <v>1811</v>
      </c>
      <c r="F43" s="20">
        <v>1840</v>
      </c>
      <c r="G43" s="24"/>
      <c r="H43" s="24"/>
      <c r="I43" s="195"/>
      <c r="J43" s="190"/>
      <c r="K43" s="190"/>
      <c r="L43" s="14"/>
    </row>
    <row r="44" spans="1:12" x14ac:dyDescent="0.15">
      <c r="A44" s="9" t="s">
        <v>196</v>
      </c>
      <c r="B44" s="9" t="s">
        <v>1860</v>
      </c>
      <c r="C44" s="9" t="s">
        <v>1762</v>
      </c>
      <c r="D44" s="25" t="s">
        <v>939</v>
      </c>
      <c r="E44" s="10">
        <f t="shared" si="0"/>
        <v>1841</v>
      </c>
      <c r="F44" s="20">
        <v>1860</v>
      </c>
      <c r="I44" s="190"/>
      <c r="J44" s="190"/>
      <c r="K44" s="190"/>
      <c r="L44" s="14"/>
    </row>
    <row r="45" spans="1:12" s="32" customFormat="1" x14ac:dyDescent="0.15">
      <c r="A45" s="32" t="s">
        <v>196</v>
      </c>
      <c r="B45" s="32" t="s">
        <v>1855</v>
      </c>
      <c r="C45" s="32" t="s">
        <v>1855</v>
      </c>
      <c r="D45" s="77" t="s">
        <v>690</v>
      </c>
      <c r="E45" s="11">
        <f t="shared" si="0"/>
        <v>1861</v>
      </c>
      <c r="F45" s="19">
        <v>1900</v>
      </c>
      <c r="G45" s="14">
        <v>0.2</v>
      </c>
      <c r="H45" s="14">
        <v>0.05</v>
      </c>
      <c r="I45" s="190">
        <v>0.2</v>
      </c>
      <c r="J45" s="190">
        <v>0.3</v>
      </c>
      <c r="K45" s="190">
        <v>0.5</v>
      </c>
      <c r="L45" s="14">
        <v>0.2</v>
      </c>
    </row>
    <row r="46" spans="1:12" x14ac:dyDescent="0.15">
      <c r="A46" s="9" t="s">
        <v>196</v>
      </c>
      <c r="B46" s="9" t="s">
        <v>1855</v>
      </c>
      <c r="C46" s="9" t="s">
        <v>1855</v>
      </c>
      <c r="D46" s="25" t="s">
        <v>727</v>
      </c>
      <c r="E46" s="10">
        <f t="shared" si="0"/>
        <v>1901</v>
      </c>
      <c r="F46" s="20">
        <v>1950</v>
      </c>
      <c r="I46" s="190"/>
      <c r="J46" s="190"/>
      <c r="K46" s="190"/>
      <c r="L46" s="14"/>
    </row>
    <row r="47" spans="1:12" x14ac:dyDescent="0.15">
      <c r="A47" s="9" t="s">
        <v>196</v>
      </c>
      <c r="B47" s="9" t="s">
        <v>1855</v>
      </c>
      <c r="C47" s="9" t="s">
        <v>1855</v>
      </c>
      <c r="D47" s="25" t="s">
        <v>743</v>
      </c>
      <c r="E47" s="10">
        <f t="shared" si="0"/>
        <v>1951</v>
      </c>
      <c r="F47" s="20">
        <v>1980</v>
      </c>
      <c r="I47" s="190"/>
      <c r="J47" s="190"/>
      <c r="K47" s="190"/>
      <c r="L47" s="14"/>
    </row>
    <row r="48" spans="1:12" x14ac:dyDescent="0.15">
      <c r="A48" s="9" t="s">
        <v>196</v>
      </c>
      <c r="B48" s="9" t="s">
        <v>1855</v>
      </c>
      <c r="C48" s="9" t="s">
        <v>1855</v>
      </c>
      <c r="D48" s="25" t="s">
        <v>504</v>
      </c>
      <c r="E48" s="10">
        <f t="shared" si="0"/>
        <v>1981</v>
      </c>
      <c r="F48" s="20">
        <v>2050</v>
      </c>
      <c r="I48" s="190"/>
      <c r="J48" s="190"/>
      <c r="K48" s="190"/>
      <c r="L48" s="14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1DCC-4593-4D86-A831-771B1CAEF0DC}">
  <sheetPr>
    <tabColor rgb="FFFFFF00"/>
  </sheetPr>
  <dimension ref="A1:L48"/>
  <sheetViews>
    <sheetView workbookViewId="0">
      <selection activeCell="H49" sqref="H49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70.2851562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32" t="s">
        <v>205</v>
      </c>
      <c r="B2" s="32" t="s">
        <v>1759</v>
      </c>
      <c r="C2" s="32" t="s">
        <v>1759</v>
      </c>
      <c r="D2" s="212" t="s">
        <v>373</v>
      </c>
      <c r="E2" s="11">
        <v>0</v>
      </c>
      <c r="F2" s="19">
        <v>10</v>
      </c>
      <c r="G2" s="14">
        <v>0.05</v>
      </c>
      <c r="H2" s="14">
        <v>0.01</v>
      </c>
      <c r="I2" s="190">
        <v>0.05</v>
      </c>
      <c r="J2" s="190">
        <v>0.28000000000000003</v>
      </c>
      <c r="K2" s="190">
        <v>0.35</v>
      </c>
      <c r="L2" s="14">
        <v>0.8</v>
      </c>
    </row>
    <row r="3" spans="1:12" x14ac:dyDescent="0.15">
      <c r="A3" s="9" t="s">
        <v>205</v>
      </c>
      <c r="B3" s="9" t="s">
        <v>1759</v>
      </c>
      <c r="C3" s="9" t="s">
        <v>1759</v>
      </c>
      <c r="D3" s="213" t="s">
        <v>374</v>
      </c>
      <c r="E3" s="10">
        <f>F2+1</f>
        <v>11</v>
      </c>
      <c r="F3" s="20">
        <v>25</v>
      </c>
      <c r="G3" s="24"/>
      <c r="H3" s="24"/>
      <c r="I3" s="195"/>
      <c r="J3" s="228"/>
      <c r="K3" s="228"/>
      <c r="L3" s="14"/>
    </row>
    <row r="4" spans="1:12" x14ac:dyDescent="0.15">
      <c r="A4" s="9" t="s">
        <v>205</v>
      </c>
      <c r="B4" s="9" t="s">
        <v>1759</v>
      </c>
      <c r="C4" s="9" t="s">
        <v>1759</v>
      </c>
      <c r="D4" s="213" t="s">
        <v>375</v>
      </c>
      <c r="E4" s="10">
        <f t="shared" ref="E4:E48" si="0">F3+1</f>
        <v>26</v>
      </c>
      <c r="F4" s="20">
        <v>50</v>
      </c>
      <c r="I4" s="228"/>
      <c r="J4" s="228"/>
      <c r="K4" s="228"/>
      <c r="L4" s="14"/>
    </row>
    <row r="5" spans="1:12" x14ac:dyDescent="0.15">
      <c r="A5" s="9" t="s">
        <v>205</v>
      </c>
      <c r="B5" s="9" t="s">
        <v>1759</v>
      </c>
      <c r="C5" s="9" t="s">
        <v>1759</v>
      </c>
      <c r="D5" s="213" t="s">
        <v>414</v>
      </c>
      <c r="E5" s="10">
        <f t="shared" si="0"/>
        <v>51</v>
      </c>
      <c r="F5" s="20">
        <v>70</v>
      </c>
      <c r="I5" s="228"/>
      <c r="J5" s="228"/>
      <c r="K5" s="228"/>
      <c r="L5" s="14"/>
    </row>
    <row r="6" spans="1:12" x14ac:dyDescent="0.15">
      <c r="A6" s="9" t="s">
        <v>205</v>
      </c>
      <c r="B6" s="9" t="s">
        <v>1759</v>
      </c>
      <c r="C6" s="9" t="s">
        <v>1759</v>
      </c>
      <c r="D6" s="213" t="s">
        <v>415</v>
      </c>
      <c r="E6" s="10">
        <f t="shared" si="0"/>
        <v>71</v>
      </c>
      <c r="F6" s="20">
        <v>85</v>
      </c>
      <c r="I6" s="228"/>
      <c r="J6" s="228"/>
      <c r="K6" s="228"/>
      <c r="L6" s="14"/>
    </row>
    <row r="7" spans="1:12" x14ac:dyDescent="0.15">
      <c r="A7" s="9" t="s">
        <v>205</v>
      </c>
      <c r="B7" s="9" t="s">
        <v>1759</v>
      </c>
      <c r="C7" s="9" t="s">
        <v>1759</v>
      </c>
      <c r="D7" s="213" t="s">
        <v>416</v>
      </c>
      <c r="E7" s="10">
        <f t="shared" si="0"/>
        <v>86</v>
      </c>
      <c r="F7" s="20">
        <v>95</v>
      </c>
      <c r="I7" s="228"/>
      <c r="J7" s="228"/>
      <c r="K7" s="228"/>
      <c r="L7" s="14"/>
    </row>
    <row r="8" spans="1:12" x14ac:dyDescent="0.15">
      <c r="A8" s="9" t="s">
        <v>205</v>
      </c>
      <c r="B8" s="9" t="s">
        <v>1759</v>
      </c>
      <c r="C8" s="9" t="s">
        <v>1759</v>
      </c>
      <c r="D8" s="213" t="s">
        <v>417</v>
      </c>
      <c r="E8" s="10">
        <f t="shared" si="0"/>
        <v>96</v>
      </c>
      <c r="F8" s="20">
        <v>110</v>
      </c>
      <c r="I8" s="228"/>
      <c r="J8" s="228"/>
      <c r="K8" s="228"/>
      <c r="L8" s="14"/>
    </row>
    <row r="9" spans="1:12" s="32" customFormat="1" x14ac:dyDescent="0.15">
      <c r="A9" s="32" t="s">
        <v>205</v>
      </c>
      <c r="B9" s="32" t="s">
        <v>1861</v>
      </c>
      <c r="C9" s="32" t="s">
        <v>1760</v>
      </c>
      <c r="D9" s="212" t="s">
        <v>507</v>
      </c>
      <c r="E9" s="11">
        <f t="shared" si="0"/>
        <v>111</v>
      </c>
      <c r="F9" s="19">
        <v>160</v>
      </c>
      <c r="G9" s="14">
        <v>0.3</v>
      </c>
      <c r="H9" s="14">
        <v>0.04</v>
      </c>
      <c r="I9" s="190">
        <v>0.35</v>
      </c>
      <c r="J9" s="190">
        <v>0.5</v>
      </c>
      <c r="K9" s="190">
        <v>0.45</v>
      </c>
      <c r="L9" s="14">
        <v>0.6</v>
      </c>
    </row>
    <row r="10" spans="1:12" x14ac:dyDescent="0.15">
      <c r="A10" s="9" t="s">
        <v>205</v>
      </c>
      <c r="B10" s="9" t="s">
        <v>1861</v>
      </c>
      <c r="C10" s="9" t="s">
        <v>1760</v>
      </c>
      <c r="D10" s="213" t="s">
        <v>508</v>
      </c>
      <c r="E10" s="10">
        <f t="shared" si="0"/>
        <v>161</v>
      </c>
      <c r="F10" s="20">
        <v>200</v>
      </c>
      <c r="G10" s="24"/>
      <c r="H10" s="24"/>
      <c r="I10" s="195"/>
      <c r="J10" s="228"/>
      <c r="K10" s="228"/>
      <c r="L10" s="14"/>
    </row>
    <row r="11" spans="1:12" x14ac:dyDescent="0.15">
      <c r="A11" s="9" t="s">
        <v>205</v>
      </c>
      <c r="B11" s="9" t="s">
        <v>1861</v>
      </c>
      <c r="C11" s="9" t="s">
        <v>1760</v>
      </c>
      <c r="D11" s="213" t="s">
        <v>509</v>
      </c>
      <c r="E11" s="10">
        <f t="shared" si="0"/>
        <v>201</v>
      </c>
      <c r="F11" s="20">
        <v>240</v>
      </c>
      <c r="I11" s="228"/>
      <c r="J11" s="228"/>
      <c r="K11" s="228"/>
      <c r="L11" s="14"/>
    </row>
    <row r="12" spans="1:12" x14ac:dyDescent="0.15">
      <c r="A12" s="9" t="s">
        <v>205</v>
      </c>
      <c r="B12" s="9" t="s">
        <v>1861</v>
      </c>
      <c r="C12" s="9" t="s">
        <v>1760</v>
      </c>
      <c r="D12" s="215" t="s">
        <v>510</v>
      </c>
      <c r="E12" s="10">
        <f t="shared" si="0"/>
        <v>241</v>
      </c>
      <c r="F12" s="20">
        <v>280</v>
      </c>
      <c r="I12" s="228"/>
      <c r="J12" s="228"/>
      <c r="K12" s="228"/>
      <c r="L12" s="14"/>
    </row>
    <row r="13" spans="1:12" x14ac:dyDescent="0.15">
      <c r="A13" s="9" t="s">
        <v>205</v>
      </c>
      <c r="B13" s="9" t="s">
        <v>1861</v>
      </c>
      <c r="C13" s="9" t="s">
        <v>1760</v>
      </c>
      <c r="D13" s="213" t="s">
        <v>511</v>
      </c>
      <c r="E13" s="10">
        <f t="shared" si="0"/>
        <v>281</v>
      </c>
      <c r="F13" s="20">
        <v>380</v>
      </c>
      <c r="I13" s="228"/>
      <c r="J13" s="228"/>
      <c r="K13" s="228"/>
      <c r="L13" s="14"/>
    </row>
    <row r="14" spans="1:12" s="32" customFormat="1" x14ac:dyDescent="0.15">
      <c r="A14" s="32" t="s">
        <v>205</v>
      </c>
      <c r="B14" s="32" t="s">
        <v>1895</v>
      </c>
      <c r="C14" s="32" t="s">
        <v>1760</v>
      </c>
      <c r="D14" s="212" t="s">
        <v>512</v>
      </c>
      <c r="E14" s="11">
        <f t="shared" si="0"/>
        <v>381</v>
      </c>
      <c r="F14" s="19">
        <v>420</v>
      </c>
      <c r="G14" s="14">
        <v>0.85</v>
      </c>
      <c r="H14" s="14">
        <v>0.12</v>
      </c>
      <c r="I14" s="190">
        <v>0.95</v>
      </c>
      <c r="J14" s="190">
        <v>0.75</v>
      </c>
      <c r="K14" s="190">
        <v>0.45</v>
      </c>
      <c r="L14" s="14">
        <v>0.65</v>
      </c>
    </row>
    <row r="15" spans="1:12" x14ac:dyDescent="0.15">
      <c r="A15" s="9" t="s">
        <v>205</v>
      </c>
      <c r="B15" s="9" t="s">
        <v>1895</v>
      </c>
      <c r="C15" s="9" t="s">
        <v>1760</v>
      </c>
      <c r="D15" s="213" t="s">
        <v>513</v>
      </c>
      <c r="E15" s="10">
        <f t="shared" si="0"/>
        <v>421</v>
      </c>
      <c r="F15" s="20">
        <v>470</v>
      </c>
      <c r="G15" s="24"/>
      <c r="H15" s="24"/>
      <c r="I15" s="195"/>
      <c r="J15" s="228"/>
      <c r="K15" s="228"/>
      <c r="L15" s="14"/>
    </row>
    <row r="16" spans="1:12" x14ac:dyDescent="0.15">
      <c r="A16" s="9" t="s">
        <v>205</v>
      </c>
      <c r="B16" s="9" t="s">
        <v>1895</v>
      </c>
      <c r="C16" s="9" t="s">
        <v>1760</v>
      </c>
      <c r="D16" s="213" t="s">
        <v>514</v>
      </c>
      <c r="E16" s="10">
        <f t="shared" si="0"/>
        <v>471</v>
      </c>
      <c r="F16" s="20">
        <v>520</v>
      </c>
      <c r="I16" s="228"/>
      <c r="J16" s="228"/>
      <c r="K16" s="228"/>
      <c r="L16" s="14"/>
    </row>
    <row r="17" spans="1:12" x14ac:dyDescent="0.15">
      <c r="A17" s="9" t="s">
        <v>205</v>
      </c>
      <c r="B17" s="9" t="s">
        <v>1895</v>
      </c>
      <c r="C17" s="9" t="s">
        <v>1760</v>
      </c>
      <c r="D17" s="213" t="s">
        <v>515</v>
      </c>
      <c r="E17" s="10">
        <f t="shared" si="0"/>
        <v>521</v>
      </c>
      <c r="F17" s="20">
        <v>570</v>
      </c>
      <c r="I17" s="228"/>
      <c r="J17" s="228"/>
      <c r="K17" s="228"/>
      <c r="L17" s="14"/>
    </row>
    <row r="18" spans="1:12" x14ac:dyDescent="0.15">
      <c r="A18" s="9" t="s">
        <v>205</v>
      </c>
      <c r="B18" s="9" t="s">
        <v>1895</v>
      </c>
      <c r="C18" s="9" t="s">
        <v>1760</v>
      </c>
      <c r="D18" s="213" t="s">
        <v>516</v>
      </c>
      <c r="E18" s="10">
        <f t="shared" si="0"/>
        <v>571</v>
      </c>
      <c r="F18" s="20">
        <v>640</v>
      </c>
      <c r="I18" s="228"/>
      <c r="J18" s="228"/>
      <c r="K18" s="228"/>
      <c r="L18" s="14"/>
    </row>
    <row r="19" spans="1:12" s="32" customFormat="1" x14ac:dyDescent="0.15">
      <c r="A19" s="32" t="s">
        <v>205</v>
      </c>
      <c r="B19" s="32" t="s">
        <v>1858</v>
      </c>
      <c r="C19" s="32" t="s">
        <v>1761</v>
      </c>
      <c r="D19" s="212" t="s">
        <v>517</v>
      </c>
      <c r="E19" s="11">
        <f t="shared" si="0"/>
        <v>641</v>
      </c>
      <c r="F19" s="19">
        <v>700</v>
      </c>
      <c r="G19" s="14">
        <v>1.1000000000000001</v>
      </c>
      <c r="H19" s="14">
        <v>0.18</v>
      </c>
      <c r="I19" s="190">
        <v>1.1499999999999999</v>
      </c>
      <c r="J19" s="190">
        <v>0.95</v>
      </c>
      <c r="K19" s="190">
        <v>0.45</v>
      </c>
      <c r="L19" s="14">
        <v>0.75</v>
      </c>
    </row>
    <row r="20" spans="1:12" x14ac:dyDescent="0.15">
      <c r="A20" s="9" t="s">
        <v>205</v>
      </c>
      <c r="B20" s="9" t="s">
        <v>1858</v>
      </c>
      <c r="C20" s="9" t="s">
        <v>1761</v>
      </c>
      <c r="D20" s="213" t="s">
        <v>518</v>
      </c>
      <c r="E20" s="10">
        <f t="shared" si="0"/>
        <v>701</v>
      </c>
      <c r="F20" s="20">
        <v>760</v>
      </c>
      <c r="G20" s="24"/>
      <c r="H20" s="24"/>
      <c r="I20" s="195"/>
      <c r="J20" s="228"/>
      <c r="K20" s="228"/>
      <c r="L20" s="14"/>
    </row>
    <row r="21" spans="1:12" x14ac:dyDescent="0.15">
      <c r="A21" s="9" t="s">
        <v>205</v>
      </c>
      <c r="B21" s="9" t="s">
        <v>1858</v>
      </c>
      <c r="C21" s="9" t="s">
        <v>1761</v>
      </c>
      <c r="D21" s="213" t="s">
        <v>427</v>
      </c>
      <c r="E21" s="10">
        <f t="shared" si="0"/>
        <v>761</v>
      </c>
      <c r="F21" s="20">
        <v>800</v>
      </c>
      <c r="I21" s="228"/>
      <c r="J21" s="228"/>
      <c r="K21" s="228"/>
      <c r="L21" s="14"/>
    </row>
    <row r="22" spans="1:12" s="32" customFormat="1" x14ac:dyDescent="0.15">
      <c r="A22" s="32" t="s">
        <v>205</v>
      </c>
      <c r="B22" s="32" t="s">
        <v>1859</v>
      </c>
      <c r="C22" s="32" t="s">
        <v>1761</v>
      </c>
      <c r="D22" s="212" t="s">
        <v>519</v>
      </c>
      <c r="E22" s="11">
        <f t="shared" si="0"/>
        <v>801</v>
      </c>
      <c r="F22" s="19">
        <v>820</v>
      </c>
      <c r="G22" s="14">
        <v>1.25</v>
      </c>
      <c r="H22" s="14">
        <v>0.22</v>
      </c>
      <c r="I22" s="190">
        <v>1.1000000000000001</v>
      </c>
      <c r="J22" s="190">
        <v>1.05</v>
      </c>
      <c r="K22" s="190">
        <v>0.45</v>
      </c>
      <c r="L22" s="14">
        <v>0.85</v>
      </c>
    </row>
    <row r="23" spans="1:12" x14ac:dyDescent="0.15">
      <c r="A23" s="9" t="s">
        <v>205</v>
      </c>
      <c r="B23" s="9" t="s">
        <v>1859</v>
      </c>
      <c r="C23" s="9" t="s">
        <v>1761</v>
      </c>
      <c r="D23" s="213" t="s">
        <v>430</v>
      </c>
      <c r="E23" s="10">
        <f t="shared" si="0"/>
        <v>821</v>
      </c>
      <c r="F23" s="20">
        <v>860</v>
      </c>
      <c r="G23" s="24"/>
      <c r="H23" s="24"/>
      <c r="I23" s="195"/>
      <c r="J23" s="228"/>
      <c r="K23" s="228"/>
      <c r="L23" s="14"/>
    </row>
    <row r="24" spans="1:12" x14ac:dyDescent="0.15">
      <c r="A24" s="9" t="s">
        <v>205</v>
      </c>
      <c r="B24" s="9" t="s">
        <v>1859</v>
      </c>
      <c r="C24" s="9" t="s">
        <v>1761</v>
      </c>
      <c r="D24" s="213" t="s">
        <v>431</v>
      </c>
      <c r="E24" s="10">
        <f t="shared" si="0"/>
        <v>861</v>
      </c>
      <c r="F24" s="20">
        <v>900</v>
      </c>
      <c r="I24" s="228"/>
      <c r="J24" s="228"/>
      <c r="K24" s="228"/>
      <c r="L24" s="14"/>
    </row>
    <row r="25" spans="1:12" x14ac:dyDescent="0.15">
      <c r="A25" s="9" t="s">
        <v>205</v>
      </c>
      <c r="B25" s="9" t="s">
        <v>1859</v>
      </c>
      <c r="C25" s="9" t="s">
        <v>1761</v>
      </c>
      <c r="D25" s="213" t="s">
        <v>432</v>
      </c>
      <c r="E25" s="10">
        <f t="shared" si="0"/>
        <v>901</v>
      </c>
      <c r="F25" s="20">
        <v>940</v>
      </c>
      <c r="I25" s="228"/>
      <c r="J25" s="228"/>
      <c r="K25" s="228"/>
      <c r="L25" s="14"/>
    </row>
    <row r="26" spans="1:12" x14ac:dyDescent="0.15">
      <c r="A26" s="9" t="s">
        <v>205</v>
      </c>
      <c r="B26" s="9" t="s">
        <v>1859</v>
      </c>
      <c r="C26" s="9" t="s">
        <v>1761</v>
      </c>
      <c r="D26" s="213" t="s">
        <v>433</v>
      </c>
      <c r="E26" s="10">
        <f t="shared" si="0"/>
        <v>941</v>
      </c>
      <c r="F26" s="20">
        <v>980</v>
      </c>
      <c r="I26" s="228"/>
      <c r="J26" s="228"/>
      <c r="K26" s="228"/>
      <c r="L26" s="14"/>
    </row>
    <row r="27" spans="1:12" x14ac:dyDescent="0.15">
      <c r="A27" s="9" t="s">
        <v>205</v>
      </c>
      <c r="B27" s="9" t="s">
        <v>1859</v>
      </c>
      <c r="C27" s="9" t="s">
        <v>1761</v>
      </c>
      <c r="D27" s="213" t="s">
        <v>434</v>
      </c>
      <c r="E27" s="10">
        <f t="shared" si="0"/>
        <v>981</v>
      </c>
      <c r="F27" s="20">
        <v>1020</v>
      </c>
      <c r="I27" s="228"/>
      <c r="J27" s="228"/>
      <c r="K27" s="228"/>
      <c r="L27" s="14"/>
    </row>
    <row r="28" spans="1:12" x14ac:dyDescent="0.15">
      <c r="A28" s="9" t="s">
        <v>205</v>
      </c>
      <c r="B28" s="9" t="s">
        <v>1859</v>
      </c>
      <c r="C28" s="9" t="s">
        <v>1761</v>
      </c>
      <c r="D28" s="213" t="s">
        <v>520</v>
      </c>
      <c r="E28" s="10">
        <f t="shared" si="0"/>
        <v>1021</v>
      </c>
      <c r="F28" s="20">
        <v>1060</v>
      </c>
      <c r="I28" s="228"/>
      <c r="J28" s="228"/>
      <c r="K28" s="228"/>
      <c r="L28" s="14"/>
    </row>
    <row r="29" spans="1:12" x14ac:dyDescent="0.15">
      <c r="A29" s="9" t="s">
        <v>205</v>
      </c>
      <c r="B29" s="9" t="s">
        <v>1859</v>
      </c>
      <c r="C29" s="9" t="s">
        <v>1761</v>
      </c>
      <c r="D29" s="213" t="s">
        <v>521</v>
      </c>
      <c r="E29" s="10">
        <f t="shared" si="0"/>
        <v>1061</v>
      </c>
      <c r="F29" s="20">
        <v>1100</v>
      </c>
      <c r="I29" s="228"/>
      <c r="J29" s="228"/>
      <c r="K29" s="228"/>
      <c r="L29" s="14"/>
    </row>
    <row r="30" spans="1:12" s="32" customFormat="1" x14ac:dyDescent="0.15">
      <c r="A30" s="32" t="s">
        <v>205</v>
      </c>
      <c r="B30" s="32" t="s">
        <v>1854</v>
      </c>
      <c r="C30" s="32" t="s">
        <v>1761</v>
      </c>
      <c r="D30" s="212" t="s">
        <v>437</v>
      </c>
      <c r="E30" s="11">
        <f t="shared" si="0"/>
        <v>1101</v>
      </c>
      <c r="F30" s="19">
        <v>1140</v>
      </c>
      <c r="G30" s="14">
        <v>1</v>
      </c>
      <c r="H30" s="14">
        <v>0.15</v>
      </c>
      <c r="I30" s="190">
        <v>0.9</v>
      </c>
      <c r="J30" s="190">
        <v>0.9</v>
      </c>
      <c r="K30" s="190">
        <v>0.4</v>
      </c>
      <c r="L30" s="14">
        <v>0.6</v>
      </c>
    </row>
    <row r="31" spans="1:12" x14ac:dyDescent="0.15">
      <c r="A31" s="9" t="s">
        <v>205</v>
      </c>
      <c r="B31" s="9" t="s">
        <v>1854</v>
      </c>
      <c r="C31" s="9" t="s">
        <v>1761</v>
      </c>
      <c r="D31" s="213" t="s">
        <v>438</v>
      </c>
      <c r="E31" s="10">
        <f t="shared" si="0"/>
        <v>1141</v>
      </c>
      <c r="F31" s="20">
        <v>1180</v>
      </c>
      <c r="G31" s="24"/>
      <c r="H31" s="24"/>
      <c r="I31" s="195"/>
      <c r="J31" s="228"/>
      <c r="K31" s="228"/>
      <c r="L31" s="14"/>
    </row>
    <row r="32" spans="1:12" x14ac:dyDescent="0.15">
      <c r="A32" s="9" t="s">
        <v>205</v>
      </c>
      <c r="B32" s="9" t="s">
        <v>1854</v>
      </c>
      <c r="C32" s="9" t="s">
        <v>1761</v>
      </c>
      <c r="D32" s="213" t="s">
        <v>439</v>
      </c>
      <c r="E32" s="10">
        <f t="shared" si="0"/>
        <v>1181</v>
      </c>
      <c r="F32" s="20">
        <v>1220</v>
      </c>
      <c r="I32" s="228"/>
      <c r="J32" s="228"/>
      <c r="K32" s="228"/>
      <c r="L32" s="14"/>
    </row>
    <row r="33" spans="1:12" x14ac:dyDescent="0.15">
      <c r="A33" s="9" t="s">
        <v>205</v>
      </c>
      <c r="B33" s="9" t="s">
        <v>1854</v>
      </c>
      <c r="C33" s="9" t="s">
        <v>1761</v>
      </c>
      <c r="D33" s="213" t="s">
        <v>440</v>
      </c>
      <c r="E33" s="10">
        <f t="shared" si="0"/>
        <v>1221</v>
      </c>
      <c r="F33" s="20">
        <v>1260</v>
      </c>
      <c r="I33" s="228"/>
      <c r="J33" s="228"/>
      <c r="K33" s="228"/>
      <c r="L33" s="14"/>
    </row>
    <row r="34" spans="1:12" x14ac:dyDescent="0.15">
      <c r="A34" s="9" t="s">
        <v>205</v>
      </c>
      <c r="B34" s="9" t="s">
        <v>1854</v>
      </c>
      <c r="C34" s="9" t="s">
        <v>1761</v>
      </c>
      <c r="D34" s="213" t="s">
        <v>441</v>
      </c>
      <c r="E34" s="10">
        <f t="shared" si="0"/>
        <v>1261</v>
      </c>
      <c r="F34" s="20">
        <v>1300</v>
      </c>
      <c r="I34" s="228"/>
      <c r="J34" s="228"/>
      <c r="K34" s="228"/>
      <c r="L34" s="14"/>
    </row>
    <row r="35" spans="1:12" x14ac:dyDescent="0.15">
      <c r="A35" s="9" t="s">
        <v>205</v>
      </c>
      <c r="B35" s="9" t="s">
        <v>1854</v>
      </c>
      <c r="C35" s="9" t="s">
        <v>1761</v>
      </c>
      <c r="D35" s="213" t="s">
        <v>442</v>
      </c>
      <c r="E35" s="10">
        <f t="shared" si="0"/>
        <v>1301</v>
      </c>
      <c r="F35" s="20">
        <v>1340</v>
      </c>
      <c r="I35" s="228"/>
      <c r="J35" s="228"/>
      <c r="K35" s="228"/>
      <c r="L35" s="14"/>
    </row>
    <row r="36" spans="1:12" x14ac:dyDescent="0.15">
      <c r="A36" s="9" t="s">
        <v>205</v>
      </c>
      <c r="B36" s="9" t="s">
        <v>1854</v>
      </c>
      <c r="C36" s="9" t="s">
        <v>1761</v>
      </c>
      <c r="D36" s="213" t="s">
        <v>522</v>
      </c>
      <c r="E36" s="10">
        <f t="shared" si="0"/>
        <v>1341</v>
      </c>
      <c r="F36" s="20">
        <v>1380</v>
      </c>
      <c r="I36" s="228"/>
      <c r="J36" s="228"/>
      <c r="K36" s="228"/>
      <c r="L36" s="14"/>
    </row>
    <row r="37" spans="1:12" x14ac:dyDescent="0.15">
      <c r="A37" s="9" t="s">
        <v>205</v>
      </c>
      <c r="B37" s="9" t="s">
        <v>1854</v>
      </c>
      <c r="C37" s="9" t="s">
        <v>1761</v>
      </c>
      <c r="D37" s="215" t="s">
        <v>523</v>
      </c>
      <c r="E37" s="10">
        <f t="shared" si="0"/>
        <v>1381</v>
      </c>
      <c r="F37" s="37">
        <v>1420</v>
      </c>
      <c r="I37" s="228"/>
      <c r="J37" s="228"/>
      <c r="K37" s="228"/>
      <c r="L37" s="14"/>
    </row>
    <row r="38" spans="1:12" s="32" customFormat="1" x14ac:dyDescent="0.15">
      <c r="A38" s="32" t="s">
        <v>205</v>
      </c>
      <c r="B38" s="32" t="s">
        <v>1860</v>
      </c>
      <c r="C38" s="32" t="s">
        <v>1762</v>
      </c>
      <c r="D38" s="212" t="s">
        <v>524</v>
      </c>
      <c r="E38" s="11">
        <f t="shared" si="0"/>
        <v>1421</v>
      </c>
      <c r="F38" s="19">
        <v>1460</v>
      </c>
      <c r="G38" s="14">
        <v>0.3</v>
      </c>
      <c r="H38" s="14">
        <v>0.05</v>
      </c>
      <c r="I38" s="190">
        <v>0.3</v>
      </c>
      <c r="J38" s="190">
        <v>0.6</v>
      </c>
      <c r="K38" s="190">
        <v>0.4</v>
      </c>
      <c r="L38" s="14">
        <v>0.35</v>
      </c>
    </row>
    <row r="39" spans="1:12" x14ac:dyDescent="0.15">
      <c r="A39" s="9" t="s">
        <v>205</v>
      </c>
      <c r="B39" s="9" t="s">
        <v>1860</v>
      </c>
      <c r="C39" s="9" t="s">
        <v>1762</v>
      </c>
      <c r="D39" s="213" t="s">
        <v>525</v>
      </c>
      <c r="E39" s="10">
        <f t="shared" si="0"/>
        <v>1461</v>
      </c>
      <c r="F39" s="20">
        <v>1500</v>
      </c>
      <c r="G39" s="24"/>
      <c r="H39" s="24"/>
      <c r="I39" s="195"/>
      <c r="J39" s="228"/>
      <c r="K39" s="228"/>
      <c r="L39" s="14"/>
    </row>
    <row r="40" spans="1:12" x14ac:dyDescent="0.15">
      <c r="A40" s="9" t="s">
        <v>205</v>
      </c>
      <c r="B40" s="9" t="s">
        <v>1860</v>
      </c>
      <c r="C40" s="9" t="s">
        <v>1762</v>
      </c>
      <c r="D40" s="213" t="s">
        <v>526</v>
      </c>
      <c r="E40" s="10">
        <f t="shared" si="0"/>
        <v>1501</v>
      </c>
      <c r="F40" s="20">
        <v>1540</v>
      </c>
      <c r="I40" s="228"/>
      <c r="J40" s="228"/>
      <c r="K40" s="228"/>
      <c r="L40" s="14"/>
    </row>
    <row r="41" spans="1:12" x14ac:dyDescent="0.15">
      <c r="A41" s="9" t="s">
        <v>205</v>
      </c>
      <c r="B41" s="9" t="s">
        <v>1860</v>
      </c>
      <c r="C41" s="9" t="s">
        <v>1762</v>
      </c>
      <c r="D41" s="213" t="s">
        <v>527</v>
      </c>
      <c r="E41" s="10">
        <f t="shared" si="0"/>
        <v>1541</v>
      </c>
      <c r="F41" s="20">
        <v>1580</v>
      </c>
      <c r="I41" s="228"/>
      <c r="J41" s="228"/>
      <c r="K41" s="228"/>
      <c r="L41" s="14"/>
    </row>
    <row r="42" spans="1:12" x14ac:dyDescent="0.15">
      <c r="A42" s="9" t="s">
        <v>205</v>
      </c>
      <c r="B42" s="9" t="s">
        <v>1860</v>
      </c>
      <c r="C42" s="9" t="s">
        <v>1762</v>
      </c>
      <c r="D42" s="213" t="s">
        <v>528</v>
      </c>
      <c r="E42" s="10">
        <f t="shared" si="0"/>
        <v>1581</v>
      </c>
      <c r="F42" s="20">
        <v>1620</v>
      </c>
      <c r="I42" s="228"/>
      <c r="J42" s="228"/>
      <c r="K42" s="228"/>
      <c r="L42" s="14"/>
    </row>
    <row r="43" spans="1:12" x14ac:dyDescent="0.15">
      <c r="A43" s="9" t="s">
        <v>205</v>
      </c>
      <c r="B43" s="9" t="s">
        <v>1860</v>
      </c>
      <c r="C43" s="9" t="s">
        <v>1762</v>
      </c>
      <c r="D43" s="213" t="s">
        <v>529</v>
      </c>
      <c r="E43" s="10">
        <f t="shared" si="0"/>
        <v>1621</v>
      </c>
      <c r="F43" s="20">
        <v>1660</v>
      </c>
      <c r="I43" s="228"/>
      <c r="J43" s="228"/>
      <c r="K43" s="228"/>
      <c r="L43" s="14"/>
    </row>
    <row r="44" spans="1:12" x14ac:dyDescent="0.15">
      <c r="A44" s="9" t="s">
        <v>205</v>
      </c>
      <c r="B44" s="9" t="s">
        <v>1860</v>
      </c>
      <c r="C44" s="9" t="s">
        <v>1762</v>
      </c>
      <c r="D44" s="213" t="s">
        <v>530</v>
      </c>
      <c r="E44" s="10">
        <f t="shared" si="0"/>
        <v>1661</v>
      </c>
      <c r="F44" s="20">
        <v>1700</v>
      </c>
      <c r="I44" s="228"/>
      <c r="J44" s="228"/>
      <c r="K44" s="228"/>
      <c r="L44" s="14"/>
    </row>
    <row r="45" spans="1:12" x14ac:dyDescent="0.15">
      <c r="A45" s="9" t="s">
        <v>205</v>
      </c>
      <c r="B45" s="9" t="s">
        <v>1860</v>
      </c>
      <c r="C45" s="9" t="s">
        <v>1762</v>
      </c>
      <c r="D45" s="213" t="s">
        <v>531</v>
      </c>
      <c r="E45" s="10">
        <f t="shared" si="0"/>
        <v>1701</v>
      </c>
      <c r="F45" s="20">
        <v>1740</v>
      </c>
      <c r="I45" s="228"/>
      <c r="J45" s="228"/>
      <c r="K45" s="228"/>
      <c r="L45" s="14"/>
    </row>
    <row r="46" spans="1:12" x14ac:dyDescent="0.15">
      <c r="A46" s="9" t="s">
        <v>205</v>
      </c>
      <c r="B46" s="9" t="s">
        <v>1860</v>
      </c>
      <c r="C46" s="9" t="s">
        <v>1762</v>
      </c>
      <c r="D46" s="213" t="s">
        <v>532</v>
      </c>
      <c r="E46" s="10">
        <f t="shared" si="0"/>
        <v>1741</v>
      </c>
      <c r="F46" s="20">
        <v>1780</v>
      </c>
      <c r="I46" s="228"/>
      <c r="J46" s="228"/>
      <c r="K46" s="228"/>
      <c r="L46" s="14"/>
    </row>
    <row r="47" spans="1:12" s="32" customFormat="1" x14ac:dyDescent="0.15">
      <c r="A47" s="32" t="s">
        <v>205</v>
      </c>
      <c r="B47" s="32" t="s">
        <v>1855</v>
      </c>
      <c r="C47" s="32" t="s">
        <v>1855</v>
      </c>
      <c r="D47" s="212" t="s">
        <v>533</v>
      </c>
      <c r="E47" s="11">
        <f t="shared" si="0"/>
        <v>1781</v>
      </c>
      <c r="F47" s="19">
        <v>1900</v>
      </c>
      <c r="G47" s="14">
        <v>0.08</v>
      </c>
      <c r="H47" s="14">
        <v>0.02</v>
      </c>
      <c r="I47" s="190">
        <v>0.08</v>
      </c>
      <c r="J47" s="190">
        <v>0.4</v>
      </c>
      <c r="K47" s="190">
        <v>0.4</v>
      </c>
      <c r="L47" s="14">
        <v>0.15</v>
      </c>
    </row>
    <row r="48" spans="1:12" x14ac:dyDescent="0.15">
      <c r="A48" s="9" t="s">
        <v>205</v>
      </c>
      <c r="B48" s="9" t="s">
        <v>1855</v>
      </c>
      <c r="C48" s="9" t="s">
        <v>1855</v>
      </c>
      <c r="D48" s="213" t="s">
        <v>456</v>
      </c>
      <c r="E48" s="10">
        <f t="shared" si="0"/>
        <v>1901</v>
      </c>
      <c r="F48" s="20">
        <v>2000</v>
      </c>
      <c r="I48" s="228"/>
      <c r="J48" s="228"/>
      <c r="K48" s="228"/>
      <c r="L48" s="14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3A65-88DC-4C66-AB13-3FF82C293D72}">
  <sheetPr>
    <tabColor rgb="FFFFFF00"/>
  </sheetPr>
  <dimension ref="A1:L60"/>
  <sheetViews>
    <sheetView workbookViewId="0">
      <selection activeCell="L54" sqref="L54"/>
    </sheetView>
  </sheetViews>
  <sheetFormatPr defaultRowHeight="10.5" x14ac:dyDescent="0.15"/>
  <cols>
    <col min="1" max="1" width="10.28515625" style="9" bestFit="1" customWidth="1"/>
    <col min="2" max="2" width="29.7109375" style="9" bestFit="1" customWidth="1"/>
    <col min="3" max="3" width="11.85546875" style="9" bestFit="1" customWidth="1"/>
    <col min="4" max="4" width="90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36" t="s">
        <v>1753</v>
      </c>
      <c r="B1" s="237" t="s">
        <v>1846</v>
      </c>
      <c r="C1" s="237" t="s">
        <v>1758</v>
      </c>
      <c r="D1" s="238" t="s">
        <v>1847</v>
      </c>
      <c r="E1" s="239" t="s">
        <v>1802</v>
      </c>
      <c r="F1" s="183" t="s">
        <v>1803</v>
      </c>
      <c r="G1" s="240" t="s">
        <v>584</v>
      </c>
      <c r="H1" s="240" t="s">
        <v>585</v>
      </c>
      <c r="I1" s="111" t="s">
        <v>586</v>
      </c>
      <c r="J1" s="111" t="s">
        <v>587</v>
      </c>
      <c r="K1" s="111" t="s">
        <v>588</v>
      </c>
      <c r="L1" s="111" t="s">
        <v>2348</v>
      </c>
    </row>
    <row r="2" spans="1:12" s="32" customFormat="1" x14ac:dyDescent="0.15">
      <c r="A2" s="191" t="s">
        <v>217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10</v>
      </c>
      <c r="G2" s="14">
        <v>0.05</v>
      </c>
      <c r="H2" s="14">
        <v>0.01</v>
      </c>
      <c r="I2" s="190">
        <v>0.05</v>
      </c>
      <c r="J2" s="190">
        <v>0.2</v>
      </c>
      <c r="K2" s="190">
        <v>0.4</v>
      </c>
      <c r="L2" s="14">
        <v>0.8</v>
      </c>
    </row>
    <row r="3" spans="1:12" x14ac:dyDescent="0.15">
      <c r="A3" s="192" t="s">
        <v>217</v>
      </c>
      <c r="B3" s="9" t="s">
        <v>1759</v>
      </c>
      <c r="C3" s="9" t="s">
        <v>1759</v>
      </c>
      <c r="D3" s="25" t="s">
        <v>374</v>
      </c>
      <c r="E3" s="10">
        <f>F2+1</f>
        <v>11</v>
      </c>
      <c r="F3" s="20">
        <v>25</v>
      </c>
      <c r="G3" s="24"/>
      <c r="H3" s="24"/>
      <c r="I3" s="195"/>
      <c r="J3" s="190"/>
      <c r="K3" s="190"/>
      <c r="L3" s="14"/>
    </row>
    <row r="4" spans="1:12" x14ac:dyDescent="0.15">
      <c r="A4" s="192" t="s">
        <v>217</v>
      </c>
      <c r="B4" s="9" t="s">
        <v>1759</v>
      </c>
      <c r="C4" s="9" t="s">
        <v>1759</v>
      </c>
      <c r="D4" s="25" t="s">
        <v>375</v>
      </c>
      <c r="E4" s="10">
        <f t="shared" ref="E4:E60" si="0">F3+1</f>
        <v>26</v>
      </c>
      <c r="F4" s="20">
        <v>45</v>
      </c>
      <c r="I4" s="190"/>
      <c r="J4" s="190"/>
      <c r="K4" s="190"/>
      <c r="L4" s="14"/>
    </row>
    <row r="5" spans="1:12" x14ac:dyDescent="0.15">
      <c r="A5" s="192" t="s">
        <v>217</v>
      </c>
      <c r="B5" s="9" t="s">
        <v>1759</v>
      </c>
      <c r="C5" s="9" t="s">
        <v>1759</v>
      </c>
      <c r="D5" s="25" t="s">
        <v>376</v>
      </c>
      <c r="E5" s="10">
        <f t="shared" si="0"/>
        <v>46</v>
      </c>
      <c r="F5" s="20">
        <v>70</v>
      </c>
      <c r="I5" s="190"/>
      <c r="J5" s="190"/>
      <c r="K5" s="190"/>
      <c r="L5" s="14"/>
    </row>
    <row r="6" spans="1:12" x14ac:dyDescent="0.15">
      <c r="A6" s="192" t="s">
        <v>217</v>
      </c>
      <c r="B6" s="9" t="s">
        <v>1759</v>
      </c>
      <c r="C6" s="9" t="s">
        <v>1759</v>
      </c>
      <c r="D6" s="25" t="s">
        <v>377</v>
      </c>
      <c r="E6" s="10">
        <f t="shared" si="0"/>
        <v>71</v>
      </c>
      <c r="F6" s="20">
        <v>95</v>
      </c>
      <c r="I6" s="190"/>
      <c r="J6" s="190"/>
      <c r="K6" s="190"/>
      <c r="L6" s="14"/>
    </row>
    <row r="7" spans="1:12" x14ac:dyDescent="0.15">
      <c r="A7" s="192" t="s">
        <v>217</v>
      </c>
      <c r="B7" s="9" t="s">
        <v>1759</v>
      </c>
      <c r="C7" s="9" t="s">
        <v>1759</v>
      </c>
      <c r="D7" s="25" t="s">
        <v>378</v>
      </c>
      <c r="E7" s="10">
        <f t="shared" si="0"/>
        <v>96</v>
      </c>
      <c r="F7" s="20">
        <v>110</v>
      </c>
      <c r="I7" s="190"/>
      <c r="J7" s="190"/>
      <c r="K7" s="190"/>
      <c r="L7" s="14"/>
    </row>
    <row r="8" spans="1:12" x14ac:dyDescent="0.15">
      <c r="A8" s="192" t="s">
        <v>217</v>
      </c>
      <c r="B8" s="9" t="s">
        <v>1759</v>
      </c>
      <c r="C8" s="9" t="s">
        <v>1759</v>
      </c>
      <c r="D8" s="25" t="s">
        <v>379</v>
      </c>
      <c r="E8" s="10">
        <f t="shared" si="0"/>
        <v>111</v>
      </c>
      <c r="F8" s="20">
        <v>120</v>
      </c>
      <c r="I8" s="190"/>
      <c r="J8" s="190"/>
      <c r="K8" s="190"/>
      <c r="L8" s="14"/>
    </row>
    <row r="9" spans="1:12" s="32" customFormat="1" x14ac:dyDescent="0.15">
      <c r="A9" s="191" t="s">
        <v>217</v>
      </c>
      <c r="B9" s="32" t="s">
        <v>1887</v>
      </c>
      <c r="C9" s="32" t="s">
        <v>1760</v>
      </c>
      <c r="D9" s="193" t="s">
        <v>380</v>
      </c>
      <c r="E9" s="11">
        <f t="shared" si="0"/>
        <v>121</v>
      </c>
      <c r="F9" s="92">
        <v>160</v>
      </c>
      <c r="G9" s="14">
        <v>0.8</v>
      </c>
      <c r="H9" s="14">
        <v>0.15</v>
      </c>
      <c r="I9" s="190">
        <v>0.5</v>
      </c>
      <c r="J9" s="190">
        <v>0.5</v>
      </c>
      <c r="K9" s="190">
        <v>0.42</v>
      </c>
      <c r="L9" s="14">
        <v>0.65</v>
      </c>
    </row>
    <row r="10" spans="1:12" x14ac:dyDescent="0.15">
      <c r="A10" s="192" t="s">
        <v>217</v>
      </c>
      <c r="B10" s="9" t="s">
        <v>1887</v>
      </c>
      <c r="C10" s="9" t="s">
        <v>1760</v>
      </c>
      <c r="D10" s="25" t="s">
        <v>381</v>
      </c>
      <c r="E10" s="10">
        <f t="shared" si="0"/>
        <v>161</v>
      </c>
      <c r="F10" s="20">
        <v>200</v>
      </c>
      <c r="G10" s="24"/>
      <c r="H10" s="24"/>
      <c r="I10" s="195"/>
      <c r="J10" s="190"/>
      <c r="K10" s="190"/>
      <c r="L10" s="14"/>
    </row>
    <row r="11" spans="1:12" x14ac:dyDescent="0.15">
      <c r="A11" s="192" t="s">
        <v>217</v>
      </c>
      <c r="B11" s="9" t="s">
        <v>1887</v>
      </c>
      <c r="C11" s="9" t="s">
        <v>1760</v>
      </c>
      <c r="D11" s="25" t="s">
        <v>382</v>
      </c>
      <c r="E11" s="10">
        <f t="shared" si="0"/>
        <v>201</v>
      </c>
      <c r="F11" s="20">
        <v>240</v>
      </c>
      <c r="I11" s="190"/>
      <c r="J11" s="190"/>
      <c r="K11" s="190"/>
      <c r="L11" s="14"/>
    </row>
    <row r="12" spans="1:12" x14ac:dyDescent="0.15">
      <c r="A12" s="192" t="s">
        <v>217</v>
      </c>
      <c r="B12" s="9" t="s">
        <v>1887</v>
      </c>
      <c r="C12" s="9" t="s">
        <v>1760</v>
      </c>
      <c r="D12" s="25" t="s">
        <v>383</v>
      </c>
      <c r="E12" s="10">
        <f t="shared" si="0"/>
        <v>241</v>
      </c>
      <c r="F12" s="20">
        <v>280</v>
      </c>
      <c r="I12" s="190"/>
      <c r="J12" s="190"/>
      <c r="K12" s="190"/>
      <c r="L12" s="14"/>
    </row>
    <row r="13" spans="1:12" x14ac:dyDescent="0.15">
      <c r="A13" s="192" t="s">
        <v>217</v>
      </c>
      <c r="B13" s="9" t="s">
        <v>1887</v>
      </c>
      <c r="C13" s="9" t="s">
        <v>1760</v>
      </c>
      <c r="D13" s="25" t="s">
        <v>649</v>
      </c>
      <c r="E13" s="10">
        <f t="shared" si="0"/>
        <v>281</v>
      </c>
      <c r="F13" s="20">
        <v>350</v>
      </c>
      <c r="I13" s="190"/>
      <c r="J13" s="190"/>
      <c r="K13" s="190"/>
      <c r="L13" s="14"/>
    </row>
    <row r="14" spans="1:12" s="32" customFormat="1" x14ac:dyDescent="0.15">
      <c r="A14" s="191" t="s">
        <v>217</v>
      </c>
      <c r="B14" s="32" t="s">
        <v>1857</v>
      </c>
      <c r="C14" s="32" t="s">
        <v>1760</v>
      </c>
      <c r="D14" s="77" t="s">
        <v>650</v>
      </c>
      <c r="E14" s="11">
        <f t="shared" si="0"/>
        <v>351</v>
      </c>
      <c r="F14" s="19">
        <v>380</v>
      </c>
      <c r="G14" s="14">
        <v>1.2</v>
      </c>
      <c r="H14" s="14">
        <v>0.2</v>
      </c>
      <c r="I14" s="190">
        <v>0.6</v>
      </c>
      <c r="J14" s="190">
        <v>0.7</v>
      </c>
      <c r="K14" s="190">
        <v>0.43</v>
      </c>
      <c r="L14" s="14">
        <v>0.7</v>
      </c>
    </row>
    <row r="15" spans="1:12" x14ac:dyDescent="0.15">
      <c r="A15" s="192" t="s">
        <v>217</v>
      </c>
      <c r="B15" s="9" t="s">
        <v>1857</v>
      </c>
      <c r="C15" s="9" t="s">
        <v>1760</v>
      </c>
      <c r="D15" s="25" t="s">
        <v>423</v>
      </c>
      <c r="E15" s="10">
        <f t="shared" si="0"/>
        <v>381</v>
      </c>
      <c r="F15" s="20">
        <v>415</v>
      </c>
      <c r="G15" s="24"/>
      <c r="H15" s="24"/>
      <c r="I15" s="195"/>
      <c r="J15" s="190"/>
      <c r="K15" s="190"/>
      <c r="L15" s="14"/>
    </row>
    <row r="16" spans="1:12" x14ac:dyDescent="0.15">
      <c r="A16" s="192" t="s">
        <v>217</v>
      </c>
      <c r="B16" s="9" t="s">
        <v>1857</v>
      </c>
      <c r="C16" s="9" t="s">
        <v>1760</v>
      </c>
      <c r="D16" s="25" t="s">
        <v>424</v>
      </c>
      <c r="E16" s="10">
        <f t="shared" si="0"/>
        <v>416</v>
      </c>
      <c r="F16" s="20">
        <v>450</v>
      </c>
      <c r="I16" s="190"/>
      <c r="J16" s="190"/>
      <c r="K16" s="190"/>
      <c r="L16" s="14"/>
    </row>
    <row r="17" spans="1:12" x14ac:dyDescent="0.15">
      <c r="A17" s="192" t="s">
        <v>217</v>
      </c>
      <c r="B17" s="9" t="s">
        <v>1857</v>
      </c>
      <c r="C17" s="9" t="s">
        <v>1760</v>
      </c>
      <c r="D17" s="25" t="s">
        <v>651</v>
      </c>
      <c r="E17" s="10">
        <f t="shared" si="0"/>
        <v>451</v>
      </c>
      <c r="F17" s="20">
        <v>500</v>
      </c>
      <c r="I17" s="190"/>
      <c r="J17" s="190"/>
      <c r="K17" s="190"/>
      <c r="L17" s="14"/>
    </row>
    <row r="18" spans="1:12" s="32" customFormat="1" x14ac:dyDescent="0.15">
      <c r="A18" s="191" t="s">
        <v>217</v>
      </c>
      <c r="B18" s="32" t="s">
        <v>1901</v>
      </c>
      <c r="C18" s="32" t="s">
        <v>1760</v>
      </c>
      <c r="D18" s="77" t="s">
        <v>945</v>
      </c>
      <c r="E18" s="11">
        <f t="shared" si="0"/>
        <v>501</v>
      </c>
      <c r="F18" s="19">
        <v>540</v>
      </c>
      <c r="G18" s="14">
        <v>1.5</v>
      </c>
      <c r="H18" s="14">
        <v>0.3</v>
      </c>
      <c r="I18" s="190">
        <v>1</v>
      </c>
      <c r="J18" s="190">
        <v>1</v>
      </c>
      <c r="K18" s="190">
        <v>0.45</v>
      </c>
      <c r="L18" s="14">
        <v>0.7</v>
      </c>
    </row>
    <row r="19" spans="1:12" x14ac:dyDescent="0.15">
      <c r="A19" s="192" t="s">
        <v>217</v>
      </c>
      <c r="B19" s="9" t="s">
        <v>1901</v>
      </c>
      <c r="C19" s="9" t="s">
        <v>1760</v>
      </c>
      <c r="D19" s="25" t="s">
        <v>946</v>
      </c>
      <c r="E19" s="10">
        <f t="shared" si="0"/>
        <v>541</v>
      </c>
      <c r="F19" s="20">
        <v>580</v>
      </c>
      <c r="G19" s="24"/>
      <c r="H19" s="24"/>
      <c r="I19" s="195"/>
      <c r="J19" s="190"/>
      <c r="K19" s="190"/>
      <c r="L19" s="14"/>
    </row>
    <row r="20" spans="1:12" x14ac:dyDescent="0.15">
      <c r="A20" s="192" t="s">
        <v>217</v>
      </c>
      <c r="B20" s="9" t="s">
        <v>1901</v>
      </c>
      <c r="C20" s="9" t="s">
        <v>1760</v>
      </c>
      <c r="D20" s="25" t="s">
        <v>947</v>
      </c>
      <c r="E20" s="10">
        <f t="shared" si="0"/>
        <v>581</v>
      </c>
      <c r="F20" s="20">
        <v>620</v>
      </c>
      <c r="I20" s="190"/>
      <c r="J20" s="190"/>
      <c r="K20" s="190"/>
      <c r="L20" s="14"/>
    </row>
    <row r="21" spans="1:12" x14ac:dyDescent="0.15">
      <c r="A21" s="192" t="s">
        <v>217</v>
      </c>
      <c r="B21" s="9" t="s">
        <v>1901</v>
      </c>
      <c r="C21" s="9" t="s">
        <v>1760</v>
      </c>
      <c r="D21" s="25" t="s">
        <v>948</v>
      </c>
      <c r="E21" s="10">
        <f t="shared" si="0"/>
        <v>621</v>
      </c>
      <c r="F21" s="20">
        <v>650</v>
      </c>
      <c r="I21" s="190"/>
      <c r="J21" s="190"/>
      <c r="K21" s="190"/>
      <c r="L21" s="14"/>
    </row>
    <row r="22" spans="1:12" x14ac:dyDescent="0.15">
      <c r="A22" s="192" t="s">
        <v>217</v>
      </c>
      <c r="B22" s="9" t="s">
        <v>1901</v>
      </c>
      <c r="C22" s="9" t="s">
        <v>1760</v>
      </c>
      <c r="D22" s="25" t="s">
        <v>949</v>
      </c>
      <c r="E22" s="10">
        <f t="shared" si="0"/>
        <v>651</v>
      </c>
      <c r="F22" s="20">
        <v>670</v>
      </c>
      <c r="I22" s="190"/>
      <c r="J22" s="190"/>
      <c r="K22" s="190"/>
      <c r="L22" s="14"/>
    </row>
    <row r="23" spans="1:12" x14ac:dyDescent="0.15">
      <c r="A23" s="192" t="s">
        <v>217</v>
      </c>
      <c r="B23" s="9" t="s">
        <v>1901</v>
      </c>
      <c r="C23" s="9" t="s">
        <v>1760</v>
      </c>
      <c r="D23" s="25" t="s">
        <v>950</v>
      </c>
      <c r="E23" s="10">
        <f t="shared" si="0"/>
        <v>671</v>
      </c>
      <c r="F23" s="20">
        <v>690</v>
      </c>
      <c r="I23" s="190"/>
      <c r="J23" s="190"/>
      <c r="K23" s="190"/>
      <c r="L23" s="14"/>
    </row>
    <row r="24" spans="1:12" x14ac:dyDescent="0.15">
      <c r="A24" s="192" t="s">
        <v>217</v>
      </c>
      <c r="B24" s="9" t="s">
        <v>1901</v>
      </c>
      <c r="C24" s="9" t="s">
        <v>1760</v>
      </c>
      <c r="D24" s="25" t="s">
        <v>951</v>
      </c>
      <c r="E24" s="10">
        <f t="shared" si="0"/>
        <v>691</v>
      </c>
      <c r="F24" s="20">
        <v>705</v>
      </c>
      <c r="I24" s="190"/>
      <c r="J24" s="190"/>
      <c r="K24" s="190"/>
      <c r="L24" s="14"/>
    </row>
    <row r="25" spans="1:12" x14ac:dyDescent="0.15">
      <c r="A25" s="192" t="s">
        <v>217</v>
      </c>
      <c r="B25" s="9" t="s">
        <v>1901</v>
      </c>
      <c r="C25" s="9" t="s">
        <v>1760</v>
      </c>
      <c r="D25" s="25" t="s">
        <v>952</v>
      </c>
      <c r="E25" s="10">
        <f t="shared" si="0"/>
        <v>706</v>
      </c>
      <c r="F25" s="20">
        <v>715</v>
      </c>
      <c r="I25" s="190"/>
      <c r="J25" s="190"/>
      <c r="K25" s="190"/>
      <c r="L25" s="14"/>
    </row>
    <row r="26" spans="1:12" x14ac:dyDescent="0.15">
      <c r="A26" s="192" t="s">
        <v>217</v>
      </c>
      <c r="B26" s="9" t="s">
        <v>1901</v>
      </c>
      <c r="C26" s="9" t="s">
        <v>1760</v>
      </c>
      <c r="D26" s="194" t="s">
        <v>953</v>
      </c>
      <c r="E26" s="10">
        <f t="shared" si="0"/>
        <v>716</v>
      </c>
      <c r="F26" s="37">
        <v>730</v>
      </c>
      <c r="I26" s="190"/>
      <c r="J26" s="190"/>
      <c r="K26" s="190"/>
      <c r="L26" s="14"/>
    </row>
    <row r="27" spans="1:12" s="32" customFormat="1" x14ac:dyDescent="0.15">
      <c r="A27" s="191" t="s">
        <v>217</v>
      </c>
      <c r="B27" s="32" t="s">
        <v>1858</v>
      </c>
      <c r="C27" s="32" t="s">
        <v>1761</v>
      </c>
      <c r="D27" s="77" t="s">
        <v>954</v>
      </c>
      <c r="E27" s="11">
        <f t="shared" si="0"/>
        <v>731</v>
      </c>
      <c r="F27" s="19">
        <v>780</v>
      </c>
      <c r="G27" s="14">
        <v>1.2</v>
      </c>
      <c r="H27" s="14">
        <v>0.2</v>
      </c>
      <c r="I27" s="190">
        <v>0.8</v>
      </c>
      <c r="J27" s="190">
        <v>0.85</v>
      </c>
      <c r="K27" s="190">
        <v>0.43</v>
      </c>
      <c r="L27" s="14">
        <v>0.75</v>
      </c>
    </row>
    <row r="28" spans="1:12" x14ac:dyDescent="0.15">
      <c r="A28" s="192" t="s">
        <v>217</v>
      </c>
      <c r="B28" s="9" t="s">
        <v>1858</v>
      </c>
      <c r="C28" s="9" t="s">
        <v>1761</v>
      </c>
      <c r="D28" s="25" t="s">
        <v>955</v>
      </c>
      <c r="E28" s="10">
        <f t="shared" si="0"/>
        <v>781</v>
      </c>
      <c r="F28" s="20">
        <v>840</v>
      </c>
      <c r="G28" s="24"/>
      <c r="H28" s="24"/>
      <c r="I28" s="195"/>
      <c r="J28" s="190"/>
      <c r="K28" s="190"/>
      <c r="L28" s="14"/>
    </row>
    <row r="29" spans="1:12" x14ac:dyDescent="0.15">
      <c r="A29" s="192" t="s">
        <v>217</v>
      </c>
      <c r="B29" s="9" t="s">
        <v>1858</v>
      </c>
      <c r="C29" s="9" t="s">
        <v>1761</v>
      </c>
      <c r="D29" s="25" t="s">
        <v>956</v>
      </c>
      <c r="E29" s="10">
        <f t="shared" si="0"/>
        <v>841</v>
      </c>
      <c r="F29" s="20">
        <v>900</v>
      </c>
      <c r="I29" s="190"/>
      <c r="J29" s="190"/>
      <c r="K29" s="190"/>
      <c r="L29" s="14"/>
    </row>
    <row r="30" spans="1:12" s="32" customFormat="1" x14ac:dyDescent="0.15">
      <c r="A30" s="191" t="s">
        <v>217</v>
      </c>
      <c r="B30" s="32" t="s">
        <v>1859</v>
      </c>
      <c r="C30" s="32" t="s">
        <v>1761</v>
      </c>
      <c r="D30" s="77" t="s">
        <v>957</v>
      </c>
      <c r="E30" s="11">
        <f t="shared" si="0"/>
        <v>901</v>
      </c>
      <c r="F30" s="19">
        <v>960</v>
      </c>
      <c r="G30" s="14">
        <v>1</v>
      </c>
      <c r="H30" s="14">
        <v>0.15</v>
      </c>
      <c r="I30" s="190">
        <v>0.7</v>
      </c>
      <c r="J30" s="190">
        <v>0.8</v>
      </c>
      <c r="K30" s="190">
        <v>0.42</v>
      </c>
      <c r="L30" s="14">
        <v>0.85</v>
      </c>
    </row>
    <row r="31" spans="1:12" x14ac:dyDescent="0.15">
      <c r="A31" s="192" t="s">
        <v>217</v>
      </c>
      <c r="B31" s="9" t="s">
        <v>1859</v>
      </c>
      <c r="C31" s="9" t="s">
        <v>1761</v>
      </c>
      <c r="D31" s="25" t="s">
        <v>958</v>
      </c>
      <c r="E31" s="10">
        <f t="shared" si="0"/>
        <v>961</v>
      </c>
      <c r="F31" s="20">
        <v>1000</v>
      </c>
      <c r="G31" s="24"/>
      <c r="H31" s="24"/>
      <c r="I31" s="195"/>
      <c r="J31" s="190"/>
      <c r="K31" s="190"/>
      <c r="L31" s="14"/>
    </row>
    <row r="32" spans="1:12" x14ac:dyDescent="0.15">
      <c r="A32" s="192" t="s">
        <v>217</v>
      </c>
      <c r="B32" s="9" t="s">
        <v>1859</v>
      </c>
      <c r="C32" s="9" t="s">
        <v>1761</v>
      </c>
      <c r="D32" s="25" t="s">
        <v>959</v>
      </c>
      <c r="E32" s="10">
        <f t="shared" si="0"/>
        <v>1001</v>
      </c>
      <c r="F32" s="20">
        <v>1060</v>
      </c>
      <c r="I32" s="190"/>
      <c r="J32" s="190"/>
      <c r="K32" s="190"/>
      <c r="L32" s="14"/>
    </row>
    <row r="33" spans="1:12" x14ac:dyDescent="0.15">
      <c r="A33" s="192" t="s">
        <v>217</v>
      </c>
      <c r="B33" s="9" t="s">
        <v>1859</v>
      </c>
      <c r="C33" s="9" t="s">
        <v>1761</v>
      </c>
      <c r="D33" s="25" t="s">
        <v>960</v>
      </c>
      <c r="E33" s="10">
        <f t="shared" si="0"/>
        <v>1061</v>
      </c>
      <c r="F33" s="20">
        <v>1100</v>
      </c>
      <c r="I33" s="190"/>
      <c r="J33" s="190"/>
      <c r="K33" s="190"/>
      <c r="L33" s="14"/>
    </row>
    <row r="34" spans="1:12" x14ac:dyDescent="0.15">
      <c r="A34" s="192" t="s">
        <v>217</v>
      </c>
      <c r="B34" s="9" t="s">
        <v>1859</v>
      </c>
      <c r="C34" s="9" t="s">
        <v>1761</v>
      </c>
      <c r="D34" s="25" t="s">
        <v>961</v>
      </c>
      <c r="E34" s="10">
        <f t="shared" si="0"/>
        <v>1101</v>
      </c>
      <c r="F34" s="20">
        <v>1150</v>
      </c>
      <c r="I34" s="190"/>
      <c r="J34" s="190"/>
      <c r="K34" s="190"/>
      <c r="L34" s="14"/>
    </row>
    <row r="35" spans="1:12" x14ac:dyDescent="0.15">
      <c r="A35" s="192" t="s">
        <v>217</v>
      </c>
      <c r="B35" s="9" t="s">
        <v>1859</v>
      </c>
      <c r="C35" s="9" t="s">
        <v>1761</v>
      </c>
      <c r="D35" s="25" t="s">
        <v>962</v>
      </c>
      <c r="E35" s="10">
        <f t="shared" si="0"/>
        <v>1151</v>
      </c>
      <c r="F35" s="20">
        <v>1180</v>
      </c>
      <c r="I35" s="190"/>
      <c r="J35" s="190"/>
      <c r="K35" s="190"/>
      <c r="L35" s="14"/>
    </row>
    <row r="36" spans="1:12" x14ac:dyDescent="0.15">
      <c r="A36" s="192" t="s">
        <v>217</v>
      </c>
      <c r="B36" s="9" t="s">
        <v>1859</v>
      </c>
      <c r="C36" s="9" t="s">
        <v>1761</v>
      </c>
      <c r="D36" s="25" t="s">
        <v>963</v>
      </c>
      <c r="E36" s="10">
        <f t="shared" si="0"/>
        <v>1181</v>
      </c>
      <c r="F36" s="20">
        <v>1195</v>
      </c>
      <c r="I36" s="190"/>
      <c r="J36" s="190"/>
      <c r="K36" s="190"/>
      <c r="L36" s="14"/>
    </row>
    <row r="37" spans="1:12" x14ac:dyDescent="0.15">
      <c r="A37" s="192" t="s">
        <v>217</v>
      </c>
      <c r="B37" s="9" t="s">
        <v>1859</v>
      </c>
      <c r="C37" s="9" t="s">
        <v>1761</v>
      </c>
      <c r="D37" s="25" t="s">
        <v>964</v>
      </c>
      <c r="E37" s="10">
        <f t="shared" si="0"/>
        <v>1196</v>
      </c>
      <c r="F37" s="20">
        <v>1210</v>
      </c>
      <c r="I37" s="190"/>
      <c r="J37" s="190"/>
      <c r="K37" s="190"/>
      <c r="L37" s="14"/>
    </row>
    <row r="38" spans="1:12" x14ac:dyDescent="0.15">
      <c r="A38" s="192" t="s">
        <v>217</v>
      </c>
      <c r="B38" s="9" t="s">
        <v>1859</v>
      </c>
      <c r="C38" s="9" t="s">
        <v>1761</v>
      </c>
      <c r="D38" s="194" t="s">
        <v>521</v>
      </c>
      <c r="E38" s="10">
        <f t="shared" si="0"/>
        <v>1211</v>
      </c>
      <c r="F38" s="37">
        <v>1225</v>
      </c>
      <c r="I38" s="190"/>
      <c r="J38" s="190"/>
      <c r="K38" s="190"/>
      <c r="L38" s="14"/>
    </row>
    <row r="39" spans="1:12" s="32" customFormat="1" x14ac:dyDescent="0.15">
      <c r="A39" s="191" t="s">
        <v>217</v>
      </c>
      <c r="B39" s="32" t="s">
        <v>1886</v>
      </c>
      <c r="C39" s="32" t="s">
        <v>1761</v>
      </c>
      <c r="D39" s="77" t="s">
        <v>965</v>
      </c>
      <c r="E39" s="11">
        <f t="shared" si="0"/>
        <v>1226</v>
      </c>
      <c r="F39" s="19">
        <v>1275</v>
      </c>
      <c r="G39" s="14">
        <v>0.5</v>
      </c>
      <c r="H39" s="14">
        <v>0.1</v>
      </c>
      <c r="I39" s="190">
        <v>0.5</v>
      </c>
      <c r="J39" s="190">
        <v>0.6</v>
      </c>
      <c r="K39" s="190">
        <v>0.42</v>
      </c>
      <c r="L39" s="14">
        <v>0.7</v>
      </c>
    </row>
    <row r="40" spans="1:12" x14ac:dyDescent="0.15">
      <c r="A40" s="192" t="s">
        <v>217</v>
      </c>
      <c r="B40" s="9" t="s">
        <v>1886</v>
      </c>
      <c r="C40" s="9" t="s">
        <v>1761</v>
      </c>
      <c r="D40" s="25" t="s">
        <v>966</v>
      </c>
      <c r="E40" s="10">
        <f t="shared" si="0"/>
        <v>1276</v>
      </c>
      <c r="F40" s="20">
        <v>1350</v>
      </c>
      <c r="G40" s="24"/>
      <c r="H40" s="24"/>
      <c r="I40" s="195"/>
      <c r="J40" s="190"/>
      <c r="K40" s="190"/>
      <c r="L40" s="14"/>
    </row>
    <row r="41" spans="1:12" x14ac:dyDescent="0.15">
      <c r="A41" s="192" t="s">
        <v>217</v>
      </c>
      <c r="B41" s="9" t="s">
        <v>1886</v>
      </c>
      <c r="C41" s="9" t="s">
        <v>1761</v>
      </c>
      <c r="D41" s="25" t="s">
        <v>967</v>
      </c>
      <c r="E41" s="10">
        <f t="shared" si="0"/>
        <v>1351</v>
      </c>
      <c r="F41" s="20">
        <v>1430</v>
      </c>
      <c r="I41" s="190"/>
      <c r="J41" s="190"/>
      <c r="K41" s="190"/>
      <c r="L41" s="14"/>
    </row>
    <row r="42" spans="1:12" x14ac:dyDescent="0.15">
      <c r="A42" s="192" t="s">
        <v>217</v>
      </c>
      <c r="B42" s="9" t="s">
        <v>1886</v>
      </c>
      <c r="C42" s="9" t="s">
        <v>1761</v>
      </c>
      <c r="D42" s="25" t="s">
        <v>968</v>
      </c>
      <c r="E42" s="10">
        <f t="shared" si="0"/>
        <v>1431</v>
      </c>
      <c r="F42" s="20">
        <v>1480</v>
      </c>
      <c r="I42" s="190"/>
      <c r="J42" s="190"/>
      <c r="K42" s="190"/>
      <c r="L42" s="14"/>
    </row>
    <row r="43" spans="1:12" x14ac:dyDescent="0.15">
      <c r="A43" s="192" t="s">
        <v>217</v>
      </c>
      <c r="B43" s="9" t="s">
        <v>1886</v>
      </c>
      <c r="C43" s="9" t="s">
        <v>1761</v>
      </c>
      <c r="D43" s="25" t="s">
        <v>969</v>
      </c>
      <c r="E43" s="10">
        <f t="shared" si="0"/>
        <v>1481</v>
      </c>
      <c r="F43" s="20">
        <v>1500</v>
      </c>
      <c r="I43" s="190"/>
      <c r="J43" s="190"/>
      <c r="K43" s="190"/>
      <c r="L43" s="14"/>
    </row>
    <row r="44" spans="1:12" s="32" customFormat="1" x14ac:dyDescent="0.15">
      <c r="A44" s="191" t="s">
        <v>217</v>
      </c>
      <c r="B44" s="32" t="s">
        <v>1902</v>
      </c>
      <c r="C44" s="32" t="s">
        <v>1762</v>
      </c>
      <c r="D44" s="77" t="s">
        <v>970</v>
      </c>
      <c r="E44" s="11">
        <f t="shared" si="0"/>
        <v>1501</v>
      </c>
      <c r="F44" s="19">
        <v>1530</v>
      </c>
      <c r="G44" s="14">
        <v>0.2</v>
      </c>
      <c r="H44" s="14">
        <v>0.05</v>
      </c>
      <c r="I44" s="190">
        <v>0.3</v>
      </c>
      <c r="J44" s="190">
        <v>0.4</v>
      </c>
      <c r="K44" s="190">
        <v>0.42</v>
      </c>
      <c r="L44" s="14">
        <v>0.35</v>
      </c>
    </row>
    <row r="45" spans="1:12" x14ac:dyDescent="0.15">
      <c r="A45" s="192" t="s">
        <v>217</v>
      </c>
      <c r="B45" s="9" t="s">
        <v>1902</v>
      </c>
      <c r="C45" s="9" t="s">
        <v>1762</v>
      </c>
      <c r="D45" s="25" t="s">
        <v>971</v>
      </c>
      <c r="E45" s="10">
        <f t="shared" si="0"/>
        <v>1531</v>
      </c>
      <c r="F45" s="20">
        <v>1550</v>
      </c>
      <c r="G45" s="24"/>
      <c r="H45" s="24"/>
      <c r="I45" s="195"/>
      <c r="J45" s="190"/>
      <c r="K45" s="190"/>
      <c r="L45" s="14"/>
    </row>
    <row r="46" spans="1:12" x14ac:dyDescent="0.15">
      <c r="A46" s="192" t="s">
        <v>217</v>
      </c>
      <c r="B46" s="9" t="s">
        <v>1902</v>
      </c>
      <c r="C46" s="9" t="s">
        <v>1762</v>
      </c>
      <c r="D46" s="25" t="s">
        <v>972</v>
      </c>
      <c r="E46" s="10">
        <f t="shared" si="0"/>
        <v>1551</v>
      </c>
      <c r="F46" s="20">
        <v>1565</v>
      </c>
      <c r="I46" s="190"/>
      <c r="J46" s="190"/>
      <c r="K46" s="190"/>
      <c r="L46" s="14"/>
    </row>
    <row r="47" spans="1:12" x14ac:dyDescent="0.15">
      <c r="A47" s="192" t="s">
        <v>217</v>
      </c>
      <c r="B47" s="9" t="s">
        <v>1902</v>
      </c>
      <c r="C47" s="9" t="s">
        <v>1762</v>
      </c>
      <c r="D47" s="25" t="s">
        <v>973</v>
      </c>
      <c r="E47" s="10">
        <f t="shared" si="0"/>
        <v>1566</v>
      </c>
      <c r="F47" s="20">
        <v>1580</v>
      </c>
      <c r="I47" s="190"/>
      <c r="J47" s="190"/>
      <c r="K47" s="190"/>
      <c r="L47" s="14"/>
    </row>
    <row r="48" spans="1:12" x14ac:dyDescent="0.15">
      <c r="A48" s="192" t="s">
        <v>217</v>
      </c>
      <c r="B48" s="9" t="s">
        <v>1902</v>
      </c>
      <c r="C48" s="9" t="s">
        <v>1762</v>
      </c>
      <c r="D48" s="25" t="s">
        <v>974</v>
      </c>
      <c r="E48" s="10">
        <f t="shared" si="0"/>
        <v>1581</v>
      </c>
      <c r="F48" s="20">
        <v>1595</v>
      </c>
      <c r="I48" s="190"/>
      <c r="J48" s="190"/>
      <c r="K48" s="190"/>
      <c r="L48" s="14"/>
    </row>
    <row r="49" spans="1:12" x14ac:dyDescent="0.15">
      <c r="A49" s="192" t="s">
        <v>217</v>
      </c>
      <c r="B49" s="9" t="s">
        <v>1902</v>
      </c>
      <c r="C49" s="9" t="s">
        <v>1762</v>
      </c>
      <c r="D49" s="25" t="s">
        <v>975</v>
      </c>
      <c r="E49" s="10">
        <f t="shared" si="0"/>
        <v>1596</v>
      </c>
      <c r="F49" s="20">
        <v>1610</v>
      </c>
      <c r="I49" s="190"/>
      <c r="J49" s="190"/>
      <c r="K49" s="190"/>
      <c r="L49" s="14"/>
    </row>
    <row r="50" spans="1:12" x14ac:dyDescent="0.15">
      <c r="A50" s="192" t="s">
        <v>217</v>
      </c>
      <c r="B50" s="9" t="s">
        <v>1902</v>
      </c>
      <c r="C50" s="9" t="s">
        <v>1762</v>
      </c>
      <c r="D50" s="25" t="s">
        <v>976</v>
      </c>
      <c r="E50" s="10">
        <f t="shared" si="0"/>
        <v>1611</v>
      </c>
      <c r="F50" s="20">
        <v>1625</v>
      </c>
      <c r="I50" s="190"/>
      <c r="J50" s="190"/>
      <c r="K50" s="190"/>
      <c r="L50" s="14"/>
    </row>
    <row r="51" spans="1:12" x14ac:dyDescent="0.15">
      <c r="A51" s="192" t="s">
        <v>217</v>
      </c>
      <c r="B51" s="9" t="s">
        <v>1902</v>
      </c>
      <c r="C51" s="9" t="s">
        <v>1762</v>
      </c>
      <c r="D51" s="25" t="s">
        <v>977</v>
      </c>
      <c r="E51" s="10">
        <f t="shared" si="0"/>
        <v>1626</v>
      </c>
      <c r="F51" s="20">
        <v>1640</v>
      </c>
      <c r="I51" s="190"/>
      <c r="J51" s="190"/>
      <c r="K51" s="190"/>
      <c r="L51" s="14"/>
    </row>
    <row r="52" spans="1:12" x14ac:dyDescent="0.15">
      <c r="A52" s="192" t="s">
        <v>217</v>
      </c>
      <c r="B52" s="9" t="s">
        <v>1902</v>
      </c>
      <c r="C52" s="9" t="s">
        <v>1762</v>
      </c>
      <c r="D52" s="25" t="s">
        <v>978</v>
      </c>
      <c r="E52" s="10">
        <f t="shared" si="0"/>
        <v>1641</v>
      </c>
      <c r="F52" s="20">
        <v>1650</v>
      </c>
      <c r="I52" s="190"/>
      <c r="J52" s="190"/>
      <c r="K52" s="190"/>
      <c r="L52" s="14"/>
    </row>
    <row r="53" spans="1:12" s="32" customFormat="1" x14ac:dyDescent="0.15">
      <c r="A53" s="191" t="s">
        <v>217</v>
      </c>
      <c r="B53" s="32" t="s">
        <v>1855</v>
      </c>
      <c r="C53" s="32" t="s">
        <v>1855</v>
      </c>
      <c r="D53" s="77" t="s">
        <v>979</v>
      </c>
      <c r="E53" s="11">
        <f t="shared" si="0"/>
        <v>1651</v>
      </c>
      <c r="F53" s="19">
        <v>1665</v>
      </c>
      <c r="G53" s="14">
        <v>0.05</v>
      </c>
      <c r="H53" s="14">
        <v>0.01</v>
      </c>
      <c r="I53" s="190">
        <v>0.05</v>
      </c>
      <c r="J53" s="190">
        <v>0.3</v>
      </c>
      <c r="K53" s="190">
        <v>0.45</v>
      </c>
      <c r="L53" s="14">
        <v>0.15</v>
      </c>
    </row>
    <row r="54" spans="1:12" x14ac:dyDescent="0.15">
      <c r="A54" s="192" t="s">
        <v>217</v>
      </c>
      <c r="B54" s="9" t="s">
        <v>1855</v>
      </c>
      <c r="C54" s="9" t="s">
        <v>1855</v>
      </c>
      <c r="D54" s="25" t="s">
        <v>980</v>
      </c>
      <c r="E54" s="10">
        <f t="shared" si="0"/>
        <v>1666</v>
      </c>
      <c r="F54" s="20">
        <v>1680</v>
      </c>
      <c r="I54" s="190"/>
      <c r="J54" s="190"/>
      <c r="K54" s="190"/>
      <c r="L54" s="14"/>
    </row>
    <row r="55" spans="1:12" x14ac:dyDescent="0.15">
      <c r="A55" s="192" t="s">
        <v>217</v>
      </c>
      <c r="B55" s="9" t="s">
        <v>1855</v>
      </c>
      <c r="C55" s="9" t="s">
        <v>1855</v>
      </c>
      <c r="D55" s="25" t="s">
        <v>981</v>
      </c>
      <c r="E55" s="10">
        <f t="shared" si="0"/>
        <v>1681</v>
      </c>
      <c r="F55" s="20">
        <v>1695</v>
      </c>
      <c r="I55" s="190"/>
      <c r="J55" s="190"/>
      <c r="K55" s="190"/>
      <c r="L55" s="14"/>
    </row>
    <row r="56" spans="1:12" x14ac:dyDescent="0.15">
      <c r="A56" s="192" t="s">
        <v>217</v>
      </c>
      <c r="B56" s="9" t="s">
        <v>1855</v>
      </c>
      <c r="C56" s="9" t="s">
        <v>1855</v>
      </c>
      <c r="D56" s="25" t="s">
        <v>982</v>
      </c>
      <c r="E56" s="10">
        <f t="shared" si="0"/>
        <v>1696</v>
      </c>
      <c r="F56" s="20">
        <v>1710</v>
      </c>
      <c r="I56" s="190"/>
      <c r="J56" s="190"/>
      <c r="K56" s="190"/>
      <c r="L56" s="14"/>
    </row>
    <row r="57" spans="1:12" x14ac:dyDescent="0.15">
      <c r="A57" s="192" t="s">
        <v>217</v>
      </c>
      <c r="B57" s="9" t="s">
        <v>1855</v>
      </c>
      <c r="C57" s="9" t="s">
        <v>1855</v>
      </c>
      <c r="D57" s="25" t="s">
        <v>983</v>
      </c>
      <c r="E57" s="10">
        <f t="shared" si="0"/>
        <v>1711</v>
      </c>
      <c r="F57" s="20">
        <v>1725</v>
      </c>
      <c r="I57" s="190"/>
      <c r="J57" s="190"/>
      <c r="K57" s="190"/>
      <c r="L57" s="14"/>
    </row>
    <row r="58" spans="1:12" x14ac:dyDescent="0.15">
      <c r="A58" s="192" t="s">
        <v>217</v>
      </c>
      <c r="B58" s="9" t="s">
        <v>1855</v>
      </c>
      <c r="C58" s="9" t="s">
        <v>1855</v>
      </c>
      <c r="D58" s="25" t="s">
        <v>984</v>
      </c>
      <c r="E58" s="10">
        <f t="shared" si="0"/>
        <v>1726</v>
      </c>
      <c r="F58" s="20">
        <v>1740</v>
      </c>
      <c r="I58" s="190"/>
      <c r="J58" s="190"/>
      <c r="K58" s="190"/>
      <c r="L58" s="14"/>
    </row>
    <row r="59" spans="1:12" x14ac:dyDescent="0.15">
      <c r="A59" s="192" t="s">
        <v>217</v>
      </c>
      <c r="B59" s="9" t="s">
        <v>1855</v>
      </c>
      <c r="C59" s="9" t="s">
        <v>1855</v>
      </c>
      <c r="D59" s="25" t="s">
        <v>985</v>
      </c>
      <c r="E59" s="10">
        <f t="shared" si="0"/>
        <v>1741</v>
      </c>
      <c r="F59" s="20">
        <v>1750</v>
      </c>
      <c r="I59" s="190"/>
      <c r="J59" s="190"/>
      <c r="K59" s="190"/>
      <c r="L59" s="14"/>
    </row>
    <row r="60" spans="1:12" x14ac:dyDescent="0.15">
      <c r="A60" s="180" t="s">
        <v>217</v>
      </c>
      <c r="B60" s="181" t="s">
        <v>1855</v>
      </c>
      <c r="C60" s="181" t="s">
        <v>1855</v>
      </c>
      <c r="D60" s="182" t="s">
        <v>456</v>
      </c>
      <c r="E60" s="185">
        <f t="shared" si="0"/>
        <v>1751</v>
      </c>
      <c r="F60" s="172">
        <v>1800</v>
      </c>
      <c r="G60" s="188"/>
      <c r="H60" s="188"/>
      <c r="I60" s="189"/>
      <c r="J60" s="189"/>
      <c r="K60" s="189"/>
      <c r="L60" s="14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6C3D-AA87-48DE-BBD5-DB2D1A90ACEA}">
  <sheetPr>
    <tabColor rgb="FFFFFF00"/>
  </sheetPr>
  <dimension ref="A1:L59"/>
  <sheetViews>
    <sheetView workbookViewId="0">
      <selection activeCell="L56" sqref="L56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69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242" t="s">
        <v>1753</v>
      </c>
      <c r="B1" s="243" t="s">
        <v>1846</v>
      </c>
      <c r="C1" s="243" t="s">
        <v>1758</v>
      </c>
      <c r="D1" s="78" t="s">
        <v>1847</v>
      </c>
      <c r="E1" s="244" t="s">
        <v>1802</v>
      </c>
      <c r="F1" s="175" t="s">
        <v>1803</v>
      </c>
      <c r="G1" s="84" t="s">
        <v>584</v>
      </c>
      <c r="H1" s="84" t="s">
        <v>585</v>
      </c>
      <c r="I1" s="104" t="s">
        <v>586</v>
      </c>
      <c r="J1" s="104" t="s">
        <v>587</v>
      </c>
      <c r="K1" s="82" t="s">
        <v>588</v>
      </c>
      <c r="L1" s="84" t="s">
        <v>2348</v>
      </c>
    </row>
    <row r="2" spans="1:12" s="32" customFormat="1" x14ac:dyDescent="0.15">
      <c r="A2" s="32" t="s">
        <v>233</v>
      </c>
      <c r="B2" s="32" t="s">
        <v>1759</v>
      </c>
      <c r="C2" s="32" t="s">
        <v>1759</v>
      </c>
      <c r="D2" s="77" t="s">
        <v>1027</v>
      </c>
      <c r="E2" s="11">
        <v>0</v>
      </c>
      <c r="F2" s="19">
        <v>10</v>
      </c>
      <c r="G2" s="14">
        <v>0.05</v>
      </c>
      <c r="H2" s="14">
        <v>0.01</v>
      </c>
      <c r="I2" s="190">
        <v>0.05</v>
      </c>
      <c r="J2" s="190">
        <v>0.2</v>
      </c>
      <c r="K2" s="17">
        <v>0.5</v>
      </c>
      <c r="L2" s="14">
        <v>0.7</v>
      </c>
    </row>
    <row r="3" spans="1:12" x14ac:dyDescent="0.15">
      <c r="A3" s="9" t="s">
        <v>233</v>
      </c>
      <c r="B3" s="9" t="s">
        <v>1759</v>
      </c>
      <c r="C3" s="9" t="s">
        <v>1759</v>
      </c>
      <c r="D3" s="25" t="s">
        <v>1028</v>
      </c>
      <c r="E3" s="10">
        <f>F2+1</f>
        <v>11</v>
      </c>
      <c r="F3" s="20">
        <v>40</v>
      </c>
      <c r="G3" s="24"/>
      <c r="H3" s="24"/>
      <c r="I3" s="195"/>
      <c r="J3" s="190"/>
      <c r="K3" s="17"/>
      <c r="L3" s="14"/>
    </row>
    <row r="4" spans="1:12" x14ac:dyDescent="0.15">
      <c r="A4" s="9" t="s">
        <v>233</v>
      </c>
      <c r="B4" s="9" t="s">
        <v>1759</v>
      </c>
      <c r="C4" s="9" t="s">
        <v>1759</v>
      </c>
      <c r="D4" s="25" t="s">
        <v>987</v>
      </c>
      <c r="E4" s="10">
        <f t="shared" ref="E4:E59" si="0">F3+1</f>
        <v>41</v>
      </c>
      <c r="F4" s="20">
        <v>80</v>
      </c>
      <c r="I4" s="190"/>
      <c r="J4" s="190"/>
      <c r="K4" s="17"/>
      <c r="L4" s="14"/>
    </row>
    <row r="5" spans="1:12" x14ac:dyDescent="0.15">
      <c r="A5" s="9" t="s">
        <v>233</v>
      </c>
      <c r="B5" s="9" t="s">
        <v>1759</v>
      </c>
      <c r="C5" s="9" t="s">
        <v>1759</v>
      </c>
      <c r="D5" s="25" t="s">
        <v>988</v>
      </c>
      <c r="E5" s="10">
        <f t="shared" si="0"/>
        <v>81</v>
      </c>
      <c r="F5" s="20">
        <v>110</v>
      </c>
      <c r="I5" s="190"/>
      <c r="J5" s="190"/>
      <c r="K5" s="17"/>
      <c r="L5" s="14"/>
    </row>
    <row r="6" spans="1:12" x14ac:dyDescent="0.15">
      <c r="A6" s="9" t="s">
        <v>233</v>
      </c>
      <c r="B6" s="9" t="s">
        <v>1759</v>
      </c>
      <c r="C6" s="9" t="s">
        <v>1759</v>
      </c>
      <c r="D6" s="25" t="s">
        <v>989</v>
      </c>
      <c r="E6" s="10">
        <f t="shared" si="0"/>
        <v>111</v>
      </c>
      <c r="F6" s="20">
        <v>150</v>
      </c>
      <c r="I6" s="190"/>
      <c r="J6" s="190"/>
      <c r="K6" s="17"/>
      <c r="L6" s="14"/>
    </row>
    <row r="7" spans="1:12" x14ac:dyDescent="0.15">
      <c r="A7" s="9" t="s">
        <v>233</v>
      </c>
      <c r="B7" s="9" t="s">
        <v>1759</v>
      </c>
      <c r="C7" s="9" t="s">
        <v>1759</v>
      </c>
      <c r="D7" s="25" t="s">
        <v>990</v>
      </c>
      <c r="E7" s="10">
        <f t="shared" si="0"/>
        <v>151</v>
      </c>
      <c r="F7" s="20">
        <v>180</v>
      </c>
      <c r="I7" s="190"/>
      <c r="J7" s="190"/>
      <c r="K7" s="17"/>
      <c r="L7" s="14"/>
    </row>
    <row r="8" spans="1:12" x14ac:dyDescent="0.15">
      <c r="A8" s="9" t="s">
        <v>233</v>
      </c>
      <c r="B8" s="9" t="s">
        <v>1759</v>
      </c>
      <c r="C8" s="9" t="s">
        <v>1759</v>
      </c>
      <c r="D8" s="25" t="s">
        <v>991</v>
      </c>
      <c r="E8" s="10">
        <f t="shared" si="0"/>
        <v>181</v>
      </c>
      <c r="F8" s="20">
        <v>220</v>
      </c>
      <c r="I8" s="190"/>
      <c r="J8" s="190"/>
      <c r="K8" s="17"/>
      <c r="L8" s="14"/>
    </row>
    <row r="9" spans="1:12" x14ac:dyDescent="0.15">
      <c r="A9" s="9" t="s">
        <v>233</v>
      </c>
      <c r="B9" s="9" t="s">
        <v>1759</v>
      </c>
      <c r="C9" s="9" t="s">
        <v>1759</v>
      </c>
      <c r="D9" s="25" t="s">
        <v>992</v>
      </c>
      <c r="E9" s="10">
        <f t="shared" si="0"/>
        <v>221</v>
      </c>
      <c r="F9" s="20">
        <v>260</v>
      </c>
      <c r="I9" s="190"/>
      <c r="J9" s="190"/>
      <c r="K9" s="17"/>
      <c r="L9" s="14"/>
    </row>
    <row r="10" spans="1:12" s="32" customFormat="1" x14ac:dyDescent="0.15">
      <c r="A10" s="32" t="s">
        <v>233</v>
      </c>
      <c r="B10" s="32" t="s">
        <v>1861</v>
      </c>
      <c r="C10" s="32" t="s">
        <v>1760</v>
      </c>
      <c r="D10" s="77" t="s">
        <v>993</v>
      </c>
      <c r="E10" s="11">
        <f t="shared" si="0"/>
        <v>261</v>
      </c>
      <c r="F10" s="19">
        <v>300</v>
      </c>
      <c r="G10" s="14">
        <v>0.6</v>
      </c>
      <c r="H10" s="14">
        <v>0.1</v>
      </c>
      <c r="I10" s="190">
        <v>0.5</v>
      </c>
      <c r="J10" s="190">
        <v>0.5</v>
      </c>
      <c r="K10" s="17">
        <v>0.6</v>
      </c>
      <c r="L10" s="14">
        <v>0.6</v>
      </c>
    </row>
    <row r="11" spans="1:12" x14ac:dyDescent="0.15">
      <c r="A11" s="9" t="s">
        <v>233</v>
      </c>
      <c r="B11" s="9" t="s">
        <v>1861</v>
      </c>
      <c r="C11" s="9" t="s">
        <v>1760</v>
      </c>
      <c r="D11" s="25" t="s">
        <v>994</v>
      </c>
      <c r="E11" s="10">
        <f t="shared" si="0"/>
        <v>301</v>
      </c>
      <c r="F11" s="20">
        <v>340</v>
      </c>
      <c r="G11" s="24"/>
      <c r="H11" s="24"/>
      <c r="I11" s="195"/>
      <c r="J11" s="190"/>
      <c r="K11" s="17"/>
      <c r="L11" s="14"/>
    </row>
    <row r="12" spans="1:12" x14ac:dyDescent="0.15">
      <c r="A12" s="9" t="s">
        <v>233</v>
      </c>
      <c r="B12" s="9" t="s">
        <v>1861</v>
      </c>
      <c r="C12" s="9" t="s">
        <v>1760</v>
      </c>
      <c r="D12" s="25" t="s">
        <v>995</v>
      </c>
      <c r="E12" s="10">
        <f t="shared" si="0"/>
        <v>341</v>
      </c>
      <c r="F12" s="20">
        <v>380</v>
      </c>
      <c r="I12" s="190"/>
      <c r="J12" s="190"/>
      <c r="K12" s="17"/>
      <c r="L12" s="14"/>
    </row>
    <row r="13" spans="1:12" x14ac:dyDescent="0.15">
      <c r="A13" s="9" t="s">
        <v>233</v>
      </c>
      <c r="B13" s="9" t="s">
        <v>1861</v>
      </c>
      <c r="C13" s="9" t="s">
        <v>1760</v>
      </c>
      <c r="D13" s="194" t="s">
        <v>996</v>
      </c>
      <c r="E13" s="10">
        <f t="shared" si="0"/>
        <v>381</v>
      </c>
      <c r="F13" s="37">
        <v>420</v>
      </c>
      <c r="I13" s="190"/>
      <c r="J13" s="190"/>
      <c r="K13" s="17"/>
      <c r="L13" s="14"/>
    </row>
    <row r="14" spans="1:12" x14ac:dyDescent="0.15">
      <c r="A14" s="9" t="s">
        <v>233</v>
      </c>
      <c r="B14" s="9" t="s">
        <v>1861</v>
      </c>
      <c r="C14" s="9" t="s">
        <v>1760</v>
      </c>
      <c r="D14" s="25" t="s">
        <v>997</v>
      </c>
      <c r="E14" s="10">
        <f t="shared" si="0"/>
        <v>421</v>
      </c>
      <c r="F14" s="20">
        <v>520</v>
      </c>
      <c r="I14" s="190"/>
      <c r="J14" s="190"/>
      <c r="K14" s="17"/>
      <c r="L14" s="14"/>
    </row>
    <row r="15" spans="1:12" s="32" customFormat="1" x14ac:dyDescent="0.15">
      <c r="A15" s="32" t="s">
        <v>233</v>
      </c>
      <c r="B15" s="32" t="s">
        <v>1897</v>
      </c>
      <c r="C15" s="32" t="s">
        <v>1760</v>
      </c>
      <c r="D15" s="77" t="s">
        <v>998</v>
      </c>
      <c r="E15" s="11">
        <f t="shared" si="0"/>
        <v>521</v>
      </c>
      <c r="F15" s="19">
        <v>560</v>
      </c>
      <c r="G15" s="14">
        <v>1</v>
      </c>
      <c r="H15" s="14">
        <v>0.15</v>
      </c>
      <c r="I15" s="190">
        <v>0.8</v>
      </c>
      <c r="J15" s="190">
        <v>0.75</v>
      </c>
      <c r="K15" s="17">
        <v>0.65</v>
      </c>
      <c r="L15" s="14">
        <v>0.7</v>
      </c>
    </row>
    <row r="16" spans="1:12" x14ac:dyDescent="0.15">
      <c r="A16" s="9" t="s">
        <v>233</v>
      </c>
      <c r="B16" s="9" t="s">
        <v>1897</v>
      </c>
      <c r="C16" s="9" t="s">
        <v>1760</v>
      </c>
      <c r="D16" s="25" t="s">
        <v>999</v>
      </c>
      <c r="E16" s="10">
        <f t="shared" si="0"/>
        <v>561</v>
      </c>
      <c r="F16" s="20">
        <v>600</v>
      </c>
      <c r="G16" s="24"/>
      <c r="H16" s="24"/>
      <c r="I16" s="195"/>
      <c r="J16" s="190"/>
      <c r="K16" s="17"/>
      <c r="L16" s="14"/>
    </row>
    <row r="17" spans="1:12" x14ac:dyDescent="0.15">
      <c r="A17" s="9" t="s">
        <v>233</v>
      </c>
      <c r="B17" s="9" t="s">
        <v>1897</v>
      </c>
      <c r="C17" s="9" t="s">
        <v>1760</v>
      </c>
      <c r="D17" s="25" t="s">
        <v>1000</v>
      </c>
      <c r="E17" s="10">
        <f t="shared" si="0"/>
        <v>601</v>
      </c>
      <c r="F17" s="20">
        <v>640</v>
      </c>
      <c r="I17" s="190"/>
      <c r="J17" s="190"/>
      <c r="K17" s="17"/>
      <c r="L17" s="14"/>
    </row>
    <row r="18" spans="1:12" x14ac:dyDescent="0.15">
      <c r="A18" s="9" t="s">
        <v>233</v>
      </c>
      <c r="B18" s="9" t="s">
        <v>1897</v>
      </c>
      <c r="C18" s="9" t="s">
        <v>1760</v>
      </c>
      <c r="D18" s="25" t="s">
        <v>1035</v>
      </c>
      <c r="E18" s="10">
        <f t="shared" si="0"/>
        <v>641</v>
      </c>
      <c r="F18" s="20">
        <v>720</v>
      </c>
      <c r="I18" s="190"/>
      <c r="J18" s="190"/>
      <c r="K18" s="17"/>
      <c r="L18" s="14"/>
    </row>
    <row r="19" spans="1:12" s="32" customFormat="1" x14ac:dyDescent="0.15">
      <c r="A19" s="32" t="s">
        <v>233</v>
      </c>
      <c r="B19" s="32" t="s">
        <v>1898</v>
      </c>
      <c r="C19" s="32" t="s">
        <v>1760</v>
      </c>
      <c r="D19" s="77" t="s">
        <v>801</v>
      </c>
      <c r="E19" s="11">
        <f t="shared" si="0"/>
        <v>721</v>
      </c>
      <c r="F19" s="19">
        <v>770</v>
      </c>
      <c r="G19" s="14">
        <v>1.8</v>
      </c>
      <c r="H19" s="14">
        <v>0.25</v>
      </c>
      <c r="I19" s="190">
        <v>1.2</v>
      </c>
      <c r="J19" s="190">
        <v>1</v>
      </c>
      <c r="K19" s="17">
        <v>0.7</v>
      </c>
      <c r="L19" s="14">
        <v>0.75</v>
      </c>
    </row>
    <row r="20" spans="1:12" x14ac:dyDescent="0.15">
      <c r="A20" s="9" t="s">
        <v>233</v>
      </c>
      <c r="B20" s="9" t="s">
        <v>1898</v>
      </c>
      <c r="C20" s="9" t="s">
        <v>1760</v>
      </c>
      <c r="D20" s="25" t="s">
        <v>1001</v>
      </c>
      <c r="E20" s="10">
        <f t="shared" si="0"/>
        <v>771</v>
      </c>
      <c r="F20" s="20">
        <v>820</v>
      </c>
      <c r="G20" s="24"/>
      <c r="H20" s="24"/>
      <c r="I20" s="195"/>
      <c r="J20" s="190"/>
      <c r="K20" s="17"/>
      <c r="L20" s="14"/>
    </row>
    <row r="21" spans="1:12" x14ac:dyDescent="0.15">
      <c r="A21" s="9" t="s">
        <v>233</v>
      </c>
      <c r="B21" s="9" t="s">
        <v>1898</v>
      </c>
      <c r="C21" s="9" t="s">
        <v>1760</v>
      </c>
      <c r="D21" s="25" t="s">
        <v>1002</v>
      </c>
      <c r="E21" s="10">
        <f t="shared" si="0"/>
        <v>821</v>
      </c>
      <c r="F21" s="20">
        <v>870</v>
      </c>
      <c r="I21" s="190"/>
      <c r="J21" s="190"/>
      <c r="K21" s="17"/>
      <c r="L21" s="14"/>
    </row>
    <row r="22" spans="1:12" x14ac:dyDescent="0.15">
      <c r="A22" s="9" t="s">
        <v>233</v>
      </c>
      <c r="B22" s="9" t="s">
        <v>1898</v>
      </c>
      <c r="C22" s="9" t="s">
        <v>1760</v>
      </c>
      <c r="D22" s="25" t="s">
        <v>1003</v>
      </c>
      <c r="E22" s="10">
        <f t="shared" si="0"/>
        <v>871</v>
      </c>
      <c r="F22" s="20">
        <v>920</v>
      </c>
      <c r="I22" s="190"/>
      <c r="J22" s="190"/>
      <c r="K22" s="17"/>
      <c r="L22" s="14"/>
    </row>
    <row r="23" spans="1:12" x14ac:dyDescent="0.15">
      <c r="A23" s="9" t="s">
        <v>233</v>
      </c>
      <c r="B23" s="9" t="s">
        <v>1898</v>
      </c>
      <c r="C23" s="9" t="s">
        <v>1760</v>
      </c>
      <c r="D23" s="25" t="s">
        <v>1004</v>
      </c>
      <c r="E23" s="10">
        <f t="shared" si="0"/>
        <v>921</v>
      </c>
      <c r="F23" s="20">
        <v>980</v>
      </c>
      <c r="I23" s="190"/>
      <c r="J23" s="190"/>
      <c r="K23" s="17"/>
      <c r="L23" s="14"/>
    </row>
    <row r="24" spans="1:12" x14ac:dyDescent="0.15">
      <c r="A24" s="9" t="s">
        <v>233</v>
      </c>
      <c r="B24" s="9" t="s">
        <v>1898</v>
      </c>
      <c r="C24" s="9" t="s">
        <v>1760</v>
      </c>
      <c r="D24" s="25" t="s">
        <v>1005</v>
      </c>
      <c r="E24" s="10">
        <f t="shared" si="0"/>
        <v>981</v>
      </c>
      <c r="F24" s="20">
        <v>1040</v>
      </c>
      <c r="I24" s="190"/>
      <c r="J24" s="190"/>
      <c r="K24" s="17"/>
      <c r="L24" s="14"/>
    </row>
    <row r="25" spans="1:12" x14ac:dyDescent="0.15">
      <c r="A25" s="9" t="s">
        <v>233</v>
      </c>
      <c r="B25" s="9" t="s">
        <v>1898</v>
      </c>
      <c r="C25" s="9" t="s">
        <v>1760</v>
      </c>
      <c r="D25" s="25" t="s">
        <v>1006</v>
      </c>
      <c r="E25" s="10">
        <f t="shared" si="0"/>
        <v>1041</v>
      </c>
      <c r="F25" s="20">
        <v>1100</v>
      </c>
      <c r="I25" s="190"/>
      <c r="J25" s="190"/>
      <c r="K25" s="17"/>
      <c r="L25" s="14"/>
    </row>
    <row r="26" spans="1:12" x14ac:dyDescent="0.15">
      <c r="A26" s="9" t="s">
        <v>233</v>
      </c>
      <c r="B26" s="9" t="s">
        <v>1898</v>
      </c>
      <c r="C26" s="9" t="s">
        <v>1760</v>
      </c>
      <c r="D26" s="25" t="s">
        <v>1007</v>
      </c>
      <c r="E26" s="10">
        <f t="shared" si="0"/>
        <v>1101</v>
      </c>
      <c r="F26" s="20">
        <v>1160</v>
      </c>
      <c r="I26" s="190"/>
      <c r="J26" s="190"/>
      <c r="K26" s="17"/>
      <c r="L26" s="14"/>
    </row>
    <row r="27" spans="1:12" s="32" customFormat="1" x14ac:dyDescent="0.15">
      <c r="A27" s="32" t="s">
        <v>233</v>
      </c>
      <c r="B27" s="32" t="s">
        <v>1899</v>
      </c>
      <c r="C27" s="32" t="s">
        <v>1760</v>
      </c>
      <c r="D27" s="77" t="s">
        <v>1008</v>
      </c>
      <c r="E27" s="11">
        <f t="shared" si="0"/>
        <v>1161</v>
      </c>
      <c r="F27" s="19">
        <v>1220</v>
      </c>
      <c r="G27" s="14">
        <v>2.5</v>
      </c>
      <c r="H27" s="14">
        <v>0.4</v>
      </c>
      <c r="I27" s="190">
        <v>2.5</v>
      </c>
      <c r="J27" s="190">
        <v>1.1499999999999999</v>
      </c>
      <c r="K27" s="17">
        <v>0.75</v>
      </c>
      <c r="L27" s="14">
        <v>0.9</v>
      </c>
    </row>
    <row r="28" spans="1:12" x14ac:dyDescent="0.15">
      <c r="A28" s="9" t="s">
        <v>233</v>
      </c>
      <c r="B28" s="9" t="s">
        <v>1899</v>
      </c>
      <c r="C28" s="9" t="s">
        <v>1760</v>
      </c>
      <c r="D28" s="25" t="s">
        <v>1009</v>
      </c>
      <c r="E28" s="10">
        <f t="shared" si="0"/>
        <v>1221</v>
      </c>
      <c r="F28" s="20">
        <v>1280</v>
      </c>
      <c r="G28" s="24"/>
      <c r="H28" s="24"/>
      <c r="I28" s="195"/>
      <c r="J28" s="190"/>
      <c r="K28" s="17"/>
      <c r="L28" s="14"/>
    </row>
    <row r="29" spans="1:12" x14ac:dyDescent="0.15">
      <c r="A29" s="9" t="s">
        <v>233</v>
      </c>
      <c r="B29" s="9" t="s">
        <v>1899</v>
      </c>
      <c r="C29" s="9" t="s">
        <v>1760</v>
      </c>
      <c r="D29" s="25" t="s">
        <v>1010</v>
      </c>
      <c r="E29" s="10">
        <f t="shared" si="0"/>
        <v>1281</v>
      </c>
      <c r="F29" s="20">
        <v>1340</v>
      </c>
      <c r="I29" s="190"/>
      <c r="J29" s="190"/>
      <c r="K29" s="17"/>
      <c r="L29" s="14"/>
    </row>
    <row r="30" spans="1:12" x14ac:dyDescent="0.15">
      <c r="A30" s="9" t="s">
        <v>233</v>
      </c>
      <c r="B30" s="9" t="s">
        <v>1899</v>
      </c>
      <c r="C30" s="9" t="s">
        <v>1760</v>
      </c>
      <c r="D30" s="25" t="s">
        <v>1011</v>
      </c>
      <c r="E30" s="10">
        <f t="shared" si="0"/>
        <v>1341</v>
      </c>
      <c r="F30" s="20">
        <v>1400</v>
      </c>
      <c r="I30" s="190"/>
      <c r="J30" s="190"/>
      <c r="K30" s="17"/>
      <c r="L30" s="14"/>
    </row>
    <row r="31" spans="1:12" x14ac:dyDescent="0.15">
      <c r="A31" s="9" t="s">
        <v>233</v>
      </c>
      <c r="B31" s="9" t="s">
        <v>1899</v>
      </c>
      <c r="C31" s="9" t="s">
        <v>1760</v>
      </c>
      <c r="D31" s="25" t="s">
        <v>1012</v>
      </c>
      <c r="E31" s="10">
        <f t="shared" si="0"/>
        <v>1401</v>
      </c>
      <c r="F31" s="20">
        <v>1640</v>
      </c>
      <c r="I31" s="190"/>
      <c r="J31" s="190"/>
      <c r="K31" s="17"/>
      <c r="L31" s="14"/>
    </row>
    <row r="32" spans="1:12" x14ac:dyDescent="0.15">
      <c r="A32" s="9" t="s">
        <v>233</v>
      </c>
      <c r="B32" s="9" t="s">
        <v>1899</v>
      </c>
      <c r="C32" s="9" t="s">
        <v>1760</v>
      </c>
      <c r="D32" s="194" t="s">
        <v>1013</v>
      </c>
      <c r="E32" s="10">
        <f t="shared" si="0"/>
        <v>1641</v>
      </c>
      <c r="F32" s="37">
        <v>1520</v>
      </c>
      <c r="I32" s="190"/>
      <c r="J32" s="190"/>
      <c r="K32" s="17"/>
      <c r="L32" s="14"/>
    </row>
    <row r="33" spans="1:12" x14ac:dyDescent="0.15">
      <c r="A33" s="9" t="s">
        <v>233</v>
      </c>
      <c r="B33" s="9" t="s">
        <v>1899</v>
      </c>
      <c r="C33" s="9" t="s">
        <v>1760</v>
      </c>
      <c r="D33" s="25" t="s">
        <v>1014</v>
      </c>
      <c r="E33" s="10">
        <f t="shared" si="0"/>
        <v>1521</v>
      </c>
      <c r="F33" s="20">
        <v>1580</v>
      </c>
      <c r="I33" s="190"/>
      <c r="J33" s="190"/>
      <c r="K33" s="17"/>
      <c r="L33" s="14"/>
    </row>
    <row r="34" spans="1:12" x14ac:dyDescent="0.15">
      <c r="A34" s="9" t="s">
        <v>233</v>
      </c>
      <c r="B34" s="9" t="s">
        <v>1899</v>
      </c>
      <c r="C34" s="9" t="s">
        <v>1760</v>
      </c>
      <c r="D34" s="25" t="s">
        <v>1015</v>
      </c>
      <c r="E34" s="10">
        <f t="shared" si="0"/>
        <v>1581</v>
      </c>
      <c r="F34" s="20">
        <v>1640</v>
      </c>
      <c r="I34" s="190"/>
      <c r="J34" s="190"/>
      <c r="K34" s="17"/>
      <c r="L34" s="14"/>
    </row>
    <row r="35" spans="1:12" x14ac:dyDescent="0.15">
      <c r="A35" s="9" t="s">
        <v>233</v>
      </c>
      <c r="B35" s="9" t="s">
        <v>1899</v>
      </c>
      <c r="C35" s="9" t="s">
        <v>1760</v>
      </c>
      <c r="D35" s="25" t="s">
        <v>1016</v>
      </c>
      <c r="E35" s="10">
        <f t="shared" si="0"/>
        <v>1641</v>
      </c>
      <c r="F35" s="20">
        <v>1700</v>
      </c>
      <c r="I35" s="190"/>
      <c r="J35" s="190"/>
      <c r="K35" s="17"/>
      <c r="L35" s="14"/>
    </row>
    <row r="36" spans="1:12" x14ac:dyDescent="0.15">
      <c r="A36" s="9" t="s">
        <v>233</v>
      </c>
      <c r="B36" s="9" t="s">
        <v>1899</v>
      </c>
      <c r="C36" s="9" t="s">
        <v>1760</v>
      </c>
      <c r="D36" s="25" t="s">
        <v>1017</v>
      </c>
      <c r="E36" s="10">
        <f t="shared" si="0"/>
        <v>1701</v>
      </c>
      <c r="F36" s="20">
        <v>1800</v>
      </c>
      <c r="I36" s="190"/>
      <c r="J36" s="190"/>
      <c r="K36" s="17"/>
      <c r="L36" s="14"/>
    </row>
    <row r="37" spans="1:12" x14ac:dyDescent="0.15">
      <c r="A37" s="32" t="s">
        <v>233</v>
      </c>
      <c r="B37" s="32" t="s">
        <v>1900</v>
      </c>
      <c r="C37" s="32" t="s">
        <v>1761</v>
      </c>
      <c r="D37" s="77" t="s">
        <v>1018</v>
      </c>
      <c r="E37" s="11">
        <f t="shared" si="0"/>
        <v>1801</v>
      </c>
      <c r="F37" s="19">
        <v>1850</v>
      </c>
      <c r="G37" s="14">
        <v>2</v>
      </c>
      <c r="H37" s="14">
        <v>0.3</v>
      </c>
      <c r="I37" s="190">
        <v>2</v>
      </c>
      <c r="J37" s="190">
        <v>1.1000000000000001</v>
      </c>
      <c r="K37" s="17">
        <v>0.75</v>
      </c>
      <c r="L37" s="14">
        <v>0.65</v>
      </c>
    </row>
    <row r="38" spans="1:12" x14ac:dyDescent="0.15">
      <c r="A38" s="9" t="s">
        <v>233</v>
      </c>
      <c r="B38" s="9" t="s">
        <v>1900</v>
      </c>
      <c r="C38" s="9" t="s">
        <v>1761</v>
      </c>
      <c r="D38" s="25" t="s">
        <v>1019</v>
      </c>
      <c r="E38" s="10">
        <f t="shared" si="0"/>
        <v>1851</v>
      </c>
      <c r="F38" s="20">
        <v>1900</v>
      </c>
      <c r="G38" s="24"/>
      <c r="H38" s="24"/>
      <c r="I38" s="195"/>
      <c r="J38" s="190"/>
      <c r="K38" s="17"/>
      <c r="L38" s="14"/>
    </row>
    <row r="39" spans="1:12" x14ac:dyDescent="0.15">
      <c r="A39" s="9" t="s">
        <v>233</v>
      </c>
      <c r="B39" s="9" t="s">
        <v>1900</v>
      </c>
      <c r="C39" s="9" t="s">
        <v>1761</v>
      </c>
      <c r="D39" s="25" t="s">
        <v>1020</v>
      </c>
      <c r="E39" s="10">
        <f t="shared" si="0"/>
        <v>1901</v>
      </c>
      <c r="F39" s="20">
        <v>1950</v>
      </c>
      <c r="I39" s="190"/>
      <c r="J39" s="190"/>
      <c r="K39" s="17"/>
      <c r="L39" s="14"/>
    </row>
    <row r="40" spans="1:12" s="32" customFormat="1" x14ac:dyDescent="0.15">
      <c r="A40" s="32" t="s">
        <v>233</v>
      </c>
      <c r="B40" s="32" t="s">
        <v>1859</v>
      </c>
      <c r="C40" s="32" t="s">
        <v>1761</v>
      </c>
      <c r="D40" s="77" t="s">
        <v>1036</v>
      </c>
      <c r="E40" s="11">
        <f t="shared" si="0"/>
        <v>1951</v>
      </c>
      <c r="F40" s="19">
        <v>2000</v>
      </c>
      <c r="G40" s="14">
        <v>1.5</v>
      </c>
      <c r="H40" s="14">
        <v>0.25</v>
      </c>
      <c r="I40" s="190">
        <v>1.2</v>
      </c>
      <c r="J40" s="190">
        <v>0.85</v>
      </c>
      <c r="K40" s="17">
        <v>0.7</v>
      </c>
      <c r="L40" s="14">
        <v>0.6</v>
      </c>
    </row>
    <row r="41" spans="1:12" x14ac:dyDescent="0.15">
      <c r="A41" s="9" t="s">
        <v>233</v>
      </c>
      <c r="B41" s="9" t="s">
        <v>1859</v>
      </c>
      <c r="C41" s="9" t="s">
        <v>1761</v>
      </c>
      <c r="D41" s="25" t="s">
        <v>1021</v>
      </c>
      <c r="E41" s="10">
        <f t="shared" si="0"/>
        <v>2001</v>
      </c>
      <c r="F41" s="20">
        <v>2040</v>
      </c>
      <c r="G41" s="24"/>
      <c r="H41" s="24"/>
      <c r="I41" s="195"/>
      <c r="J41" s="190"/>
      <c r="K41" s="17"/>
      <c r="L41" s="14"/>
    </row>
    <row r="42" spans="1:12" x14ac:dyDescent="0.15">
      <c r="A42" s="9" t="s">
        <v>233</v>
      </c>
      <c r="B42" s="9" t="s">
        <v>1859</v>
      </c>
      <c r="C42" s="9" t="s">
        <v>1761</v>
      </c>
      <c r="D42" s="25" t="s">
        <v>1022</v>
      </c>
      <c r="E42" s="10">
        <f t="shared" si="0"/>
        <v>2041</v>
      </c>
      <c r="F42" s="20">
        <v>2080</v>
      </c>
      <c r="I42" s="190"/>
      <c r="J42" s="190"/>
      <c r="K42" s="17"/>
      <c r="L42" s="14"/>
    </row>
    <row r="43" spans="1:12" x14ac:dyDescent="0.15">
      <c r="A43" s="9" t="s">
        <v>233</v>
      </c>
      <c r="B43" s="9" t="s">
        <v>1859</v>
      </c>
      <c r="C43" s="9" t="s">
        <v>1761</v>
      </c>
      <c r="D43" s="25" t="s">
        <v>1023</v>
      </c>
      <c r="E43" s="10">
        <f t="shared" si="0"/>
        <v>2081</v>
      </c>
      <c r="F43" s="20">
        <v>2120</v>
      </c>
      <c r="I43" s="190"/>
      <c r="J43" s="190"/>
      <c r="K43" s="17"/>
      <c r="L43" s="14"/>
    </row>
    <row r="44" spans="1:12" x14ac:dyDescent="0.15">
      <c r="A44" s="9" t="s">
        <v>233</v>
      </c>
      <c r="B44" s="9" t="s">
        <v>1859</v>
      </c>
      <c r="C44" s="9" t="s">
        <v>1761</v>
      </c>
      <c r="D44" s="179" t="s">
        <v>1024</v>
      </c>
      <c r="E44" s="10">
        <f t="shared" si="0"/>
        <v>2121</v>
      </c>
      <c r="F44" s="184">
        <v>2140</v>
      </c>
      <c r="I44" s="190"/>
      <c r="J44" s="190"/>
      <c r="K44" s="17"/>
      <c r="L44" s="14"/>
    </row>
    <row r="45" spans="1:12" x14ac:dyDescent="0.15">
      <c r="A45" s="9" t="s">
        <v>233</v>
      </c>
      <c r="B45" s="9" t="s">
        <v>1859</v>
      </c>
      <c r="C45" s="9" t="s">
        <v>1761</v>
      </c>
      <c r="D45" s="25" t="s">
        <v>1037</v>
      </c>
      <c r="E45" s="10">
        <f t="shared" si="0"/>
        <v>2141</v>
      </c>
      <c r="F45" s="20">
        <v>2160</v>
      </c>
      <c r="I45" s="190"/>
      <c r="J45" s="190"/>
      <c r="K45" s="17"/>
      <c r="L45" s="14"/>
    </row>
    <row r="46" spans="1:12" x14ac:dyDescent="0.15">
      <c r="A46" s="9" t="s">
        <v>233</v>
      </c>
      <c r="B46" s="9" t="s">
        <v>1859</v>
      </c>
      <c r="C46" s="9" t="s">
        <v>1761</v>
      </c>
      <c r="D46" s="25" t="s">
        <v>521</v>
      </c>
      <c r="E46" s="10">
        <f t="shared" si="0"/>
        <v>2161</v>
      </c>
      <c r="F46" s="20">
        <v>2180</v>
      </c>
      <c r="I46" s="190"/>
      <c r="J46" s="190"/>
      <c r="K46" s="17"/>
      <c r="L46" s="14"/>
    </row>
    <row r="47" spans="1:12" s="32" customFormat="1" x14ac:dyDescent="0.15">
      <c r="A47" s="32" t="s">
        <v>233</v>
      </c>
      <c r="B47" s="32" t="s">
        <v>1854</v>
      </c>
      <c r="C47" s="32" t="s">
        <v>1761</v>
      </c>
      <c r="D47" s="77" t="s">
        <v>1029</v>
      </c>
      <c r="E47" s="11">
        <f t="shared" si="0"/>
        <v>2181</v>
      </c>
      <c r="F47" s="19">
        <v>2220</v>
      </c>
      <c r="G47" s="14">
        <v>1</v>
      </c>
      <c r="H47" s="14">
        <v>0.15</v>
      </c>
      <c r="I47" s="190">
        <v>0.8</v>
      </c>
      <c r="J47" s="190">
        <v>0.65</v>
      </c>
      <c r="K47" s="17">
        <v>0.65</v>
      </c>
      <c r="L47" s="14">
        <v>0.45</v>
      </c>
    </row>
    <row r="48" spans="1:12" x14ac:dyDescent="0.15">
      <c r="A48" s="9" t="s">
        <v>233</v>
      </c>
      <c r="B48" s="9" t="s">
        <v>1854</v>
      </c>
      <c r="C48" s="9" t="s">
        <v>1761</v>
      </c>
      <c r="D48" s="25" t="s">
        <v>1038</v>
      </c>
      <c r="E48" s="10">
        <f t="shared" si="0"/>
        <v>2221</v>
      </c>
      <c r="F48" s="20">
        <v>2280</v>
      </c>
      <c r="G48" s="24"/>
      <c r="H48" s="24"/>
      <c r="I48" s="195"/>
      <c r="J48" s="190"/>
      <c r="K48" s="17"/>
      <c r="L48" s="14"/>
    </row>
    <row r="49" spans="1:12" x14ac:dyDescent="0.15">
      <c r="A49" s="9" t="s">
        <v>233</v>
      </c>
      <c r="B49" s="9" t="s">
        <v>1854</v>
      </c>
      <c r="C49" s="9" t="s">
        <v>1761</v>
      </c>
      <c r="D49" s="25" t="s">
        <v>1030</v>
      </c>
      <c r="E49" s="10">
        <f t="shared" si="0"/>
        <v>2281</v>
      </c>
      <c r="F49" s="20">
        <v>2340</v>
      </c>
      <c r="I49" s="190"/>
      <c r="J49" s="190"/>
      <c r="K49" s="17"/>
      <c r="L49" s="14"/>
    </row>
    <row r="50" spans="1:12" x14ac:dyDescent="0.15">
      <c r="A50" s="9" t="s">
        <v>233</v>
      </c>
      <c r="B50" s="9" t="s">
        <v>1854</v>
      </c>
      <c r="C50" s="9" t="s">
        <v>1761</v>
      </c>
      <c r="D50" s="25" t="s">
        <v>1039</v>
      </c>
      <c r="E50" s="10">
        <f t="shared" si="0"/>
        <v>2341</v>
      </c>
      <c r="F50" s="20">
        <v>2400</v>
      </c>
      <c r="I50" s="190"/>
      <c r="J50" s="190"/>
      <c r="K50" s="17"/>
      <c r="L50" s="14"/>
    </row>
    <row r="51" spans="1:12" x14ac:dyDescent="0.15">
      <c r="A51" s="9" t="s">
        <v>233</v>
      </c>
      <c r="B51" s="9" t="s">
        <v>1854</v>
      </c>
      <c r="C51" s="9" t="s">
        <v>1761</v>
      </c>
      <c r="D51" s="194" t="s">
        <v>1031</v>
      </c>
      <c r="E51" s="10">
        <f t="shared" si="0"/>
        <v>2401</v>
      </c>
      <c r="F51" s="37">
        <v>2460</v>
      </c>
      <c r="I51" s="190"/>
      <c r="J51" s="190"/>
      <c r="K51" s="17"/>
      <c r="L51" s="14"/>
    </row>
    <row r="52" spans="1:12" s="32" customFormat="1" x14ac:dyDescent="0.15">
      <c r="A52" s="32" t="s">
        <v>233</v>
      </c>
      <c r="B52" s="32" t="s">
        <v>1860</v>
      </c>
      <c r="C52" s="32" t="s">
        <v>1762</v>
      </c>
      <c r="D52" s="77" t="s">
        <v>1032</v>
      </c>
      <c r="E52" s="11">
        <f t="shared" si="0"/>
        <v>2461</v>
      </c>
      <c r="F52" s="19">
        <v>2500</v>
      </c>
      <c r="G52" s="14">
        <v>0.3</v>
      </c>
      <c r="H52" s="14">
        <v>0.05</v>
      </c>
      <c r="I52" s="190">
        <v>0.3</v>
      </c>
      <c r="J52" s="190">
        <v>0.5</v>
      </c>
      <c r="K52" s="17">
        <v>0.6</v>
      </c>
      <c r="L52" s="14">
        <v>0.3</v>
      </c>
    </row>
    <row r="53" spans="1:12" x14ac:dyDescent="0.15">
      <c r="A53" s="9" t="s">
        <v>233</v>
      </c>
      <c r="B53" s="9" t="s">
        <v>1860</v>
      </c>
      <c r="C53" s="9" t="s">
        <v>1762</v>
      </c>
      <c r="D53" s="25" t="s">
        <v>1033</v>
      </c>
      <c r="E53" s="10">
        <f t="shared" si="0"/>
        <v>2501</v>
      </c>
      <c r="F53" s="20">
        <v>2450</v>
      </c>
      <c r="G53" s="24"/>
      <c r="H53" s="24"/>
      <c r="I53" s="195"/>
      <c r="J53" s="190"/>
      <c r="K53" s="17"/>
      <c r="L53" s="14"/>
    </row>
    <row r="54" spans="1:12" x14ac:dyDescent="0.15">
      <c r="A54" s="9" t="s">
        <v>233</v>
      </c>
      <c r="B54" s="9" t="s">
        <v>1860</v>
      </c>
      <c r="C54" s="9" t="s">
        <v>1762</v>
      </c>
      <c r="D54" s="25" t="s">
        <v>1034</v>
      </c>
      <c r="E54" s="10">
        <f t="shared" si="0"/>
        <v>2451</v>
      </c>
      <c r="F54" s="20">
        <v>2600</v>
      </c>
      <c r="I54" s="190"/>
      <c r="J54" s="190"/>
      <c r="K54" s="17"/>
      <c r="L54" s="14"/>
    </row>
    <row r="55" spans="1:12" s="32" customFormat="1" x14ac:dyDescent="0.15">
      <c r="A55" s="32" t="s">
        <v>233</v>
      </c>
      <c r="B55" s="32" t="s">
        <v>1855</v>
      </c>
      <c r="C55" s="32" t="s">
        <v>1855</v>
      </c>
      <c r="D55" s="77" t="s">
        <v>1025</v>
      </c>
      <c r="E55" s="11">
        <f t="shared" si="0"/>
        <v>2601</v>
      </c>
      <c r="F55" s="19">
        <v>2650</v>
      </c>
      <c r="G55" s="14">
        <v>0.05</v>
      </c>
      <c r="H55" s="14">
        <v>0.01</v>
      </c>
      <c r="I55" s="190">
        <v>0.05</v>
      </c>
      <c r="J55" s="190">
        <v>0.3</v>
      </c>
      <c r="K55" s="17">
        <v>0.6</v>
      </c>
      <c r="L55" s="14">
        <v>0.15</v>
      </c>
    </row>
    <row r="56" spans="1:12" x14ac:dyDescent="0.15">
      <c r="A56" s="9" t="s">
        <v>233</v>
      </c>
      <c r="B56" s="9" t="s">
        <v>1855</v>
      </c>
      <c r="C56" s="9" t="s">
        <v>1855</v>
      </c>
      <c r="D56" s="25" t="s">
        <v>1040</v>
      </c>
      <c r="E56" s="10">
        <f t="shared" si="0"/>
        <v>2651</v>
      </c>
      <c r="F56" s="20">
        <v>2700</v>
      </c>
      <c r="I56" s="190"/>
      <c r="J56" s="190"/>
      <c r="K56" s="17"/>
      <c r="L56" s="14"/>
    </row>
    <row r="57" spans="1:12" x14ac:dyDescent="0.15">
      <c r="A57" s="9" t="s">
        <v>233</v>
      </c>
      <c r="B57" s="9" t="s">
        <v>1855</v>
      </c>
      <c r="C57" s="9" t="s">
        <v>1855</v>
      </c>
      <c r="D57" s="25" t="s">
        <v>1041</v>
      </c>
      <c r="E57" s="10">
        <f t="shared" si="0"/>
        <v>2701</v>
      </c>
      <c r="F57" s="20">
        <v>2750</v>
      </c>
      <c r="I57" s="190"/>
      <c r="J57" s="190"/>
      <c r="K57" s="17"/>
      <c r="L57" s="14"/>
    </row>
    <row r="58" spans="1:12" x14ac:dyDescent="0.15">
      <c r="A58" s="9" t="s">
        <v>233</v>
      </c>
      <c r="B58" s="9" t="s">
        <v>1855</v>
      </c>
      <c r="C58" s="9" t="s">
        <v>1855</v>
      </c>
      <c r="D58" s="25" t="s">
        <v>1026</v>
      </c>
      <c r="E58" s="10">
        <f t="shared" si="0"/>
        <v>2751</v>
      </c>
      <c r="F58" s="20">
        <v>2790</v>
      </c>
      <c r="I58" s="190"/>
      <c r="J58" s="190"/>
      <c r="K58" s="17"/>
      <c r="L58" s="14"/>
    </row>
    <row r="59" spans="1:12" x14ac:dyDescent="0.15">
      <c r="A59" s="9" t="s">
        <v>233</v>
      </c>
      <c r="B59" s="9" t="s">
        <v>1855</v>
      </c>
      <c r="C59" s="9" t="s">
        <v>1855</v>
      </c>
      <c r="D59" s="25" t="s">
        <v>456</v>
      </c>
      <c r="E59" s="10">
        <f t="shared" si="0"/>
        <v>2791</v>
      </c>
      <c r="F59" s="20">
        <v>2800</v>
      </c>
      <c r="I59" s="190"/>
      <c r="J59" s="190"/>
      <c r="K59" s="17"/>
      <c r="L59" s="14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5129-212E-4402-8EBB-BD1FAFDAE383}">
  <sheetPr>
    <tabColor rgb="FFFFFF00"/>
  </sheetPr>
  <dimension ref="A1:L50"/>
  <sheetViews>
    <sheetView workbookViewId="0">
      <selection activeCell="L48" sqref="L48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s="32" customFormat="1" x14ac:dyDescent="0.15">
      <c r="A2" s="100" t="s">
        <v>247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20</v>
      </c>
      <c r="G2" s="101">
        <v>0.02</v>
      </c>
      <c r="H2" s="101">
        <v>5.0000000000000001E-3</v>
      </c>
      <c r="I2" s="186">
        <v>0.02</v>
      </c>
      <c r="J2" s="186">
        <v>0.25</v>
      </c>
      <c r="K2" s="186">
        <v>0.5</v>
      </c>
      <c r="L2" s="101">
        <v>0.85</v>
      </c>
    </row>
    <row r="3" spans="1:12" x14ac:dyDescent="0.15">
      <c r="A3" s="98" t="s">
        <v>247</v>
      </c>
      <c r="B3" s="98" t="s">
        <v>1759</v>
      </c>
      <c r="C3" s="98" t="s">
        <v>1759</v>
      </c>
      <c r="D3" s="179" t="s">
        <v>374</v>
      </c>
      <c r="E3" s="12">
        <f>F2+1</f>
        <v>21</v>
      </c>
      <c r="F3" s="184">
        <v>40</v>
      </c>
      <c r="G3" s="102"/>
      <c r="H3" s="102"/>
      <c r="I3" s="187"/>
      <c r="J3" s="186"/>
      <c r="K3" s="186"/>
      <c r="L3" s="101"/>
    </row>
    <row r="4" spans="1:12" x14ac:dyDescent="0.15">
      <c r="A4" s="98" t="s">
        <v>247</v>
      </c>
      <c r="B4" s="98" t="s">
        <v>1759</v>
      </c>
      <c r="C4" s="98" t="s">
        <v>1759</v>
      </c>
      <c r="D4" s="179" t="s">
        <v>375</v>
      </c>
      <c r="E4" s="12">
        <f t="shared" ref="E4:E50" si="0">F3+1</f>
        <v>41</v>
      </c>
      <c r="F4" s="184">
        <v>60</v>
      </c>
      <c r="G4" s="101"/>
      <c r="H4" s="101"/>
      <c r="I4" s="186"/>
      <c r="J4" s="186"/>
      <c r="K4" s="186"/>
      <c r="L4" s="101"/>
    </row>
    <row r="5" spans="1:12" x14ac:dyDescent="0.15">
      <c r="A5" s="98" t="s">
        <v>247</v>
      </c>
      <c r="B5" s="98" t="s">
        <v>1759</v>
      </c>
      <c r="C5" s="98" t="s">
        <v>1759</v>
      </c>
      <c r="D5" s="179" t="s">
        <v>414</v>
      </c>
      <c r="E5" s="12">
        <f t="shared" si="0"/>
        <v>61</v>
      </c>
      <c r="F5" s="184">
        <v>80</v>
      </c>
      <c r="G5" s="101"/>
      <c r="H5" s="101"/>
      <c r="I5" s="186"/>
      <c r="J5" s="186"/>
      <c r="K5" s="186"/>
      <c r="L5" s="101"/>
    </row>
    <row r="6" spans="1:12" x14ac:dyDescent="0.15">
      <c r="A6" s="98" t="s">
        <v>247</v>
      </c>
      <c r="B6" s="98" t="s">
        <v>1759</v>
      </c>
      <c r="C6" s="98" t="s">
        <v>1759</v>
      </c>
      <c r="D6" s="179" t="s">
        <v>415</v>
      </c>
      <c r="E6" s="12">
        <f t="shared" si="0"/>
        <v>81</v>
      </c>
      <c r="F6" s="184">
        <v>95</v>
      </c>
      <c r="G6" s="101"/>
      <c r="H6" s="101"/>
      <c r="I6" s="186"/>
      <c r="J6" s="186"/>
      <c r="K6" s="186"/>
      <c r="L6" s="101"/>
    </row>
    <row r="7" spans="1:12" x14ac:dyDescent="0.15">
      <c r="A7" s="98" t="s">
        <v>247</v>
      </c>
      <c r="B7" s="98" t="s">
        <v>1759</v>
      </c>
      <c r="C7" s="98" t="s">
        <v>1759</v>
      </c>
      <c r="D7" s="179" t="s">
        <v>416</v>
      </c>
      <c r="E7" s="12">
        <f t="shared" si="0"/>
        <v>96</v>
      </c>
      <c r="F7" s="184">
        <v>105</v>
      </c>
      <c r="G7" s="101"/>
      <c r="H7" s="101"/>
      <c r="I7" s="186"/>
      <c r="J7" s="186"/>
      <c r="K7" s="186"/>
      <c r="L7" s="101"/>
    </row>
    <row r="8" spans="1:12" x14ac:dyDescent="0.15">
      <c r="A8" s="98" t="s">
        <v>247</v>
      </c>
      <c r="B8" s="98" t="s">
        <v>1759</v>
      </c>
      <c r="C8" s="98" t="s">
        <v>1759</v>
      </c>
      <c r="D8" s="179" t="s">
        <v>417</v>
      </c>
      <c r="E8" s="12">
        <f t="shared" si="0"/>
        <v>106</v>
      </c>
      <c r="F8" s="184">
        <v>120</v>
      </c>
      <c r="G8" s="101"/>
      <c r="H8" s="101"/>
      <c r="I8" s="186"/>
      <c r="J8" s="186"/>
      <c r="K8" s="186"/>
      <c r="L8" s="101"/>
    </row>
    <row r="9" spans="1:12" s="32" customFormat="1" x14ac:dyDescent="0.15">
      <c r="A9" s="100" t="s">
        <v>247</v>
      </c>
      <c r="B9" s="100" t="s">
        <v>1885</v>
      </c>
      <c r="C9" s="100" t="s">
        <v>1760</v>
      </c>
      <c r="D9" s="177" t="s">
        <v>380</v>
      </c>
      <c r="E9" s="216">
        <f t="shared" si="0"/>
        <v>121</v>
      </c>
      <c r="F9" s="217">
        <v>160</v>
      </c>
      <c r="G9" s="101">
        <v>0.5</v>
      </c>
      <c r="H9" s="101">
        <v>0.1</v>
      </c>
      <c r="I9" s="186">
        <v>0.5</v>
      </c>
      <c r="J9" s="186">
        <v>0.45</v>
      </c>
      <c r="K9" s="186">
        <v>0.55000000000000004</v>
      </c>
      <c r="L9" s="101">
        <v>0.65</v>
      </c>
    </row>
    <row r="10" spans="1:12" x14ac:dyDescent="0.15">
      <c r="A10" s="98" t="s">
        <v>247</v>
      </c>
      <c r="B10" s="98" t="s">
        <v>1885</v>
      </c>
      <c r="C10" s="98" t="s">
        <v>1760</v>
      </c>
      <c r="D10" s="179" t="s">
        <v>418</v>
      </c>
      <c r="E10" s="12">
        <f t="shared" si="0"/>
        <v>161</v>
      </c>
      <c r="F10" s="184">
        <v>210</v>
      </c>
      <c r="G10" s="102"/>
      <c r="H10" s="102"/>
      <c r="I10" s="187"/>
      <c r="J10" s="186"/>
      <c r="K10" s="186"/>
      <c r="L10" s="101"/>
    </row>
    <row r="11" spans="1:12" x14ac:dyDescent="0.15">
      <c r="A11" s="98" t="s">
        <v>247</v>
      </c>
      <c r="B11" s="98" t="s">
        <v>1885</v>
      </c>
      <c r="C11" s="98" t="s">
        <v>1760</v>
      </c>
      <c r="D11" s="179" t="s">
        <v>419</v>
      </c>
      <c r="E11" s="12">
        <f t="shared" si="0"/>
        <v>211</v>
      </c>
      <c r="F11" s="184">
        <v>260</v>
      </c>
      <c r="G11" s="101"/>
      <c r="H11" s="101"/>
      <c r="I11" s="186"/>
      <c r="J11" s="186"/>
      <c r="K11" s="186"/>
      <c r="L11" s="101"/>
    </row>
    <row r="12" spans="1:12" x14ac:dyDescent="0.15">
      <c r="A12" s="98" t="s">
        <v>247</v>
      </c>
      <c r="B12" s="98" t="s">
        <v>1885</v>
      </c>
      <c r="C12" s="98" t="s">
        <v>1760</v>
      </c>
      <c r="D12" s="179" t="s">
        <v>538</v>
      </c>
      <c r="E12" s="12">
        <f t="shared" si="0"/>
        <v>261</v>
      </c>
      <c r="F12" s="184">
        <v>330</v>
      </c>
      <c r="G12" s="101"/>
      <c r="H12" s="101"/>
      <c r="I12" s="186"/>
      <c r="J12" s="186"/>
      <c r="K12" s="186"/>
      <c r="L12" s="101"/>
    </row>
    <row r="13" spans="1:12" s="32" customFormat="1" x14ac:dyDescent="0.15">
      <c r="A13" s="100" t="s">
        <v>247</v>
      </c>
      <c r="B13" s="100" t="s">
        <v>1888</v>
      </c>
      <c r="C13" s="100" t="s">
        <v>1760</v>
      </c>
      <c r="D13" s="177" t="s">
        <v>731</v>
      </c>
      <c r="E13" s="216">
        <f t="shared" si="0"/>
        <v>331</v>
      </c>
      <c r="F13" s="217">
        <v>380</v>
      </c>
      <c r="G13" s="101">
        <v>1.5</v>
      </c>
      <c r="H13" s="101">
        <v>0.3</v>
      </c>
      <c r="I13" s="186">
        <v>1</v>
      </c>
      <c r="J13" s="186">
        <v>0.9</v>
      </c>
      <c r="K13" s="186">
        <v>0.65</v>
      </c>
      <c r="L13" s="101">
        <v>0.88</v>
      </c>
    </row>
    <row r="14" spans="1:12" x14ac:dyDescent="0.15">
      <c r="A14" s="98" t="s">
        <v>247</v>
      </c>
      <c r="B14" s="98" t="s">
        <v>1888</v>
      </c>
      <c r="C14" s="98" t="s">
        <v>1760</v>
      </c>
      <c r="D14" s="179" t="s">
        <v>732</v>
      </c>
      <c r="E14" s="12">
        <f t="shared" si="0"/>
        <v>381</v>
      </c>
      <c r="F14" s="184">
        <v>430</v>
      </c>
      <c r="G14" s="102"/>
      <c r="H14" s="102"/>
      <c r="I14" s="187"/>
      <c r="J14" s="186"/>
      <c r="K14" s="186"/>
      <c r="L14" s="101"/>
    </row>
    <row r="15" spans="1:12" x14ac:dyDescent="0.15">
      <c r="A15" s="98" t="s">
        <v>247</v>
      </c>
      <c r="B15" s="98" t="s">
        <v>1888</v>
      </c>
      <c r="C15" s="98" t="s">
        <v>1760</v>
      </c>
      <c r="D15" s="179" t="s">
        <v>733</v>
      </c>
      <c r="E15" s="12">
        <f t="shared" si="0"/>
        <v>431</v>
      </c>
      <c r="F15" s="184">
        <v>475</v>
      </c>
      <c r="G15" s="101"/>
      <c r="H15" s="101"/>
      <c r="I15" s="186"/>
      <c r="J15" s="186"/>
      <c r="K15" s="186"/>
      <c r="L15" s="101"/>
    </row>
    <row r="16" spans="1:12" x14ac:dyDescent="0.15">
      <c r="A16" s="98" t="s">
        <v>247</v>
      </c>
      <c r="B16" s="98" t="s">
        <v>1888</v>
      </c>
      <c r="C16" s="98" t="s">
        <v>1760</v>
      </c>
      <c r="D16" s="179" t="s">
        <v>734</v>
      </c>
      <c r="E16" s="12">
        <f t="shared" si="0"/>
        <v>476</v>
      </c>
      <c r="F16" s="184">
        <v>520</v>
      </c>
      <c r="G16" s="101"/>
      <c r="H16" s="101"/>
      <c r="I16" s="186"/>
      <c r="J16" s="186"/>
      <c r="K16" s="186"/>
      <c r="L16" s="101"/>
    </row>
    <row r="17" spans="1:12" x14ac:dyDescent="0.15">
      <c r="A17" s="98" t="s">
        <v>247</v>
      </c>
      <c r="B17" s="98" t="s">
        <v>1888</v>
      </c>
      <c r="C17" s="98" t="s">
        <v>1760</v>
      </c>
      <c r="D17" s="179" t="s">
        <v>735</v>
      </c>
      <c r="E17" s="12">
        <f t="shared" si="0"/>
        <v>521</v>
      </c>
      <c r="F17" s="184">
        <v>565</v>
      </c>
      <c r="G17" s="101"/>
      <c r="H17" s="101"/>
      <c r="I17" s="186"/>
      <c r="J17" s="186"/>
      <c r="K17" s="186"/>
      <c r="L17" s="101"/>
    </row>
    <row r="18" spans="1:12" x14ac:dyDescent="0.15">
      <c r="A18" s="98" t="s">
        <v>247</v>
      </c>
      <c r="B18" s="98" t="s">
        <v>1888</v>
      </c>
      <c r="C18" s="98" t="s">
        <v>1760</v>
      </c>
      <c r="D18" s="179" t="s">
        <v>736</v>
      </c>
      <c r="E18" s="12">
        <f t="shared" si="0"/>
        <v>566</v>
      </c>
      <c r="F18" s="184">
        <v>510</v>
      </c>
      <c r="G18" s="101"/>
      <c r="H18" s="101"/>
      <c r="I18" s="186"/>
      <c r="J18" s="186"/>
      <c r="K18" s="186"/>
      <c r="L18" s="101"/>
    </row>
    <row r="19" spans="1:12" x14ac:dyDescent="0.15">
      <c r="A19" s="98" t="s">
        <v>247</v>
      </c>
      <c r="B19" s="98" t="s">
        <v>1888</v>
      </c>
      <c r="C19" s="98" t="s">
        <v>1760</v>
      </c>
      <c r="D19" s="179" t="s">
        <v>737</v>
      </c>
      <c r="E19" s="12">
        <f t="shared" si="0"/>
        <v>511</v>
      </c>
      <c r="F19" s="184">
        <v>655</v>
      </c>
      <c r="G19" s="101"/>
      <c r="H19" s="101"/>
      <c r="I19" s="186"/>
      <c r="J19" s="186"/>
      <c r="K19" s="186"/>
      <c r="L19" s="101"/>
    </row>
    <row r="20" spans="1:12" x14ac:dyDescent="0.15">
      <c r="A20" s="98" t="s">
        <v>247</v>
      </c>
      <c r="B20" s="98" t="s">
        <v>1888</v>
      </c>
      <c r="C20" s="98" t="s">
        <v>1760</v>
      </c>
      <c r="D20" s="179" t="s">
        <v>738</v>
      </c>
      <c r="E20" s="12">
        <f t="shared" si="0"/>
        <v>656</v>
      </c>
      <c r="F20" s="184">
        <v>700</v>
      </c>
      <c r="G20" s="101"/>
      <c r="H20" s="101"/>
      <c r="I20" s="186"/>
      <c r="J20" s="186"/>
      <c r="K20" s="186"/>
      <c r="L20" s="101"/>
    </row>
    <row r="21" spans="1:12" x14ac:dyDescent="0.15">
      <c r="A21" s="98" t="s">
        <v>247</v>
      </c>
      <c r="B21" s="98" t="s">
        <v>1888</v>
      </c>
      <c r="C21" s="98" t="s">
        <v>1760</v>
      </c>
      <c r="D21" s="179" t="s">
        <v>739</v>
      </c>
      <c r="E21" s="12">
        <f t="shared" si="0"/>
        <v>701</v>
      </c>
      <c r="F21" s="184">
        <v>760</v>
      </c>
      <c r="G21" s="101"/>
      <c r="H21" s="101"/>
      <c r="I21" s="186"/>
      <c r="J21" s="186"/>
      <c r="K21" s="186"/>
      <c r="L21" s="101"/>
    </row>
    <row r="22" spans="1:12" s="32" customFormat="1" x14ac:dyDescent="0.15">
      <c r="A22" s="100" t="s">
        <v>247</v>
      </c>
      <c r="B22" s="100" t="s">
        <v>1858</v>
      </c>
      <c r="C22" s="100" t="s">
        <v>1761</v>
      </c>
      <c r="D22" s="177" t="s">
        <v>740</v>
      </c>
      <c r="E22" s="216">
        <f t="shared" si="0"/>
        <v>761</v>
      </c>
      <c r="F22" s="217">
        <v>780</v>
      </c>
      <c r="G22" s="101">
        <v>1.2</v>
      </c>
      <c r="H22" s="101">
        <v>0.25</v>
      </c>
      <c r="I22" s="186">
        <v>0.8</v>
      </c>
      <c r="J22" s="186">
        <v>0.85</v>
      </c>
      <c r="K22" s="186">
        <v>0.6</v>
      </c>
      <c r="L22" s="101">
        <v>0.6</v>
      </c>
    </row>
    <row r="23" spans="1:12" x14ac:dyDescent="0.15">
      <c r="A23" s="98" t="s">
        <v>247</v>
      </c>
      <c r="B23" s="98" t="s">
        <v>1858</v>
      </c>
      <c r="C23" s="98" t="s">
        <v>1761</v>
      </c>
      <c r="D23" s="179" t="s">
        <v>715</v>
      </c>
      <c r="E23" s="12">
        <f t="shared" si="0"/>
        <v>781</v>
      </c>
      <c r="F23" s="184">
        <v>800</v>
      </c>
      <c r="G23" s="102"/>
      <c r="H23" s="102"/>
      <c r="I23" s="187"/>
      <c r="J23" s="186"/>
      <c r="K23" s="186"/>
      <c r="L23" s="101"/>
    </row>
    <row r="24" spans="1:12" x14ac:dyDescent="0.15">
      <c r="A24" s="98" t="s">
        <v>247</v>
      </c>
      <c r="B24" s="98" t="s">
        <v>1858</v>
      </c>
      <c r="C24" s="98" t="s">
        <v>1761</v>
      </c>
      <c r="D24" s="179" t="s">
        <v>716</v>
      </c>
      <c r="E24" s="12">
        <f t="shared" si="0"/>
        <v>801</v>
      </c>
      <c r="F24" s="184">
        <v>820</v>
      </c>
      <c r="G24" s="101"/>
      <c r="H24" s="101"/>
      <c r="I24" s="186"/>
      <c r="J24" s="186"/>
      <c r="K24" s="186"/>
      <c r="L24" s="101"/>
    </row>
    <row r="25" spans="1:12" x14ac:dyDescent="0.15">
      <c r="A25" s="98" t="s">
        <v>247</v>
      </c>
      <c r="B25" s="98" t="s">
        <v>1858</v>
      </c>
      <c r="C25" s="98" t="s">
        <v>1761</v>
      </c>
      <c r="D25" s="179" t="s">
        <v>717</v>
      </c>
      <c r="E25" s="12">
        <f t="shared" si="0"/>
        <v>821</v>
      </c>
      <c r="F25" s="184">
        <v>830</v>
      </c>
      <c r="G25" s="101"/>
      <c r="H25" s="101"/>
      <c r="I25" s="186"/>
      <c r="J25" s="186"/>
      <c r="K25" s="186"/>
      <c r="L25" s="101"/>
    </row>
    <row r="26" spans="1:12" x14ac:dyDescent="0.15">
      <c r="A26" s="98" t="s">
        <v>247</v>
      </c>
      <c r="B26" s="98" t="s">
        <v>1858</v>
      </c>
      <c r="C26" s="98" t="s">
        <v>1761</v>
      </c>
      <c r="D26" s="179" t="s">
        <v>670</v>
      </c>
      <c r="E26" s="12">
        <f t="shared" si="0"/>
        <v>831</v>
      </c>
      <c r="F26" s="184">
        <v>840</v>
      </c>
      <c r="G26" s="101"/>
      <c r="H26" s="101"/>
      <c r="I26" s="186"/>
      <c r="J26" s="186"/>
      <c r="K26" s="186"/>
      <c r="L26" s="101"/>
    </row>
    <row r="27" spans="1:12" s="32" customFormat="1" x14ac:dyDescent="0.15">
      <c r="A27" s="100" t="s">
        <v>247</v>
      </c>
      <c r="B27" s="100" t="s">
        <v>1859</v>
      </c>
      <c r="C27" s="100" t="s">
        <v>1761</v>
      </c>
      <c r="D27" s="177" t="s">
        <v>671</v>
      </c>
      <c r="E27" s="216">
        <f t="shared" si="0"/>
        <v>841</v>
      </c>
      <c r="F27" s="217">
        <v>860</v>
      </c>
      <c r="G27" s="101">
        <v>0.8</v>
      </c>
      <c r="H27" s="101">
        <v>0.15</v>
      </c>
      <c r="I27" s="186">
        <v>0.6</v>
      </c>
      <c r="J27" s="186">
        <v>0.75</v>
      </c>
      <c r="K27" s="186">
        <v>0.55000000000000004</v>
      </c>
      <c r="L27" s="101">
        <v>0.55000000000000004</v>
      </c>
    </row>
    <row r="28" spans="1:12" x14ac:dyDescent="0.15">
      <c r="A28" s="98" t="s">
        <v>247</v>
      </c>
      <c r="B28" s="98" t="s">
        <v>1859</v>
      </c>
      <c r="C28" s="98" t="s">
        <v>1761</v>
      </c>
      <c r="D28" s="179" t="s">
        <v>430</v>
      </c>
      <c r="E28" s="12">
        <f t="shared" si="0"/>
        <v>861</v>
      </c>
      <c r="F28" s="184">
        <v>880</v>
      </c>
      <c r="G28" s="102"/>
      <c r="H28" s="102"/>
      <c r="I28" s="187"/>
      <c r="J28" s="186"/>
      <c r="K28" s="186"/>
      <c r="L28" s="101"/>
    </row>
    <row r="29" spans="1:12" x14ac:dyDescent="0.15">
      <c r="A29" s="98" t="s">
        <v>247</v>
      </c>
      <c r="B29" s="98" t="s">
        <v>1859</v>
      </c>
      <c r="C29" s="98" t="s">
        <v>1761</v>
      </c>
      <c r="D29" s="179" t="s">
        <v>431</v>
      </c>
      <c r="E29" s="12">
        <f t="shared" si="0"/>
        <v>881</v>
      </c>
      <c r="F29" s="184">
        <v>900</v>
      </c>
      <c r="G29" s="101"/>
      <c r="H29" s="101"/>
      <c r="I29" s="186"/>
      <c r="J29" s="186"/>
      <c r="K29" s="186"/>
      <c r="L29" s="101"/>
    </row>
    <row r="30" spans="1:12" x14ac:dyDescent="0.15">
      <c r="A30" s="98" t="s">
        <v>247</v>
      </c>
      <c r="B30" s="98" t="s">
        <v>1859</v>
      </c>
      <c r="C30" s="98" t="s">
        <v>1761</v>
      </c>
      <c r="D30" s="179" t="s">
        <v>432</v>
      </c>
      <c r="E30" s="12">
        <f t="shared" si="0"/>
        <v>901</v>
      </c>
      <c r="F30" s="184">
        <v>920</v>
      </c>
      <c r="G30" s="101"/>
      <c r="H30" s="101"/>
      <c r="I30" s="186"/>
      <c r="J30" s="186"/>
      <c r="K30" s="186"/>
      <c r="L30" s="101"/>
    </row>
    <row r="31" spans="1:12" x14ac:dyDescent="0.15">
      <c r="A31" s="98" t="s">
        <v>247</v>
      </c>
      <c r="B31" s="98" t="s">
        <v>1859</v>
      </c>
      <c r="C31" s="98" t="s">
        <v>1761</v>
      </c>
      <c r="D31" s="179" t="s">
        <v>433</v>
      </c>
      <c r="E31" s="12">
        <f t="shared" si="0"/>
        <v>921</v>
      </c>
      <c r="F31" s="184">
        <v>935</v>
      </c>
      <c r="G31" s="101"/>
      <c r="H31" s="101"/>
      <c r="I31" s="186"/>
      <c r="J31" s="186"/>
      <c r="K31" s="186"/>
      <c r="L31" s="101"/>
    </row>
    <row r="32" spans="1:12" x14ac:dyDescent="0.15">
      <c r="A32" s="98" t="s">
        <v>247</v>
      </c>
      <c r="B32" s="98" t="s">
        <v>1859</v>
      </c>
      <c r="C32" s="98" t="s">
        <v>1761</v>
      </c>
      <c r="D32" s="179" t="s">
        <v>434</v>
      </c>
      <c r="E32" s="12">
        <f t="shared" si="0"/>
        <v>936</v>
      </c>
      <c r="F32" s="184">
        <v>950</v>
      </c>
      <c r="G32" s="101"/>
      <c r="H32" s="101"/>
      <c r="I32" s="186"/>
      <c r="J32" s="186"/>
      <c r="K32" s="186"/>
      <c r="L32" s="101"/>
    </row>
    <row r="33" spans="1:12" x14ac:dyDescent="0.15">
      <c r="A33" s="98" t="s">
        <v>247</v>
      </c>
      <c r="B33" s="98" t="s">
        <v>1859</v>
      </c>
      <c r="C33" s="98" t="s">
        <v>1761</v>
      </c>
      <c r="D33" s="179" t="s">
        <v>435</v>
      </c>
      <c r="E33" s="12">
        <f t="shared" si="0"/>
        <v>951</v>
      </c>
      <c r="F33" s="184">
        <v>965</v>
      </c>
      <c r="G33" s="101"/>
      <c r="H33" s="101"/>
      <c r="I33" s="186"/>
      <c r="J33" s="186"/>
      <c r="K33" s="186"/>
      <c r="L33" s="101"/>
    </row>
    <row r="34" spans="1:12" x14ac:dyDescent="0.15">
      <c r="A34" s="98" t="s">
        <v>247</v>
      </c>
      <c r="B34" s="98" t="s">
        <v>1859</v>
      </c>
      <c r="C34" s="98" t="s">
        <v>1761</v>
      </c>
      <c r="D34" s="179" t="s">
        <v>521</v>
      </c>
      <c r="E34" s="12">
        <f t="shared" si="0"/>
        <v>966</v>
      </c>
      <c r="F34" s="184">
        <v>980</v>
      </c>
      <c r="G34" s="101"/>
      <c r="H34" s="101"/>
      <c r="I34" s="186"/>
      <c r="J34" s="186"/>
      <c r="K34" s="186"/>
      <c r="L34" s="101"/>
    </row>
    <row r="35" spans="1:12" s="32" customFormat="1" x14ac:dyDescent="0.15">
      <c r="A35" s="100" t="s">
        <v>247</v>
      </c>
      <c r="B35" s="100" t="s">
        <v>1886</v>
      </c>
      <c r="C35" s="100" t="s">
        <v>1761</v>
      </c>
      <c r="D35" s="177" t="s">
        <v>672</v>
      </c>
      <c r="E35" s="216">
        <f t="shared" si="0"/>
        <v>981</v>
      </c>
      <c r="F35" s="217">
        <v>1000</v>
      </c>
      <c r="G35" s="101">
        <v>0.4</v>
      </c>
      <c r="H35" s="101">
        <v>0.1</v>
      </c>
      <c r="I35" s="186">
        <v>0.4</v>
      </c>
      <c r="J35" s="186">
        <v>0.5</v>
      </c>
      <c r="K35" s="186">
        <v>0.5</v>
      </c>
      <c r="L35" s="101">
        <v>0.45</v>
      </c>
    </row>
    <row r="36" spans="1:12" x14ac:dyDescent="0.15">
      <c r="A36" s="98" t="s">
        <v>247</v>
      </c>
      <c r="B36" s="98" t="s">
        <v>1886</v>
      </c>
      <c r="C36" s="98" t="s">
        <v>1761</v>
      </c>
      <c r="D36" s="179" t="s">
        <v>673</v>
      </c>
      <c r="E36" s="12">
        <f t="shared" si="0"/>
        <v>1001</v>
      </c>
      <c r="F36" s="184">
        <v>1020</v>
      </c>
      <c r="G36" s="102"/>
      <c r="H36" s="102"/>
      <c r="I36" s="187"/>
      <c r="J36" s="186"/>
      <c r="K36" s="186"/>
      <c r="L36" s="101"/>
    </row>
    <row r="37" spans="1:12" x14ac:dyDescent="0.15">
      <c r="A37" s="98" t="s">
        <v>247</v>
      </c>
      <c r="B37" s="98" t="s">
        <v>1886</v>
      </c>
      <c r="C37" s="98" t="s">
        <v>1761</v>
      </c>
      <c r="D37" s="179" t="s">
        <v>674</v>
      </c>
      <c r="E37" s="12">
        <f t="shared" si="0"/>
        <v>1021</v>
      </c>
      <c r="F37" s="184">
        <v>1040</v>
      </c>
      <c r="G37" s="101"/>
      <c r="H37" s="101"/>
      <c r="I37" s="186"/>
      <c r="J37" s="186"/>
      <c r="K37" s="186"/>
      <c r="L37" s="101"/>
    </row>
    <row r="38" spans="1:12" x14ac:dyDescent="0.15">
      <c r="A38" s="98" t="s">
        <v>247</v>
      </c>
      <c r="B38" s="98" t="s">
        <v>1886</v>
      </c>
      <c r="C38" s="98" t="s">
        <v>1761</v>
      </c>
      <c r="D38" s="179" t="s">
        <v>675</v>
      </c>
      <c r="E38" s="12">
        <f t="shared" si="0"/>
        <v>1041</v>
      </c>
      <c r="F38" s="184">
        <v>1060</v>
      </c>
      <c r="G38" s="101"/>
      <c r="H38" s="101"/>
      <c r="I38" s="186"/>
      <c r="J38" s="186"/>
      <c r="K38" s="186"/>
      <c r="L38" s="101"/>
    </row>
    <row r="39" spans="1:12" x14ac:dyDescent="0.15">
      <c r="A39" s="98" t="s">
        <v>247</v>
      </c>
      <c r="B39" s="98" t="s">
        <v>1886</v>
      </c>
      <c r="C39" s="98" t="s">
        <v>1761</v>
      </c>
      <c r="D39" s="179" t="s">
        <v>676</v>
      </c>
      <c r="E39" s="12">
        <f t="shared" si="0"/>
        <v>1061</v>
      </c>
      <c r="F39" s="184">
        <v>1080</v>
      </c>
      <c r="G39" s="101"/>
      <c r="H39" s="101"/>
      <c r="I39" s="186"/>
      <c r="J39" s="186"/>
      <c r="K39" s="186"/>
      <c r="L39" s="101"/>
    </row>
    <row r="40" spans="1:12" x14ac:dyDescent="0.15">
      <c r="A40" s="98" t="s">
        <v>247</v>
      </c>
      <c r="B40" s="98" t="s">
        <v>1886</v>
      </c>
      <c r="C40" s="98" t="s">
        <v>1761</v>
      </c>
      <c r="D40" s="179" t="s">
        <v>677</v>
      </c>
      <c r="E40" s="12">
        <f t="shared" si="0"/>
        <v>1081</v>
      </c>
      <c r="F40" s="184">
        <v>1095</v>
      </c>
      <c r="G40" s="101"/>
      <c r="H40" s="101"/>
      <c r="I40" s="186"/>
      <c r="J40" s="186"/>
      <c r="K40" s="186"/>
      <c r="L40" s="101"/>
    </row>
    <row r="41" spans="1:12" x14ac:dyDescent="0.15">
      <c r="A41" s="98" t="s">
        <v>247</v>
      </c>
      <c r="B41" s="98" t="s">
        <v>1886</v>
      </c>
      <c r="C41" s="98" t="s">
        <v>1761</v>
      </c>
      <c r="D41" s="179" t="s">
        <v>678</v>
      </c>
      <c r="E41" s="12">
        <f t="shared" si="0"/>
        <v>1096</v>
      </c>
      <c r="F41" s="184">
        <v>1110</v>
      </c>
      <c r="G41" s="101"/>
      <c r="H41" s="101"/>
      <c r="I41" s="186"/>
      <c r="J41" s="186"/>
      <c r="K41" s="186"/>
      <c r="L41" s="101"/>
    </row>
    <row r="42" spans="1:12" x14ac:dyDescent="0.15">
      <c r="A42" s="98" t="s">
        <v>247</v>
      </c>
      <c r="B42" s="98" t="s">
        <v>1886</v>
      </c>
      <c r="C42" s="98" t="s">
        <v>1761</v>
      </c>
      <c r="D42" s="179" t="s">
        <v>679</v>
      </c>
      <c r="E42" s="12">
        <f t="shared" si="0"/>
        <v>1111</v>
      </c>
      <c r="F42" s="184">
        <v>1125</v>
      </c>
      <c r="G42" s="101"/>
      <c r="H42" s="101"/>
      <c r="I42" s="186"/>
      <c r="J42" s="186"/>
      <c r="K42" s="186"/>
      <c r="L42" s="101"/>
    </row>
    <row r="43" spans="1:12" x14ac:dyDescent="0.15">
      <c r="A43" s="98" t="s">
        <v>247</v>
      </c>
      <c r="B43" s="98" t="s">
        <v>1886</v>
      </c>
      <c r="C43" s="98" t="s">
        <v>1761</v>
      </c>
      <c r="D43" s="179" t="s">
        <v>680</v>
      </c>
      <c r="E43" s="12">
        <f t="shared" si="0"/>
        <v>1126</v>
      </c>
      <c r="F43" s="184">
        <v>1140</v>
      </c>
      <c r="G43" s="101"/>
      <c r="H43" s="101"/>
      <c r="I43" s="186"/>
      <c r="J43" s="186"/>
      <c r="K43" s="186"/>
      <c r="L43" s="101"/>
    </row>
    <row r="44" spans="1:12" s="32" customFormat="1" x14ac:dyDescent="0.15">
      <c r="A44" s="100" t="s">
        <v>247</v>
      </c>
      <c r="B44" s="100" t="s">
        <v>1860</v>
      </c>
      <c r="C44" s="100" t="s">
        <v>1762</v>
      </c>
      <c r="D44" s="177" t="s">
        <v>681</v>
      </c>
      <c r="E44" s="216">
        <f t="shared" si="0"/>
        <v>1141</v>
      </c>
      <c r="F44" s="217">
        <v>1160</v>
      </c>
      <c r="G44" s="101">
        <v>0.2</v>
      </c>
      <c r="H44" s="101">
        <v>0.05</v>
      </c>
      <c r="I44" s="186">
        <v>0.2</v>
      </c>
      <c r="J44" s="186">
        <v>0.35</v>
      </c>
      <c r="K44" s="186">
        <v>0.45</v>
      </c>
      <c r="L44" s="101">
        <v>0.3</v>
      </c>
    </row>
    <row r="45" spans="1:12" x14ac:dyDescent="0.15">
      <c r="A45" s="98" t="s">
        <v>247</v>
      </c>
      <c r="B45" s="98" t="s">
        <v>1860</v>
      </c>
      <c r="C45" s="98" t="s">
        <v>1762</v>
      </c>
      <c r="D45" s="179" t="s">
        <v>1043</v>
      </c>
      <c r="E45" s="12">
        <f t="shared" si="0"/>
        <v>1161</v>
      </c>
      <c r="F45" s="184">
        <v>1180</v>
      </c>
      <c r="G45" s="102"/>
      <c r="H45" s="102"/>
      <c r="I45" s="187"/>
      <c r="J45" s="186"/>
      <c r="K45" s="186"/>
      <c r="L45" s="101"/>
    </row>
    <row r="46" spans="1:12" x14ac:dyDescent="0.15">
      <c r="A46" s="98" t="s">
        <v>247</v>
      </c>
      <c r="B46" s="98" t="s">
        <v>1860</v>
      </c>
      <c r="C46" s="98" t="s">
        <v>1762</v>
      </c>
      <c r="D46" s="179" t="s">
        <v>1044</v>
      </c>
      <c r="E46" s="12">
        <f t="shared" si="0"/>
        <v>1181</v>
      </c>
      <c r="F46" s="184">
        <v>1200</v>
      </c>
      <c r="G46" s="101"/>
      <c r="H46" s="101"/>
      <c r="I46" s="186"/>
      <c r="J46" s="186"/>
      <c r="K46" s="186"/>
      <c r="L46" s="101"/>
    </row>
    <row r="47" spans="1:12" s="32" customFormat="1" x14ac:dyDescent="0.15">
      <c r="A47" s="100" t="s">
        <v>247</v>
      </c>
      <c r="B47" s="100" t="s">
        <v>1855</v>
      </c>
      <c r="C47" s="100" t="s">
        <v>1855</v>
      </c>
      <c r="D47" s="177" t="s">
        <v>690</v>
      </c>
      <c r="E47" s="216">
        <f t="shared" si="0"/>
        <v>1201</v>
      </c>
      <c r="F47" s="217">
        <v>1215</v>
      </c>
      <c r="G47" s="101">
        <v>0.05</v>
      </c>
      <c r="H47" s="101">
        <v>0.02</v>
      </c>
      <c r="I47" s="186">
        <v>0.05</v>
      </c>
      <c r="J47" s="186">
        <v>0.25</v>
      </c>
      <c r="K47" s="186">
        <v>0.4</v>
      </c>
      <c r="L47" s="101">
        <v>0.15</v>
      </c>
    </row>
    <row r="48" spans="1:12" x14ac:dyDescent="0.15">
      <c r="A48" s="98" t="s">
        <v>247</v>
      </c>
      <c r="B48" s="98" t="s">
        <v>1855</v>
      </c>
      <c r="C48" s="98" t="s">
        <v>1855</v>
      </c>
      <c r="D48" s="179" t="s">
        <v>727</v>
      </c>
      <c r="E48" s="12">
        <f t="shared" si="0"/>
        <v>1216</v>
      </c>
      <c r="F48" s="184">
        <v>1230</v>
      </c>
      <c r="G48" s="101"/>
      <c r="H48" s="101"/>
      <c r="I48" s="186"/>
      <c r="J48" s="186"/>
      <c r="K48" s="186"/>
      <c r="L48" s="101"/>
    </row>
    <row r="49" spans="1:12" x14ac:dyDescent="0.15">
      <c r="A49" s="98" t="s">
        <v>247</v>
      </c>
      <c r="B49" s="98" t="s">
        <v>1855</v>
      </c>
      <c r="C49" s="98" t="s">
        <v>1855</v>
      </c>
      <c r="D49" s="179" t="s">
        <v>743</v>
      </c>
      <c r="E49" s="12">
        <f t="shared" si="0"/>
        <v>1231</v>
      </c>
      <c r="F49" s="184">
        <v>1245</v>
      </c>
      <c r="G49" s="101"/>
      <c r="H49" s="101"/>
      <c r="I49" s="186"/>
      <c r="J49" s="186"/>
      <c r="K49" s="186"/>
      <c r="L49" s="101"/>
    </row>
    <row r="50" spans="1:12" x14ac:dyDescent="0.15">
      <c r="A50" s="98" t="s">
        <v>247</v>
      </c>
      <c r="B50" s="98" t="s">
        <v>1855</v>
      </c>
      <c r="C50" s="98" t="s">
        <v>1855</v>
      </c>
      <c r="D50" s="179" t="s">
        <v>504</v>
      </c>
      <c r="E50" s="12">
        <f t="shared" si="0"/>
        <v>1246</v>
      </c>
      <c r="F50" s="184">
        <v>1260</v>
      </c>
      <c r="G50" s="101"/>
      <c r="H50" s="101"/>
      <c r="I50" s="186"/>
      <c r="J50" s="186"/>
      <c r="K50" s="186"/>
      <c r="L50" s="101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0563-81A0-4FA1-9702-AA5B885E00DA}">
  <sheetPr>
    <tabColor rgb="FFFFFF00"/>
  </sheetPr>
  <dimension ref="A1:L50"/>
  <sheetViews>
    <sheetView workbookViewId="0">
      <selection activeCell="L49" sqref="L49"/>
    </sheetView>
  </sheetViews>
  <sheetFormatPr defaultRowHeight="10.5" x14ac:dyDescent="0.15"/>
  <cols>
    <col min="1" max="1" width="10.28515625" style="98" bestFit="1" customWidth="1"/>
    <col min="2" max="2" width="29.42578125" style="98" bestFit="1" customWidth="1"/>
    <col min="3" max="3" width="11.85546875" style="98" bestFit="1" customWidth="1"/>
    <col min="4" max="4" width="59.140625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09" t="s">
        <v>586</v>
      </c>
      <c r="J1" s="111" t="s">
        <v>587</v>
      </c>
      <c r="K1" s="111" t="s">
        <v>588</v>
      </c>
      <c r="L1" s="111" t="s">
        <v>2348</v>
      </c>
    </row>
    <row r="2" spans="1:12" s="100" customFormat="1" x14ac:dyDescent="0.15">
      <c r="A2" s="176" t="s">
        <v>251</v>
      </c>
      <c r="B2" s="100" t="s">
        <v>1759</v>
      </c>
      <c r="C2" s="100" t="s">
        <v>1759</v>
      </c>
      <c r="D2" s="177" t="s">
        <v>850</v>
      </c>
      <c r="E2" s="218">
        <v>0</v>
      </c>
      <c r="F2" s="217">
        <v>1</v>
      </c>
      <c r="G2" s="205">
        <v>0.02</v>
      </c>
      <c r="H2" s="101">
        <v>5.0000000000000001E-3</v>
      </c>
      <c r="I2" s="186">
        <v>0.02</v>
      </c>
      <c r="J2" s="186">
        <v>0.25</v>
      </c>
      <c r="K2" s="186">
        <v>0.4</v>
      </c>
      <c r="L2" s="186">
        <v>0.7</v>
      </c>
    </row>
    <row r="3" spans="1:12" x14ac:dyDescent="0.15">
      <c r="A3" s="178" t="s">
        <v>251</v>
      </c>
      <c r="B3" s="98" t="s">
        <v>1759</v>
      </c>
      <c r="C3" s="98" t="s">
        <v>1759</v>
      </c>
      <c r="D3" s="179" t="s">
        <v>374</v>
      </c>
      <c r="E3" s="219">
        <f>F2+1</f>
        <v>2</v>
      </c>
      <c r="F3" s="184">
        <v>10</v>
      </c>
      <c r="G3" s="206"/>
      <c r="H3" s="102"/>
      <c r="I3" s="187"/>
      <c r="J3" s="186"/>
      <c r="K3" s="186"/>
      <c r="L3" s="186"/>
    </row>
    <row r="4" spans="1:12" x14ac:dyDescent="0.15">
      <c r="A4" s="178" t="s">
        <v>251</v>
      </c>
      <c r="B4" s="98" t="s">
        <v>1759</v>
      </c>
      <c r="C4" s="98" t="s">
        <v>1759</v>
      </c>
      <c r="D4" s="179" t="s">
        <v>1046</v>
      </c>
      <c r="E4" s="219">
        <f t="shared" ref="E4:E50" si="0">F3+1</f>
        <v>11</v>
      </c>
      <c r="F4" s="184">
        <v>30</v>
      </c>
      <c r="G4" s="205"/>
      <c r="I4" s="186"/>
      <c r="J4" s="186"/>
      <c r="K4" s="186"/>
      <c r="L4" s="186"/>
    </row>
    <row r="5" spans="1:12" x14ac:dyDescent="0.15">
      <c r="A5" s="178" t="s">
        <v>251</v>
      </c>
      <c r="B5" s="98" t="s">
        <v>1759</v>
      </c>
      <c r="C5" s="98" t="s">
        <v>1759</v>
      </c>
      <c r="D5" s="179" t="s">
        <v>1047</v>
      </c>
      <c r="E5" s="219">
        <f t="shared" si="0"/>
        <v>31</v>
      </c>
      <c r="F5" s="184">
        <v>40</v>
      </c>
      <c r="G5" s="205"/>
      <c r="I5" s="186"/>
      <c r="J5" s="186"/>
      <c r="K5" s="186"/>
      <c r="L5" s="186"/>
    </row>
    <row r="6" spans="1:12" x14ac:dyDescent="0.15">
      <c r="A6" s="178" t="s">
        <v>251</v>
      </c>
      <c r="B6" s="98" t="s">
        <v>1759</v>
      </c>
      <c r="C6" s="98" t="s">
        <v>1759</v>
      </c>
      <c r="D6" s="179" t="s">
        <v>1048</v>
      </c>
      <c r="E6" s="219">
        <f t="shared" si="0"/>
        <v>41</v>
      </c>
      <c r="F6" s="184">
        <v>50</v>
      </c>
      <c r="G6" s="205"/>
      <c r="I6" s="186"/>
      <c r="J6" s="186"/>
      <c r="K6" s="186"/>
      <c r="L6" s="186"/>
    </row>
    <row r="7" spans="1:12" x14ac:dyDescent="0.15">
      <c r="A7" s="178" t="s">
        <v>251</v>
      </c>
      <c r="B7" s="98" t="s">
        <v>1759</v>
      </c>
      <c r="C7" s="98" t="s">
        <v>1759</v>
      </c>
      <c r="D7" s="179" t="s">
        <v>1049</v>
      </c>
      <c r="E7" s="219">
        <f t="shared" si="0"/>
        <v>51</v>
      </c>
      <c r="F7" s="184">
        <v>70</v>
      </c>
      <c r="G7" s="205"/>
      <c r="I7" s="186"/>
      <c r="J7" s="186"/>
      <c r="K7" s="186"/>
      <c r="L7" s="186"/>
    </row>
    <row r="8" spans="1:12" x14ac:dyDescent="0.15">
      <c r="A8" s="178" t="s">
        <v>251</v>
      </c>
      <c r="B8" s="98" t="s">
        <v>1759</v>
      </c>
      <c r="C8" s="98" t="s">
        <v>1759</v>
      </c>
      <c r="D8" s="179" t="s">
        <v>1050</v>
      </c>
      <c r="E8" s="219">
        <f t="shared" si="0"/>
        <v>71</v>
      </c>
      <c r="F8" s="184">
        <v>100</v>
      </c>
      <c r="G8" s="205"/>
      <c r="I8" s="186"/>
      <c r="J8" s="186"/>
      <c r="K8" s="186"/>
      <c r="L8" s="186"/>
    </row>
    <row r="9" spans="1:12" s="100" customFormat="1" x14ac:dyDescent="0.15">
      <c r="A9" s="176" t="s">
        <v>251</v>
      </c>
      <c r="B9" s="100" t="s">
        <v>1861</v>
      </c>
      <c r="C9" s="100" t="s">
        <v>1760</v>
      </c>
      <c r="D9" s="177" t="s">
        <v>1051</v>
      </c>
      <c r="E9" s="218">
        <f t="shared" si="0"/>
        <v>101</v>
      </c>
      <c r="F9" s="217">
        <v>130</v>
      </c>
      <c r="G9" s="205">
        <v>0.6</v>
      </c>
      <c r="H9" s="101">
        <v>0.05</v>
      </c>
      <c r="I9" s="186">
        <v>0.3</v>
      </c>
      <c r="J9" s="186">
        <v>0.4</v>
      </c>
      <c r="K9" s="186">
        <v>0.45</v>
      </c>
      <c r="L9" s="186">
        <v>0.6</v>
      </c>
    </row>
    <row r="10" spans="1:12" x14ac:dyDescent="0.15">
      <c r="A10" s="178" t="s">
        <v>251</v>
      </c>
      <c r="B10" s="98" t="s">
        <v>1861</v>
      </c>
      <c r="C10" s="98" t="s">
        <v>1760</v>
      </c>
      <c r="D10" s="179" t="s">
        <v>535</v>
      </c>
      <c r="E10" s="219">
        <f t="shared" si="0"/>
        <v>131</v>
      </c>
      <c r="F10" s="184">
        <v>160</v>
      </c>
      <c r="G10" s="206"/>
      <c r="H10" s="102"/>
      <c r="I10" s="187"/>
      <c r="J10" s="186"/>
      <c r="K10" s="186"/>
      <c r="L10" s="186"/>
    </row>
    <row r="11" spans="1:12" x14ac:dyDescent="0.15">
      <c r="A11" s="178" t="s">
        <v>251</v>
      </c>
      <c r="B11" s="98" t="s">
        <v>1861</v>
      </c>
      <c r="C11" s="98" t="s">
        <v>1760</v>
      </c>
      <c r="D11" s="179" t="s">
        <v>536</v>
      </c>
      <c r="E11" s="219">
        <f t="shared" si="0"/>
        <v>161</v>
      </c>
      <c r="F11" s="184">
        <v>190</v>
      </c>
      <c r="G11" s="205"/>
      <c r="I11" s="186"/>
      <c r="J11" s="186"/>
      <c r="K11" s="186"/>
      <c r="L11" s="186"/>
    </row>
    <row r="12" spans="1:12" x14ac:dyDescent="0.15">
      <c r="A12" s="178" t="s">
        <v>251</v>
      </c>
      <c r="B12" s="98" t="s">
        <v>1861</v>
      </c>
      <c r="C12" s="98" t="s">
        <v>1760</v>
      </c>
      <c r="D12" s="179" t="s">
        <v>537</v>
      </c>
      <c r="E12" s="219">
        <f t="shared" si="0"/>
        <v>191</v>
      </c>
      <c r="F12" s="184">
        <v>220</v>
      </c>
      <c r="G12" s="205"/>
      <c r="I12" s="186"/>
      <c r="J12" s="186"/>
      <c r="K12" s="186"/>
      <c r="L12" s="186"/>
    </row>
    <row r="13" spans="1:12" x14ac:dyDescent="0.15">
      <c r="A13" s="178" t="s">
        <v>251</v>
      </c>
      <c r="B13" s="98" t="s">
        <v>1861</v>
      </c>
      <c r="C13" s="98" t="s">
        <v>1760</v>
      </c>
      <c r="D13" s="179" t="s">
        <v>538</v>
      </c>
      <c r="E13" s="219">
        <f t="shared" si="0"/>
        <v>221</v>
      </c>
      <c r="F13" s="184">
        <v>400</v>
      </c>
      <c r="G13" s="205"/>
      <c r="I13" s="186"/>
      <c r="J13" s="186"/>
      <c r="K13" s="186"/>
      <c r="L13" s="186"/>
    </row>
    <row r="14" spans="1:12" s="100" customFormat="1" x14ac:dyDescent="0.15">
      <c r="A14" s="176" t="s">
        <v>251</v>
      </c>
      <c r="B14" s="100" t="s">
        <v>1849</v>
      </c>
      <c r="C14" s="100" t="s">
        <v>1760</v>
      </c>
      <c r="D14" s="177" t="s">
        <v>540</v>
      </c>
      <c r="E14" s="218">
        <f t="shared" si="0"/>
        <v>401</v>
      </c>
      <c r="F14" s="217">
        <v>450</v>
      </c>
      <c r="G14" s="205">
        <v>1</v>
      </c>
      <c r="H14" s="101">
        <v>0.15</v>
      </c>
      <c r="I14" s="186">
        <v>0.8</v>
      </c>
      <c r="J14" s="186">
        <v>0.55000000000000004</v>
      </c>
      <c r="K14" s="186">
        <v>0.52</v>
      </c>
      <c r="L14" s="186">
        <v>0.6</v>
      </c>
    </row>
    <row r="15" spans="1:12" x14ac:dyDescent="0.15">
      <c r="A15" s="178" t="s">
        <v>251</v>
      </c>
      <c r="B15" s="98" t="s">
        <v>1849</v>
      </c>
      <c r="C15" s="98" t="s">
        <v>1760</v>
      </c>
      <c r="D15" s="179" t="s">
        <v>1052</v>
      </c>
      <c r="E15" s="219">
        <f t="shared" si="0"/>
        <v>451</v>
      </c>
      <c r="F15" s="184">
        <v>500</v>
      </c>
      <c r="G15" s="206"/>
      <c r="H15" s="102"/>
      <c r="I15" s="187"/>
      <c r="J15" s="186"/>
      <c r="K15" s="186"/>
      <c r="L15" s="186"/>
    </row>
    <row r="16" spans="1:12" x14ac:dyDescent="0.15">
      <c r="A16" s="178" t="s">
        <v>251</v>
      </c>
      <c r="B16" s="98" t="s">
        <v>1849</v>
      </c>
      <c r="C16" s="98" t="s">
        <v>1760</v>
      </c>
      <c r="D16" s="179" t="s">
        <v>576</v>
      </c>
      <c r="E16" s="219">
        <f t="shared" si="0"/>
        <v>501</v>
      </c>
      <c r="F16" s="184">
        <v>550</v>
      </c>
      <c r="G16" s="205"/>
      <c r="I16" s="186"/>
      <c r="J16" s="186"/>
      <c r="K16" s="186"/>
      <c r="L16" s="186"/>
    </row>
    <row r="17" spans="1:12" x14ac:dyDescent="0.15">
      <c r="A17" s="178" t="s">
        <v>251</v>
      </c>
      <c r="B17" s="98" t="s">
        <v>1849</v>
      </c>
      <c r="C17" s="98" t="s">
        <v>1760</v>
      </c>
      <c r="D17" s="179" t="s">
        <v>1053</v>
      </c>
      <c r="E17" s="219">
        <f t="shared" si="0"/>
        <v>551</v>
      </c>
      <c r="F17" s="184">
        <v>600</v>
      </c>
      <c r="G17" s="205"/>
      <c r="I17" s="186"/>
      <c r="J17" s="186"/>
      <c r="K17" s="186"/>
      <c r="L17" s="186"/>
    </row>
    <row r="18" spans="1:12" s="100" customFormat="1" x14ac:dyDescent="0.15">
      <c r="A18" s="176" t="s">
        <v>251</v>
      </c>
      <c r="B18" s="100" t="s">
        <v>1850</v>
      </c>
      <c r="C18" s="100" t="s">
        <v>1760</v>
      </c>
      <c r="D18" s="177" t="s">
        <v>1054</v>
      </c>
      <c r="E18" s="218">
        <f t="shared" si="0"/>
        <v>601</v>
      </c>
      <c r="F18" s="217">
        <v>650</v>
      </c>
      <c r="G18" s="205">
        <v>1.5</v>
      </c>
      <c r="H18" s="101">
        <v>0.25</v>
      </c>
      <c r="I18" s="186">
        <v>1</v>
      </c>
      <c r="J18" s="186">
        <v>0.95</v>
      </c>
      <c r="K18" s="186">
        <v>0.55000000000000004</v>
      </c>
      <c r="L18" s="186">
        <v>0.65</v>
      </c>
    </row>
    <row r="19" spans="1:12" x14ac:dyDescent="0.15">
      <c r="A19" s="178" t="s">
        <v>251</v>
      </c>
      <c r="B19" s="98" t="s">
        <v>1850</v>
      </c>
      <c r="C19" s="98" t="s">
        <v>1760</v>
      </c>
      <c r="D19" s="179" t="s">
        <v>1055</v>
      </c>
      <c r="E19" s="219">
        <f t="shared" si="0"/>
        <v>651</v>
      </c>
      <c r="F19" s="184">
        <v>700</v>
      </c>
      <c r="G19" s="206"/>
      <c r="H19" s="102"/>
      <c r="I19" s="187"/>
      <c r="J19" s="186"/>
      <c r="K19" s="186"/>
      <c r="L19" s="186"/>
    </row>
    <row r="20" spans="1:12" x14ac:dyDescent="0.15">
      <c r="A20" s="178" t="s">
        <v>251</v>
      </c>
      <c r="B20" s="98" t="s">
        <v>1850</v>
      </c>
      <c r="C20" s="98" t="s">
        <v>1760</v>
      </c>
      <c r="D20" s="179" t="s">
        <v>1056</v>
      </c>
      <c r="E20" s="219">
        <f t="shared" si="0"/>
        <v>701</v>
      </c>
      <c r="F20" s="184">
        <v>750</v>
      </c>
      <c r="G20" s="205"/>
      <c r="I20" s="186"/>
      <c r="J20" s="186"/>
      <c r="K20" s="186"/>
      <c r="L20" s="186"/>
    </row>
    <row r="21" spans="1:12" x14ac:dyDescent="0.15">
      <c r="A21" s="178" t="s">
        <v>251</v>
      </c>
      <c r="B21" s="98" t="s">
        <v>1850</v>
      </c>
      <c r="C21" s="98" t="s">
        <v>1760</v>
      </c>
      <c r="D21" s="179" t="s">
        <v>1057</v>
      </c>
      <c r="E21" s="219">
        <f t="shared" si="0"/>
        <v>751</v>
      </c>
      <c r="F21" s="184">
        <v>800</v>
      </c>
      <c r="G21" s="205"/>
      <c r="I21" s="186"/>
      <c r="J21" s="186"/>
      <c r="K21" s="186"/>
      <c r="L21" s="186"/>
    </row>
    <row r="22" spans="1:12" x14ac:dyDescent="0.15">
      <c r="A22" s="178" t="s">
        <v>251</v>
      </c>
      <c r="B22" s="98" t="s">
        <v>1850</v>
      </c>
      <c r="C22" s="98" t="s">
        <v>1760</v>
      </c>
      <c r="D22" s="179" t="s">
        <v>1058</v>
      </c>
      <c r="E22" s="219">
        <f t="shared" si="0"/>
        <v>801</v>
      </c>
      <c r="F22" s="184">
        <v>875</v>
      </c>
      <c r="G22" s="205"/>
      <c r="I22" s="186"/>
      <c r="J22" s="186"/>
      <c r="K22" s="186"/>
      <c r="L22" s="186"/>
    </row>
    <row r="23" spans="1:12" s="100" customFormat="1" x14ac:dyDescent="0.15">
      <c r="A23" s="176" t="s">
        <v>251</v>
      </c>
      <c r="B23" s="100" t="s">
        <v>1851</v>
      </c>
      <c r="C23" s="100" t="s">
        <v>1760</v>
      </c>
      <c r="D23" s="177" t="s">
        <v>1059</v>
      </c>
      <c r="E23" s="218">
        <f t="shared" si="0"/>
        <v>876</v>
      </c>
      <c r="F23" s="217">
        <v>900</v>
      </c>
      <c r="G23" s="205">
        <v>1.4</v>
      </c>
      <c r="H23" s="101">
        <v>0.2</v>
      </c>
      <c r="I23" s="186">
        <v>0.9</v>
      </c>
      <c r="J23" s="186">
        <v>1.05</v>
      </c>
      <c r="K23" s="186">
        <v>0.57999999999999996</v>
      </c>
      <c r="L23" s="186">
        <v>0.8</v>
      </c>
    </row>
    <row r="24" spans="1:12" x14ac:dyDescent="0.15">
      <c r="A24" s="178" t="s">
        <v>251</v>
      </c>
      <c r="B24" s="98" t="s">
        <v>1851</v>
      </c>
      <c r="C24" s="98" t="s">
        <v>1760</v>
      </c>
      <c r="D24" s="179" t="s">
        <v>1060</v>
      </c>
      <c r="E24" s="219">
        <f t="shared" si="0"/>
        <v>901</v>
      </c>
      <c r="F24" s="184">
        <v>950</v>
      </c>
      <c r="G24" s="206"/>
      <c r="H24" s="102"/>
      <c r="I24" s="187"/>
      <c r="J24" s="186"/>
      <c r="K24" s="186"/>
      <c r="L24" s="186"/>
    </row>
    <row r="25" spans="1:12" x14ac:dyDescent="0.15">
      <c r="A25" s="178" t="s">
        <v>251</v>
      </c>
      <c r="B25" s="98" t="s">
        <v>1851</v>
      </c>
      <c r="C25" s="98" t="s">
        <v>1760</v>
      </c>
      <c r="D25" s="179" t="s">
        <v>397</v>
      </c>
      <c r="E25" s="219">
        <f t="shared" si="0"/>
        <v>951</v>
      </c>
      <c r="F25" s="184">
        <v>1000</v>
      </c>
      <c r="G25" s="205"/>
      <c r="I25" s="186"/>
      <c r="J25" s="186"/>
      <c r="K25" s="186"/>
      <c r="L25" s="186"/>
    </row>
    <row r="26" spans="1:12" x14ac:dyDescent="0.15">
      <c r="A26" s="178" t="s">
        <v>251</v>
      </c>
      <c r="B26" s="98" t="s">
        <v>1851</v>
      </c>
      <c r="C26" s="98" t="s">
        <v>1760</v>
      </c>
      <c r="D26" s="179" t="s">
        <v>548</v>
      </c>
      <c r="E26" s="219">
        <f t="shared" si="0"/>
        <v>1001</v>
      </c>
      <c r="F26" s="184">
        <v>1050</v>
      </c>
      <c r="G26" s="205"/>
      <c r="I26" s="186"/>
      <c r="J26" s="186"/>
      <c r="K26" s="186"/>
      <c r="L26" s="186"/>
    </row>
    <row r="27" spans="1:12" x14ac:dyDescent="0.15">
      <c r="A27" s="178" t="s">
        <v>251</v>
      </c>
      <c r="B27" s="98" t="s">
        <v>1851</v>
      </c>
      <c r="C27" s="98" t="s">
        <v>1760</v>
      </c>
      <c r="D27" s="179" t="s">
        <v>1061</v>
      </c>
      <c r="E27" s="219">
        <f t="shared" si="0"/>
        <v>1051</v>
      </c>
      <c r="F27" s="184">
        <v>1100</v>
      </c>
      <c r="G27" s="205"/>
      <c r="I27" s="186"/>
      <c r="J27" s="186"/>
      <c r="K27" s="186"/>
      <c r="L27" s="186"/>
    </row>
    <row r="28" spans="1:12" s="100" customFormat="1" x14ac:dyDescent="0.15">
      <c r="A28" s="176" t="s">
        <v>251</v>
      </c>
      <c r="B28" s="100" t="s">
        <v>1893</v>
      </c>
      <c r="C28" s="100" t="s">
        <v>1761</v>
      </c>
      <c r="D28" s="177" t="s">
        <v>1062</v>
      </c>
      <c r="E28" s="218">
        <f t="shared" si="0"/>
        <v>1101</v>
      </c>
      <c r="F28" s="217">
        <v>1125</v>
      </c>
      <c r="G28" s="205">
        <v>1</v>
      </c>
      <c r="H28" s="101">
        <v>0.15</v>
      </c>
      <c r="I28" s="186">
        <v>0.7</v>
      </c>
      <c r="J28" s="186">
        <v>1.1000000000000001</v>
      </c>
      <c r="K28" s="186">
        <v>0.57999999999999996</v>
      </c>
      <c r="L28" s="186">
        <v>0.85</v>
      </c>
    </row>
    <row r="29" spans="1:12" x14ac:dyDescent="0.15">
      <c r="A29" s="178" t="s">
        <v>251</v>
      </c>
      <c r="B29" s="98" t="s">
        <v>1893</v>
      </c>
      <c r="C29" s="98" t="s">
        <v>1761</v>
      </c>
      <c r="D29" s="179" t="s">
        <v>1063</v>
      </c>
      <c r="E29" s="219">
        <f t="shared" si="0"/>
        <v>1126</v>
      </c>
      <c r="F29" s="184">
        <v>1150</v>
      </c>
      <c r="G29" s="206"/>
      <c r="H29" s="102"/>
      <c r="I29" s="187"/>
      <c r="J29" s="186"/>
      <c r="K29" s="186"/>
      <c r="L29" s="186"/>
    </row>
    <row r="30" spans="1:12" x14ac:dyDescent="0.15">
      <c r="A30" s="178" t="s">
        <v>251</v>
      </c>
      <c r="B30" s="98" t="s">
        <v>1893</v>
      </c>
      <c r="C30" s="98" t="s">
        <v>1761</v>
      </c>
      <c r="D30" s="179" t="s">
        <v>1064</v>
      </c>
      <c r="E30" s="219">
        <f t="shared" si="0"/>
        <v>1151</v>
      </c>
      <c r="F30" s="184">
        <v>1175</v>
      </c>
      <c r="G30" s="205"/>
      <c r="I30" s="186"/>
      <c r="J30" s="186"/>
      <c r="K30" s="186"/>
      <c r="L30" s="186"/>
    </row>
    <row r="31" spans="1:12" x14ac:dyDescent="0.15">
      <c r="A31" s="178" t="s">
        <v>251</v>
      </c>
      <c r="B31" s="98" t="s">
        <v>1893</v>
      </c>
      <c r="C31" s="98" t="s">
        <v>1761</v>
      </c>
      <c r="D31" s="179" t="s">
        <v>1065</v>
      </c>
      <c r="E31" s="219">
        <f t="shared" si="0"/>
        <v>1176</v>
      </c>
      <c r="F31" s="184">
        <v>1190</v>
      </c>
      <c r="G31" s="205"/>
      <c r="I31" s="186"/>
      <c r="J31" s="186"/>
      <c r="K31" s="186"/>
      <c r="L31" s="186"/>
    </row>
    <row r="32" spans="1:12" x14ac:dyDescent="0.15">
      <c r="A32" s="178" t="s">
        <v>251</v>
      </c>
      <c r="B32" s="98" t="s">
        <v>1893</v>
      </c>
      <c r="C32" s="98" t="s">
        <v>1761</v>
      </c>
      <c r="D32" s="179" t="s">
        <v>1066</v>
      </c>
      <c r="E32" s="219">
        <f t="shared" si="0"/>
        <v>1191</v>
      </c>
      <c r="F32" s="184">
        <v>1210</v>
      </c>
      <c r="G32" s="205"/>
      <c r="I32" s="186"/>
      <c r="J32" s="186"/>
      <c r="K32" s="186"/>
      <c r="L32" s="186"/>
    </row>
    <row r="33" spans="1:12" x14ac:dyDescent="0.15">
      <c r="A33" s="178" t="s">
        <v>251</v>
      </c>
      <c r="B33" s="98" t="s">
        <v>1893</v>
      </c>
      <c r="C33" s="98" t="s">
        <v>1761</v>
      </c>
      <c r="D33" s="179" t="s">
        <v>1067</v>
      </c>
      <c r="E33" s="219">
        <f t="shared" si="0"/>
        <v>1211</v>
      </c>
      <c r="F33" s="184">
        <v>1230</v>
      </c>
      <c r="G33" s="205"/>
      <c r="I33" s="186"/>
      <c r="J33" s="186"/>
      <c r="K33" s="186"/>
      <c r="L33" s="186"/>
    </row>
    <row r="34" spans="1:12" x14ac:dyDescent="0.15">
      <c r="A34" s="178" t="s">
        <v>251</v>
      </c>
      <c r="B34" s="98" t="s">
        <v>1893</v>
      </c>
      <c r="C34" s="98" t="s">
        <v>1761</v>
      </c>
      <c r="D34" s="179" t="s">
        <v>1068</v>
      </c>
      <c r="E34" s="219">
        <f t="shared" si="0"/>
        <v>1231</v>
      </c>
      <c r="F34" s="184">
        <v>1250</v>
      </c>
      <c r="G34" s="205"/>
      <c r="I34" s="186"/>
      <c r="J34" s="186"/>
      <c r="K34" s="186"/>
      <c r="L34" s="186"/>
    </row>
    <row r="35" spans="1:12" x14ac:dyDescent="0.15">
      <c r="A35" s="178" t="s">
        <v>251</v>
      </c>
      <c r="B35" s="98" t="s">
        <v>1893</v>
      </c>
      <c r="C35" s="98" t="s">
        <v>1761</v>
      </c>
      <c r="D35" s="179" t="s">
        <v>1069</v>
      </c>
      <c r="E35" s="219">
        <f t="shared" si="0"/>
        <v>1251</v>
      </c>
      <c r="F35" s="184">
        <v>1270</v>
      </c>
      <c r="G35" s="205"/>
      <c r="I35" s="186"/>
      <c r="J35" s="186"/>
      <c r="K35" s="186"/>
      <c r="L35" s="186"/>
    </row>
    <row r="36" spans="1:12" x14ac:dyDescent="0.15">
      <c r="A36" s="178" t="s">
        <v>251</v>
      </c>
      <c r="B36" s="98" t="s">
        <v>1893</v>
      </c>
      <c r="C36" s="98" t="s">
        <v>1761</v>
      </c>
      <c r="D36" s="179" t="s">
        <v>1070</v>
      </c>
      <c r="E36" s="219">
        <f t="shared" si="0"/>
        <v>1271</v>
      </c>
      <c r="F36" s="184">
        <v>1280</v>
      </c>
      <c r="G36" s="205"/>
      <c r="I36" s="186"/>
      <c r="J36" s="186"/>
      <c r="K36" s="186"/>
      <c r="L36" s="186"/>
    </row>
    <row r="37" spans="1:12" s="100" customFormat="1" x14ac:dyDescent="0.15">
      <c r="A37" s="176" t="s">
        <v>251</v>
      </c>
      <c r="B37" s="100" t="s">
        <v>1894</v>
      </c>
      <c r="C37" s="100" t="s">
        <v>1761</v>
      </c>
      <c r="D37" s="177" t="s">
        <v>1071</v>
      </c>
      <c r="E37" s="218">
        <f t="shared" si="0"/>
        <v>1281</v>
      </c>
      <c r="F37" s="217">
        <v>1325</v>
      </c>
      <c r="G37" s="205">
        <v>0.8</v>
      </c>
      <c r="H37" s="101">
        <v>0.1</v>
      </c>
      <c r="I37" s="186">
        <v>0.5</v>
      </c>
      <c r="J37" s="186">
        <v>1.05</v>
      </c>
      <c r="K37" s="186">
        <v>0.56000000000000005</v>
      </c>
      <c r="L37" s="186">
        <v>0.9</v>
      </c>
    </row>
    <row r="38" spans="1:12" x14ac:dyDescent="0.15">
      <c r="A38" s="178" t="s">
        <v>251</v>
      </c>
      <c r="B38" s="98" t="s">
        <v>1894</v>
      </c>
      <c r="C38" s="98" t="s">
        <v>1761</v>
      </c>
      <c r="D38" s="179" t="s">
        <v>1072</v>
      </c>
      <c r="E38" s="219">
        <f t="shared" si="0"/>
        <v>1326</v>
      </c>
      <c r="F38" s="184">
        <v>1350</v>
      </c>
      <c r="G38" s="206"/>
      <c r="H38" s="102"/>
      <c r="I38" s="187"/>
      <c r="J38" s="186"/>
      <c r="K38" s="186"/>
      <c r="L38" s="186"/>
    </row>
    <row r="39" spans="1:12" x14ac:dyDescent="0.15">
      <c r="A39" s="178" t="s">
        <v>251</v>
      </c>
      <c r="B39" s="98" t="s">
        <v>1894</v>
      </c>
      <c r="C39" s="98" t="s">
        <v>1761</v>
      </c>
      <c r="D39" s="179" t="s">
        <v>561</v>
      </c>
      <c r="E39" s="219">
        <f t="shared" si="0"/>
        <v>1351</v>
      </c>
      <c r="F39" s="184">
        <v>1360</v>
      </c>
      <c r="G39" s="205"/>
      <c r="I39" s="186"/>
      <c r="J39" s="186"/>
      <c r="K39" s="186"/>
      <c r="L39" s="186"/>
    </row>
    <row r="40" spans="1:12" s="100" customFormat="1" x14ac:dyDescent="0.15">
      <c r="A40" s="176" t="s">
        <v>251</v>
      </c>
      <c r="B40" s="100" t="s">
        <v>1886</v>
      </c>
      <c r="C40" s="100" t="s">
        <v>1761</v>
      </c>
      <c r="D40" s="177" t="s">
        <v>562</v>
      </c>
      <c r="E40" s="218">
        <f t="shared" si="0"/>
        <v>1361</v>
      </c>
      <c r="F40" s="217">
        <v>1440</v>
      </c>
      <c r="G40" s="205">
        <v>0.5</v>
      </c>
      <c r="H40" s="101">
        <v>0.06</v>
      </c>
      <c r="I40" s="186">
        <v>0.3</v>
      </c>
      <c r="J40" s="186">
        <v>0.95</v>
      </c>
      <c r="K40" s="186">
        <v>0.54</v>
      </c>
      <c r="L40" s="186">
        <v>0.6</v>
      </c>
    </row>
    <row r="41" spans="1:12" x14ac:dyDescent="0.15">
      <c r="A41" s="178" t="s">
        <v>251</v>
      </c>
      <c r="B41" s="98" t="s">
        <v>1886</v>
      </c>
      <c r="C41" s="98" t="s">
        <v>1761</v>
      </c>
      <c r="D41" s="179" t="s">
        <v>563</v>
      </c>
      <c r="E41" s="219">
        <f t="shared" si="0"/>
        <v>1441</v>
      </c>
      <c r="F41" s="184">
        <v>1490</v>
      </c>
      <c r="G41" s="206"/>
      <c r="H41" s="102"/>
      <c r="I41" s="187"/>
      <c r="J41" s="186"/>
      <c r="K41" s="186"/>
      <c r="L41" s="186"/>
    </row>
    <row r="42" spans="1:12" x14ac:dyDescent="0.15">
      <c r="A42" s="178" t="s">
        <v>251</v>
      </c>
      <c r="B42" s="98" t="s">
        <v>1886</v>
      </c>
      <c r="C42" s="98" t="s">
        <v>1761</v>
      </c>
      <c r="D42" s="179" t="s">
        <v>1073</v>
      </c>
      <c r="E42" s="219">
        <f t="shared" si="0"/>
        <v>1491</v>
      </c>
      <c r="F42" s="184">
        <v>1530</v>
      </c>
      <c r="G42" s="205"/>
      <c r="I42" s="186"/>
      <c r="J42" s="186"/>
      <c r="K42" s="186"/>
      <c r="L42" s="186"/>
    </row>
    <row r="43" spans="1:12" x14ac:dyDescent="0.15">
      <c r="A43" s="178" t="s">
        <v>251</v>
      </c>
      <c r="B43" s="98" t="s">
        <v>1886</v>
      </c>
      <c r="C43" s="98" t="s">
        <v>1761</v>
      </c>
      <c r="D43" s="179" t="s">
        <v>565</v>
      </c>
      <c r="E43" s="219">
        <f t="shared" si="0"/>
        <v>1531</v>
      </c>
      <c r="F43" s="184">
        <v>1550</v>
      </c>
      <c r="G43" s="205"/>
      <c r="I43" s="186"/>
      <c r="J43" s="186"/>
      <c r="K43" s="186"/>
      <c r="L43" s="186"/>
    </row>
    <row r="44" spans="1:12" s="100" customFormat="1" x14ac:dyDescent="0.15">
      <c r="A44" s="176" t="s">
        <v>251</v>
      </c>
      <c r="B44" s="100" t="s">
        <v>1762</v>
      </c>
      <c r="C44" s="100" t="s">
        <v>1762</v>
      </c>
      <c r="D44" s="177" t="s">
        <v>1074</v>
      </c>
      <c r="E44" s="218">
        <f t="shared" si="0"/>
        <v>1551</v>
      </c>
      <c r="F44" s="217">
        <v>1665</v>
      </c>
      <c r="G44" s="205">
        <v>0.3</v>
      </c>
      <c r="H44" s="101">
        <v>0.03</v>
      </c>
      <c r="I44" s="186">
        <v>0.2</v>
      </c>
      <c r="J44" s="186">
        <v>0.8</v>
      </c>
      <c r="K44" s="186">
        <v>0.45</v>
      </c>
      <c r="L44" s="186">
        <v>0.35</v>
      </c>
    </row>
    <row r="45" spans="1:12" x14ac:dyDescent="0.15">
      <c r="A45" s="178" t="s">
        <v>251</v>
      </c>
      <c r="B45" s="98" t="s">
        <v>1762</v>
      </c>
      <c r="C45" s="98" t="s">
        <v>1762</v>
      </c>
      <c r="D45" s="179" t="s">
        <v>1077</v>
      </c>
      <c r="E45" s="219">
        <f t="shared" si="0"/>
        <v>1666</v>
      </c>
      <c r="F45" s="184">
        <v>1735</v>
      </c>
      <c r="G45" s="206"/>
      <c r="H45" s="102"/>
      <c r="I45" s="187"/>
      <c r="J45" s="186"/>
      <c r="K45" s="186"/>
      <c r="L45" s="186"/>
    </row>
    <row r="46" spans="1:12" x14ac:dyDescent="0.15">
      <c r="A46" s="178" t="s">
        <v>251</v>
      </c>
      <c r="B46" s="98" t="s">
        <v>1762</v>
      </c>
      <c r="C46" s="98" t="s">
        <v>1762</v>
      </c>
      <c r="D46" s="179" t="s">
        <v>1078</v>
      </c>
      <c r="E46" s="219">
        <f t="shared" si="0"/>
        <v>1736</v>
      </c>
      <c r="F46" s="184">
        <v>1800</v>
      </c>
      <c r="G46" s="205"/>
      <c r="I46" s="186"/>
      <c r="J46" s="186"/>
      <c r="K46" s="186"/>
      <c r="L46" s="186"/>
    </row>
    <row r="47" spans="1:12" x14ac:dyDescent="0.15">
      <c r="A47" s="178" t="s">
        <v>251</v>
      </c>
      <c r="B47" s="98" t="s">
        <v>1762</v>
      </c>
      <c r="C47" s="98" t="s">
        <v>1762</v>
      </c>
      <c r="D47" s="179" t="s">
        <v>1044</v>
      </c>
      <c r="E47" s="219">
        <f t="shared" si="0"/>
        <v>1801</v>
      </c>
      <c r="F47" s="184">
        <v>1850</v>
      </c>
      <c r="G47" s="205"/>
      <c r="I47" s="186"/>
      <c r="J47" s="186"/>
      <c r="K47" s="186"/>
      <c r="L47" s="186"/>
    </row>
    <row r="48" spans="1:12" s="100" customFormat="1" x14ac:dyDescent="0.15">
      <c r="A48" s="176" t="s">
        <v>251</v>
      </c>
      <c r="B48" s="100" t="s">
        <v>1855</v>
      </c>
      <c r="C48" s="100" t="s">
        <v>1855</v>
      </c>
      <c r="D48" s="177" t="s">
        <v>1076</v>
      </c>
      <c r="E48" s="218">
        <f t="shared" si="0"/>
        <v>1851</v>
      </c>
      <c r="F48" s="217">
        <v>1980</v>
      </c>
      <c r="G48" s="205">
        <v>0.05</v>
      </c>
      <c r="H48" s="101">
        <v>5.0000000000000001E-3</v>
      </c>
      <c r="I48" s="186">
        <v>0.05</v>
      </c>
      <c r="J48" s="186">
        <v>0.35</v>
      </c>
      <c r="K48" s="186">
        <v>0.4</v>
      </c>
      <c r="L48" s="186">
        <v>0.15</v>
      </c>
    </row>
    <row r="49" spans="1:12" x14ac:dyDescent="0.15">
      <c r="A49" s="178" t="s">
        <v>251</v>
      </c>
      <c r="B49" s="98" t="s">
        <v>1855</v>
      </c>
      <c r="C49" s="98" t="s">
        <v>1855</v>
      </c>
      <c r="D49" s="179" t="s">
        <v>1075</v>
      </c>
      <c r="E49" s="219">
        <f t="shared" si="0"/>
        <v>1981</v>
      </c>
      <c r="F49" s="184">
        <v>2060</v>
      </c>
      <c r="G49" s="205"/>
      <c r="I49" s="186"/>
      <c r="J49" s="186"/>
      <c r="K49" s="186"/>
      <c r="L49" s="186"/>
    </row>
    <row r="50" spans="1:12" x14ac:dyDescent="0.15">
      <c r="A50" s="196" t="s">
        <v>251</v>
      </c>
      <c r="B50" s="197" t="s">
        <v>1855</v>
      </c>
      <c r="C50" s="197" t="s">
        <v>1855</v>
      </c>
      <c r="D50" s="198" t="s">
        <v>456</v>
      </c>
      <c r="E50" s="220">
        <f t="shared" si="0"/>
        <v>2061</v>
      </c>
      <c r="F50" s="204">
        <v>2100</v>
      </c>
      <c r="G50" s="207"/>
      <c r="H50" s="208"/>
      <c r="I50" s="209"/>
      <c r="J50" s="209"/>
      <c r="K50" s="209"/>
      <c r="L50" s="209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AD57-7879-4A00-B830-B834C8D6F789}">
  <sheetPr>
    <tabColor rgb="FFFFFF00"/>
  </sheetPr>
  <dimension ref="A1:L58"/>
  <sheetViews>
    <sheetView workbookViewId="0">
      <selection activeCell="L58" sqref="L58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s="32" customFormat="1" x14ac:dyDescent="0.15">
      <c r="A2" s="32" t="s">
        <v>257</v>
      </c>
      <c r="B2" s="32" t="s">
        <v>1759</v>
      </c>
      <c r="C2" s="32" t="s">
        <v>1759</v>
      </c>
      <c r="D2" s="77" t="s">
        <v>373</v>
      </c>
      <c r="E2" s="11">
        <v>0</v>
      </c>
      <c r="F2" s="19">
        <v>10</v>
      </c>
      <c r="G2" s="14">
        <v>0.25</v>
      </c>
      <c r="H2" s="14">
        <v>0.15</v>
      </c>
      <c r="I2" s="190">
        <v>0.04</v>
      </c>
      <c r="J2" s="190">
        <v>0.17</v>
      </c>
      <c r="K2" s="190">
        <v>0.1</v>
      </c>
      <c r="L2" s="14">
        <v>0.9</v>
      </c>
    </row>
    <row r="3" spans="1:12" x14ac:dyDescent="0.15">
      <c r="A3" s="9" t="s">
        <v>257</v>
      </c>
      <c r="B3" s="9" t="s">
        <v>1759</v>
      </c>
      <c r="C3" s="9" t="s">
        <v>1759</v>
      </c>
      <c r="D3" s="25" t="s">
        <v>374</v>
      </c>
      <c r="E3" s="10">
        <f>F2+1</f>
        <v>11</v>
      </c>
      <c r="F3" s="20">
        <v>40</v>
      </c>
      <c r="G3" s="24"/>
      <c r="H3" s="24"/>
      <c r="I3" s="195"/>
      <c r="J3" s="190"/>
      <c r="K3" s="190"/>
      <c r="L3" s="14"/>
    </row>
    <row r="4" spans="1:12" x14ac:dyDescent="0.15">
      <c r="A4" s="9" t="s">
        <v>257</v>
      </c>
      <c r="B4" s="9" t="s">
        <v>1759</v>
      </c>
      <c r="C4" s="9" t="s">
        <v>1759</v>
      </c>
      <c r="D4" s="25" t="s">
        <v>375</v>
      </c>
      <c r="E4" s="10">
        <f t="shared" ref="E4:E58" si="0">F3+1</f>
        <v>41</v>
      </c>
      <c r="F4" s="20">
        <v>70</v>
      </c>
      <c r="G4" s="14"/>
      <c r="H4" s="14"/>
      <c r="I4" s="190"/>
      <c r="J4" s="190"/>
      <c r="K4" s="190"/>
      <c r="L4" s="14"/>
    </row>
    <row r="5" spans="1:12" x14ac:dyDescent="0.15">
      <c r="A5" s="9" t="s">
        <v>257</v>
      </c>
      <c r="B5" s="9" t="s">
        <v>1759</v>
      </c>
      <c r="C5" s="9" t="s">
        <v>1759</v>
      </c>
      <c r="D5" s="25" t="s">
        <v>414</v>
      </c>
      <c r="E5" s="10">
        <f t="shared" si="0"/>
        <v>71</v>
      </c>
      <c r="F5" s="20">
        <v>95</v>
      </c>
      <c r="G5" s="14"/>
      <c r="H5" s="14"/>
      <c r="I5" s="190"/>
      <c r="J5" s="190"/>
      <c r="K5" s="190"/>
      <c r="L5" s="14"/>
    </row>
    <row r="6" spans="1:12" x14ac:dyDescent="0.15">
      <c r="A6" s="9" t="s">
        <v>257</v>
      </c>
      <c r="B6" s="9" t="s">
        <v>1759</v>
      </c>
      <c r="C6" s="9" t="s">
        <v>1759</v>
      </c>
      <c r="D6" s="25" t="s">
        <v>595</v>
      </c>
      <c r="E6" s="10">
        <f t="shared" si="0"/>
        <v>96</v>
      </c>
      <c r="F6" s="20">
        <v>115</v>
      </c>
      <c r="G6" s="14"/>
      <c r="H6" s="14"/>
      <c r="I6" s="190"/>
      <c r="J6" s="190"/>
      <c r="K6" s="190"/>
      <c r="L6" s="14"/>
    </row>
    <row r="7" spans="1:12" x14ac:dyDescent="0.15">
      <c r="A7" s="9" t="s">
        <v>257</v>
      </c>
      <c r="B7" s="9" t="s">
        <v>1759</v>
      </c>
      <c r="C7" s="9" t="s">
        <v>1759</v>
      </c>
      <c r="D7" s="25" t="s">
        <v>596</v>
      </c>
      <c r="E7" s="10">
        <f t="shared" si="0"/>
        <v>116</v>
      </c>
      <c r="F7" s="20">
        <v>130</v>
      </c>
      <c r="G7" s="14"/>
      <c r="H7" s="14"/>
      <c r="I7" s="190"/>
      <c r="J7" s="190"/>
      <c r="K7" s="190"/>
      <c r="L7" s="14"/>
    </row>
    <row r="8" spans="1:12" s="32" customFormat="1" x14ac:dyDescent="0.15">
      <c r="A8" s="32" t="s">
        <v>257</v>
      </c>
      <c r="B8" s="32" t="s">
        <v>1861</v>
      </c>
      <c r="C8" s="32" t="s">
        <v>1760</v>
      </c>
      <c r="D8" s="77" t="s">
        <v>380</v>
      </c>
      <c r="E8" s="11">
        <f t="shared" si="0"/>
        <v>131</v>
      </c>
      <c r="F8" s="19">
        <v>170</v>
      </c>
      <c r="G8" s="14">
        <v>1.02</v>
      </c>
      <c r="H8" s="14">
        <v>0.61</v>
      </c>
      <c r="I8" s="190">
        <v>0.2</v>
      </c>
      <c r="J8" s="190">
        <v>0.35</v>
      </c>
      <c r="K8" s="190">
        <v>0.15</v>
      </c>
      <c r="L8" s="14">
        <v>0.65</v>
      </c>
    </row>
    <row r="9" spans="1:12" x14ac:dyDescent="0.15">
      <c r="A9" s="9" t="s">
        <v>257</v>
      </c>
      <c r="B9" s="9" t="s">
        <v>1861</v>
      </c>
      <c r="C9" s="9" t="s">
        <v>1760</v>
      </c>
      <c r="D9" s="25" t="s">
        <v>535</v>
      </c>
      <c r="E9" s="10">
        <f t="shared" si="0"/>
        <v>171</v>
      </c>
      <c r="F9" s="20">
        <v>220</v>
      </c>
      <c r="G9" s="24"/>
      <c r="H9" s="24"/>
      <c r="I9" s="195"/>
      <c r="J9" s="190"/>
      <c r="K9" s="190"/>
      <c r="L9" s="14"/>
    </row>
    <row r="10" spans="1:12" x14ac:dyDescent="0.15">
      <c r="A10" s="9" t="s">
        <v>257</v>
      </c>
      <c r="B10" s="9" t="s">
        <v>1861</v>
      </c>
      <c r="C10" s="9" t="s">
        <v>1760</v>
      </c>
      <c r="D10" s="25" t="s">
        <v>536</v>
      </c>
      <c r="E10" s="10">
        <f t="shared" si="0"/>
        <v>221</v>
      </c>
      <c r="F10" s="20">
        <v>280</v>
      </c>
      <c r="G10" s="14"/>
      <c r="H10" s="14"/>
      <c r="I10" s="190"/>
      <c r="J10" s="190"/>
      <c r="K10" s="190"/>
      <c r="L10" s="14"/>
    </row>
    <row r="11" spans="1:12" x14ac:dyDescent="0.15">
      <c r="A11" s="9" t="s">
        <v>257</v>
      </c>
      <c r="B11" s="9" t="s">
        <v>1861</v>
      </c>
      <c r="C11" s="9" t="s">
        <v>1760</v>
      </c>
      <c r="D11" s="194" t="s">
        <v>537</v>
      </c>
      <c r="E11" s="10">
        <f t="shared" si="0"/>
        <v>281</v>
      </c>
      <c r="F11" s="37">
        <v>340</v>
      </c>
      <c r="G11" s="14"/>
      <c r="H11" s="14"/>
      <c r="I11" s="190"/>
      <c r="J11" s="190"/>
      <c r="K11" s="190"/>
      <c r="L11" s="14"/>
    </row>
    <row r="12" spans="1:12" x14ac:dyDescent="0.15">
      <c r="A12" s="9" t="s">
        <v>257</v>
      </c>
      <c r="B12" s="9" t="s">
        <v>1861</v>
      </c>
      <c r="C12" s="9" t="s">
        <v>1760</v>
      </c>
      <c r="D12" s="25" t="s">
        <v>538</v>
      </c>
      <c r="E12" s="10">
        <f t="shared" si="0"/>
        <v>341</v>
      </c>
      <c r="F12" s="20">
        <v>380</v>
      </c>
      <c r="G12" s="14"/>
      <c r="H12" s="14"/>
      <c r="I12" s="190"/>
      <c r="J12" s="190"/>
      <c r="K12" s="190"/>
      <c r="L12" s="14"/>
    </row>
    <row r="13" spans="1:12" s="32" customFormat="1" x14ac:dyDescent="0.15">
      <c r="A13" s="32" t="s">
        <v>257</v>
      </c>
      <c r="B13" s="32" t="s">
        <v>1857</v>
      </c>
      <c r="C13" s="32" t="s">
        <v>1760</v>
      </c>
      <c r="D13" s="77" t="s">
        <v>597</v>
      </c>
      <c r="E13" s="11">
        <f t="shared" si="0"/>
        <v>381</v>
      </c>
      <c r="F13" s="19">
        <v>420</v>
      </c>
      <c r="G13" s="14">
        <v>1.5</v>
      </c>
      <c r="H13" s="14">
        <v>0.9</v>
      </c>
      <c r="I13" s="190">
        <v>0.34</v>
      </c>
      <c r="J13" s="190">
        <v>0.5</v>
      </c>
      <c r="K13" s="190">
        <v>0.25</v>
      </c>
      <c r="L13" s="14">
        <v>0.6</v>
      </c>
    </row>
    <row r="14" spans="1:12" x14ac:dyDescent="0.15">
      <c r="A14" s="9" t="s">
        <v>257</v>
      </c>
      <c r="B14" s="9" t="s">
        <v>1857</v>
      </c>
      <c r="C14" s="9" t="s">
        <v>1760</v>
      </c>
      <c r="D14" s="25" t="s">
        <v>598</v>
      </c>
      <c r="E14" s="10">
        <f t="shared" si="0"/>
        <v>421</v>
      </c>
      <c r="F14" s="20">
        <v>470</v>
      </c>
      <c r="G14" s="24"/>
      <c r="H14" s="24"/>
      <c r="I14" s="195"/>
      <c r="J14" s="190"/>
      <c r="K14" s="190"/>
      <c r="L14" s="14"/>
    </row>
    <row r="15" spans="1:12" x14ac:dyDescent="0.15">
      <c r="A15" s="9" t="s">
        <v>257</v>
      </c>
      <c r="B15" s="9" t="s">
        <v>1857</v>
      </c>
      <c r="C15" s="9" t="s">
        <v>1760</v>
      </c>
      <c r="D15" s="25" t="s">
        <v>599</v>
      </c>
      <c r="E15" s="10">
        <f t="shared" si="0"/>
        <v>471</v>
      </c>
      <c r="F15" s="20">
        <v>520</v>
      </c>
      <c r="G15" s="14"/>
      <c r="H15" s="14"/>
      <c r="I15" s="190"/>
      <c r="J15" s="190"/>
      <c r="K15" s="190"/>
      <c r="L15" s="14"/>
    </row>
    <row r="16" spans="1:12" x14ac:dyDescent="0.15">
      <c r="A16" s="9" t="s">
        <v>257</v>
      </c>
      <c r="B16" s="9" t="s">
        <v>1857</v>
      </c>
      <c r="C16" s="9" t="s">
        <v>1760</v>
      </c>
      <c r="D16" s="25" t="s">
        <v>600</v>
      </c>
      <c r="E16" s="10">
        <f t="shared" si="0"/>
        <v>521</v>
      </c>
      <c r="F16" s="20">
        <v>560</v>
      </c>
      <c r="G16" s="14"/>
      <c r="H16" s="14"/>
      <c r="I16" s="190"/>
      <c r="J16" s="190"/>
      <c r="K16" s="190"/>
      <c r="L16" s="14"/>
    </row>
    <row r="17" spans="1:12" x14ac:dyDescent="0.15">
      <c r="A17" s="9" t="s">
        <v>257</v>
      </c>
      <c r="B17" s="9" t="s">
        <v>1857</v>
      </c>
      <c r="C17" s="9" t="s">
        <v>1760</v>
      </c>
      <c r="D17" s="25" t="s">
        <v>637</v>
      </c>
      <c r="E17" s="10">
        <f t="shared" si="0"/>
        <v>561</v>
      </c>
      <c r="F17" s="20">
        <v>600</v>
      </c>
      <c r="G17" s="14"/>
      <c r="H17" s="14"/>
      <c r="I17" s="190"/>
      <c r="J17" s="190"/>
      <c r="K17" s="190"/>
      <c r="L17" s="14"/>
    </row>
    <row r="18" spans="1:12" s="32" customFormat="1" x14ac:dyDescent="0.15">
      <c r="A18" s="32" t="s">
        <v>257</v>
      </c>
      <c r="B18" s="32" t="s">
        <v>1895</v>
      </c>
      <c r="C18" s="32" t="s">
        <v>1760</v>
      </c>
      <c r="D18" s="77" t="s">
        <v>512</v>
      </c>
      <c r="E18" s="11">
        <f t="shared" si="0"/>
        <v>601</v>
      </c>
      <c r="F18" s="19">
        <v>670</v>
      </c>
      <c r="G18" s="14">
        <v>1.88</v>
      </c>
      <c r="H18" s="14">
        <v>1.1299999999999999</v>
      </c>
      <c r="I18" s="190">
        <v>0.48</v>
      </c>
      <c r="J18" s="190">
        <v>0.6</v>
      </c>
      <c r="K18" s="190">
        <v>0.3</v>
      </c>
      <c r="L18" s="14">
        <v>0.55000000000000004</v>
      </c>
    </row>
    <row r="19" spans="1:12" x14ac:dyDescent="0.15">
      <c r="A19" s="9" t="s">
        <v>257</v>
      </c>
      <c r="B19" s="9" t="s">
        <v>1895</v>
      </c>
      <c r="C19" s="9" t="s">
        <v>1760</v>
      </c>
      <c r="D19" s="25" t="s">
        <v>601</v>
      </c>
      <c r="E19" s="10">
        <f t="shared" si="0"/>
        <v>671</v>
      </c>
      <c r="F19" s="20">
        <v>740</v>
      </c>
      <c r="G19" s="24"/>
      <c r="H19" s="24"/>
      <c r="I19" s="195"/>
      <c r="J19" s="190"/>
      <c r="K19" s="190"/>
      <c r="L19" s="14"/>
    </row>
    <row r="20" spans="1:12" x14ac:dyDescent="0.15">
      <c r="A20" s="9" t="s">
        <v>257</v>
      </c>
      <c r="B20" s="9" t="s">
        <v>1895</v>
      </c>
      <c r="C20" s="9" t="s">
        <v>1760</v>
      </c>
      <c r="D20" s="25" t="s">
        <v>602</v>
      </c>
      <c r="E20" s="10">
        <f t="shared" si="0"/>
        <v>741</v>
      </c>
      <c r="F20" s="20">
        <v>820</v>
      </c>
      <c r="G20" s="14"/>
      <c r="H20" s="14"/>
      <c r="I20" s="190"/>
      <c r="J20" s="190"/>
      <c r="K20" s="190"/>
      <c r="L20" s="14"/>
    </row>
    <row r="21" spans="1:12" x14ac:dyDescent="0.15">
      <c r="A21" s="9" t="s">
        <v>257</v>
      </c>
      <c r="B21" s="9" t="s">
        <v>1895</v>
      </c>
      <c r="C21" s="9" t="s">
        <v>1760</v>
      </c>
      <c r="D21" s="25" t="s">
        <v>603</v>
      </c>
      <c r="E21" s="10">
        <f t="shared" si="0"/>
        <v>821</v>
      </c>
      <c r="F21" s="20">
        <v>880</v>
      </c>
      <c r="G21" s="14"/>
      <c r="H21" s="14"/>
      <c r="I21" s="190"/>
      <c r="J21" s="190"/>
      <c r="K21" s="190"/>
      <c r="L21" s="14"/>
    </row>
    <row r="22" spans="1:12" x14ac:dyDescent="0.15">
      <c r="A22" s="9" t="s">
        <v>257</v>
      </c>
      <c r="B22" s="9" t="s">
        <v>1895</v>
      </c>
      <c r="C22" s="9" t="s">
        <v>1760</v>
      </c>
      <c r="D22" s="25" t="s">
        <v>516</v>
      </c>
      <c r="E22" s="10">
        <f t="shared" si="0"/>
        <v>881</v>
      </c>
      <c r="F22" s="20">
        <v>920</v>
      </c>
      <c r="G22" s="14"/>
      <c r="H22" s="14"/>
      <c r="I22" s="190"/>
      <c r="J22" s="190"/>
      <c r="K22" s="190"/>
      <c r="L22" s="14"/>
    </row>
    <row r="23" spans="1:12" s="32" customFormat="1" x14ac:dyDescent="0.15">
      <c r="A23" s="32" t="s">
        <v>257</v>
      </c>
      <c r="B23" s="32" t="s">
        <v>1858</v>
      </c>
      <c r="C23" s="32" t="s">
        <v>1761</v>
      </c>
      <c r="D23" s="77" t="s">
        <v>604</v>
      </c>
      <c r="E23" s="11">
        <f t="shared" si="0"/>
        <v>921</v>
      </c>
      <c r="F23" s="19">
        <v>980</v>
      </c>
      <c r="G23" s="14">
        <v>1</v>
      </c>
      <c r="H23" s="14">
        <v>0.6</v>
      </c>
      <c r="I23" s="190">
        <v>0.56000000000000005</v>
      </c>
      <c r="J23" s="190">
        <v>0.6</v>
      </c>
      <c r="K23" s="190">
        <v>0.35</v>
      </c>
      <c r="L23" s="14">
        <v>0.7</v>
      </c>
    </row>
    <row r="24" spans="1:12" x14ac:dyDescent="0.15">
      <c r="A24" s="9" t="s">
        <v>257</v>
      </c>
      <c r="B24" s="9" t="s">
        <v>1858</v>
      </c>
      <c r="C24" s="9" t="s">
        <v>1761</v>
      </c>
      <c r="D24" s="25" t="s">
        <v>605</v>
      </c>
      <c r="E24" s="10">
        <f t="shared" si="0"/>
        <v>981</v>
      </c>
      <c r="F24" s="20">
        <v>1030</v>
      </c>
      <c r="G24" s="24"/>
      <c r="H24" s="24"/>
      <c r="I24" s="195"/>
      <c r="J24" s="190"/>
      <c r="K24" s="190"/>
      <c r="L24" s="14"/>
    </row>
    <row r="25" spans="1:12" x14ac:dyDescent="0.15">
      <c r="A25" s="9" t="s">
        <v>257</v>
      </c>
      <c r="B25" s="9" t="s">
        <v>1858</v>
      </c>
      <c r="C25" s="9" t="s">
        <v>1761</v>
      </c>
      <c r="D25" s="25" t="s">
        <v>606</v>
      </c>
      <c r="E25" s="10">
        <f t="shared" si="0"/>
        <v>1031</v>
      </c>
      <c r="F25" s="20">
        <v>1080</v>
      </c>
      <c r="G25" s="14"/>
      <c r="H25" s="14"/>
      <c r="I25" s="190"/>
      <c r="J25" s="190"/>
      <c r="K25" s="190"/>
      <c r="L25" s="14"/>
    </row>
    <row r="26" spans="1:12" x14ac:dyDescent="0.15">
      <c r="A26" s="9" t="s">
        <v>257</v>
      </c>
      <c r="B26" s="9" t="s">
        <v>1858</v>
      </c>
      <c r="C26" s="9" t="s">
        <v>1761</v>
      </c>
      <c r="D26" s="25" t="s">
        <v>607</v>
      </c>
      <c r="E26" s="10">
        <f t="shared" si="0"/>
        <v>1081</v>
      </c>
      <c r="F26" s="20">
        <v>1130</v>
      </c>
      <c r="G26" s="14"/>
      <c r="H26" s="14"/>
      <c r="I26" s="190"/>
      <c r="J26" s="190"/>
      <c r="K26" s="190"/>
      <c r="L26" s="14"/>
    </row>
    <row r="27" spans="1:12" x14ac:dyDescent="0.15">
      <c r="A27" s="9" t="s">
        <v>257</v>
      </c>
      <c r="B27" s="9" t="s">
        <v>1858</v>
      </c>
      <c r="C27" s="9" t="s">
        <v>1761</v>
      </c>
      <c r="D27" s="25" t="s">
        <v>608</v>
      </c>
      <c r="E27" s="10">
        <f t="shared" si="0"/>
        <v>1131</v>
      </c>
      <c r="F27" s="20">
        <v>1160</v>
      </c>
      <c r="G27" s="14"/>
      <c r="H27" s="14"/>
      <c r="I27" s="190"/>
      <c r="J27" s="190"/>
      <c r="K27" s="190"/>
      <c r="L27" s="14"/>
    </row>
    <row r="28" spans="1:12" x14ac:dyDescent="0.15">
      <c r="A28" s="9" t="s">
        <v>257</v>
      </c>
      <c r="B28" s="9" t="s">
        <v>1858</v>
      </c>
      <c r="C28" s="9" t="s">
        <v>1761</v>
      </c>
      <c r="D28" s="25" t="s">
        <v>609</v>
      </c>
      <c r="E28" s="10">
        <f t="shared" si="0"/>
        <v>1161</v>
      </c>
      <c r="F28" s="20">
        <v>1175</v>
      </c>
      <c r="G28" s="14"/>
      <c r="H28" s="14"/>
      <c r="I28" s="190"/>
      <c r="J28" s="190"/>
      <c r="K28" s="190"/>
      <c r="L28" s="14"/>
    </row>
    <row r="29" spans="1:12" x14ac:dyDescent="0.15">
      <c r="A29" s="9" t="s">
        <v>257</v>
      </c>
      <c r="B29" s="9" t="s">
        <v>1858</v>
      </c>
      <c r="C29" s="9" t="s">
        <v>1761</v>
      </c>
      <c r="D29" s="25" t="s">
        <v>610</v>
      </c>
      <c r="E29" s="10">
        <f t="shared" si="0"/>
        <v>1176</v>
      </c>
      <c r="F29" s="20">
        <v>1185</v>
      </c>
      <c r="G29" s="14"/>
      <c r="H29" s="14"/>
      <c r="I29" s="190"/>
      <c r="J29" s="190"/>
      <c r="K29" s="190"/>
      <c r="L29" s="14"/>
    </row>
    <row r="30" spans="1:12" s="32" customFormat="1" x14ac:dyDescent="0.15">
      <c r="A30" s="32" t="s">
        <v>257</v>
      </c>
      <c r="B30" s="32" t="s">
        <v>1896</v>
      </c>
      <c r="C30" s="32" t="s">
        <v>1761</v>
      </c>
      <c r="D30" s="77" t="s">
        <v>611</v>
      </c>
      <c r="E30" s="11">
        <f t="shared" si="0"/>
        <v>1186</v>
      </c>
      <c r="F30" s="19">
        <v>1235</v>
      </c>
      <c r="G30" s="14">
        <v>0.25</v>
      </c>
      <c r="H30" s="14">
        <v>0.15</v>
      </c>
      <c r="I30" s="190">
        <v>0.09</v>
      </c>
      <c r="J30" s="190">
        <v>0.65</v>
      </c>
      <c r="K30" s="190">
        <v>0.35</v>
      </c>
      <c r="L30" s="14">
        <v>0.85</v>
      </c>
    </row>
    <row r="31" spans="1:12" x14ac:dyDescent="0.15">
      <c r="A31" s="9" t="s">
        <v>257</v>
      </c>
      <c r="B31" s="9" t="s">
        <v>1896</v>
      </c>
      <c r="C31" s="9" t="s">
        <v>1761</v>
      </c>
      <c r="D31" s="25" t="s">
        <v>612</v>
      </c>
      <c r="E31" s="10">
        <f t="shared" si="0"/>
        <v>1236</v>
      </c>
      <c r="F31" s="20">
        <v>1315</v>
      </c>
      <c r="G31" s="24"/>
      <c r="H31" s="24"/>
      <c r="I31" s="195"/>
      <c r="J31" s="190"/>
      <c r="K31" s="190"/>
      <c r="L31" s="14"/>
    </row>
    <row r="32" spans="1:12" x14ac:dyDescent="0.15">
      <c r="A32" s="9" t="s">
        <v>257</v>
      </c>
      <c r="B32" s="9" t="s">
        <v>1896</v>
      </c>
      <c r="C32" s="9" t="s">
        <v>1761</v>
      </c>
      <c r="D32" s="25" t="s">
        <v>613</v>
      </c>
      <c r="E32" s="10">
        <f t="shared" si="0"/>
        <v>1316</v>
      </c>
      <c r="F32" s="20">
        <v>1370</v>
      </c>
      <c r="G32" s="14"/>
      <c r="H32" s="14"/>
      <c r="I32" s="190"/>
      <c r="J32" s="190"/>
      <c r="K32" s="190"/>
      <c r="L32" s="14"/>
    </row>
    <row r="33" spans="1:12" x14ac:dyDescent="0.15">
      <c r="A33" s="9" t="s">
        <v>257</v>
      </c>
      <c r="B33" s="9" t="s">
        <v>1896</v>
      </c>
      <c r="C33" s="9" t="s">
        <v>1761</v>
      </c>
      <c r="D33" s="25" t="s">
        <v>614</v>
      </c>
      <c r="E33" s="10">
        <f t="shared" si="0"/>
        <v>1371</v>
      </c>
      <c r="F33" s="20">
        <v>1420</v>
      </c>
      <c r="G33" s="14"/>
      <c r="H33" s="14"/>
      <c r="I33" s="190"/>
      <c r="J33" s="190"/>
      <c r="K33" s="190"/>
      <c r="L33" s="14"/>
    </row>
    <row r="34" spans="1:12" x14ac:dyDescent="0.15">
      <c r="A34" s="9" t="s">
        <v>257</v>
      </c>
      <c r="B34" s="9" t="s">
        <v>1896</v>
      </c>
      <c r="C34" s="9" t="s">
        <v>1761</v>
      </c>
      <c r="D34" s="25" t="s">
        <v>615</v>
      </c>
      <c r="E34" s="10">
        <f t="shared" si="0"/>
        <v>1421</v>
      </c>
      <c r="F34" s="20">
        <v>1460</v>
      </c>
      <c r="G34" s="14"/>
      <c r="H34" s="14"/>
      <c r="I34" s="190"/>
      <c r="J34" s="190"/>
      <c r="K34" s="190"/>
      <c r="L34" s="14"/>
    </row>
    <row r="35" spans="1:12" x14ac:dyDescent="0.15">
      <c r="A35" s="9" t="s">
        <v>257</v>
      </c>
      <c r="B35" s="9" t="s">
        <v>1896</v>
      </c>
      <c r="C35" s="9" t="s">
        <v>1761</v>
      </c>
      <c r="D35" s="25" t="s">
        <v>616</v>
      </c>
      <c r="E35" s="10">
        <f t="shared" si="0"/>
        <v>1461</v>
      </c>
      <c r="F35" s="20">
        <v>1485</v>
      </c>
      <c r="G35" s="14"/>
      <c r="H35" s="14"/>
      <c r="I35" s="190"/>
      <c r="J35" s="190"/>
      <c r="K35" s="190"/>
      <c r="L35" s="14"/>
    </row>
    <row r="36" spans="1:12" x14ac:dyDescent="0.15">
      <c r="A36" s="9" t="s">
        <v>257</v>
      </c>
      <c r="B36" s="9" t="s">
        <v>1896</v>
      </c>
      <c r="C36" s="9" t="s">
        <v>1761</v>
      </c>
      <c r="D36" s="25" t="s">
        <v>520</v>
      </c>
      <c r="E36" s="10">
        <f t="shared" si="0"/>
        <v>1486</v>
      </c>
      <c r="F36" s="20">
        <v>1495</v>
      </c>
      <c r="G36" s="14"/>
      <c r="H36" s="14"/>
      <c r="I36" s="190"/>
      <c r="J36" s="190"/>
      <c r="K36" s="190"/>
      <c r="L36" s="14"/>
    </row>
    <row r="37" spans="1:12" x14ac:dyDescent="0.15">
      <c r="A37" s="9" t="s">
        <v>257</v>
      </c>
      <c r="B37" s="9" t="s">
        <v>1896</v>
      </c>
      <c r="C37" s="9" t="s">
        <v>1761</v>
      </c>
      <c r="D37" s="25" t="s">
        <v>521</v>
      </c>
      <c r="E37" s="10">
        <f t="shared" si="0"/>
        <v>1496</v>
      </c>
      <c r="F37" s="20">
        <v>1500</v>
      </c>
      <c r="G37" s="14"/>
      <c r="H37" s="14"/>
      <c r="I37" s="190"/>
      <c r="J37" s="190"/>
      <c r="K37" s="190"/>
      <c r="L37" s="14"/>
    </row>
    <row r="38" spans="1:12" s="32" customFormat="1" x14ac:dyDescent="0.15">
      <c r="A38" s="32" t="s">
        <v>257</v>
      </c>
      <c r="B38" s="32" t="s">
        <v>1854</v>
      </c>
      <c r="C38" s="32" t="s">
        <v>1761</v>
      </c>
      <c r="D38" s="77" t="s">
        <v>617</v>
      </c>
      <c r="E38" s="11">
        <f t="shared" si="0"/>
        <v>1501</v>
      </c>
      <c r="F38" s="19">
        <v>1570</v>
      </c>
      <c r="G38" s="14">
        <v>0.12</v>
      </c>
      <c r="H38" s="14">
        <v>0.08</v>
      </c>
      <c r="I38" s="190">
        <v>0.05</v>
      </c>
      <c r="J38" s="190">
        <v>0.6</v>
      </c>
      <c r="K38" s="190">
        <v>0.4</v>
      </c>
      <c r="L38" s="14">
        <v>0.55000000000000004</v>
      </c>
    </row>
    <row r="39" spans="1:12" x14ac:dyDescent="0.15">
      <c r="A39" s="9" t="s">
        <v>257</v>
      </c>
      <c r="B39" s="9" t="s">
        <v>1854</v>
      </c>
      <c r="C39" s="9" t="s">
        <v>1761</v>
      </c>
      <c r="D39" s="25" t="s">
        <v>618</v>
      </c>
      <c r="E39" s="10">
        <f t="shared" si="0"/>
        <v>1571</v>
      </c>
      <c r="F39" s="20">
        <v>1630</v>
      </c>
      <c r="G39" s="24"/>
      <c r="H39" s="24"/>
      <c r="I39" s="195"/>
      <c r="J39" s="190"/>
      <c r="K39" s="190"/>
      <c r="L39" s="14"/>
    </row>
    <row r="40" spans="1:12" x14ac:dyDescent="0.15">
      <c r="A40" s="9" t="s">
        <v>257</v>
      </c>
      <c r="B40" s="9" t="s">
        <v>1854</v>
      </c>
      <c r="C40" s="9" t="s">
        <v>1761</v>
      </c>
      <c r="D40" s="25" t="s">
        <v>619</v>
      </c>
      <c r="E40" s="10">
        <f t="shared" si="0"/>
        <v>1631</v>
      </c>
      <c r="F40" s="20">
        <v>1690</v>
      </c>
      <c r="G40" s="14"/>
      <c r="H40" s="14"/>
      <c r="I40" s="190"/>
      <c r="J40" s="190"/>
      <c r="K40" s="190"/>
      <c r="L40" s="14"/>
    </row>
    <row r="41" spans="1:12" x14ac:dyDescent="0.15">
      <c r="A41" s="9" t="s">
        <v>257</v>
      </c>
      <c r="B41" s="9" t="s">
        <v>1854</v>
      </c>
      <c r="C41" s="9" t="s">
        <v>1761</v>
      </c>
      <c r="D41" s="25" t="s">
        <v>620</v>
      </c>
      <c r="E41" s="10">
        <f t="shared" si="0"/>
        <v>1691</v>
      </c>
      <c r="F41" s="20">
        <v>1750</v>
      </c>
      <c r="G41" s="14"/>
      <c r="H41" s="14"/>
      <c r="I41" s="190"/>
      <c r="J41" s="190"/>
      <c r="K41" s="190"/>
      <c r="L41" s="14"/>
    </row>
    <row r="42" spans="1:12" x14ac:dyDescent="0.15">
      <c r="A42" s="9" t="s">
        <v>257</v>
      </c>
      <c r="B42" s="9" t="s">
        <v>1854</v>
      </c>
      <c r="C42" s="9" t="s">
        <v>1761</v>
      </c>
      <c r="D42" s="25" t="s">
        <v>621</v>
      </c>
      <c r="E42" s="10">
        <f t="shared" si="0"/>
        <v>1751</v>
      </c>
      <c r="F42" s="20">
        <v>1800</v>
      </c>
      <c r="G42" s="14"/>
      <c r="H42" s="14"/>
      <c r="I42" s="190"/>
      <c r="J42" s="190"/>
      <c r="K42" s="190"/>
      <c r="L42" s="14"/>
    </row>
    <row r="43" spans="1:12" x14ac:dyDescent="0.15">
      <c r="A43" s="9" t="s">
        <v>257</v>
      </c>
      <c r="B43" s="9" t="s">
        <v>1854</v>
      </c>
      <c r="C43" s="9" t="s">
        <v>1761</v>
      </c>
      <c r="D43" s="25" t="s">
        <v>622</v>
      </c>
      <c r="E43" s="10">
        <f t="shared" si="0"/>
        <v>1801</v>
      </c>
      <c r="F43" s="20">
        <v>1840</v>
      </c>
      <c r="G43" s="14"/>
      <c r="H43" s="14"/>
      <c r="I43" s="190"/>
      <c r="J43" s="190"/>
      <c r="K43" s="190"/>
      <c r="L43" s="14"/>
    </row>
    <row r="44" spans="1:12" x14ac:dyDescent="0.15">
      <c r="A44" s="9" t="s">
        <v>257</v>
      </c>
      <c r="B44" s="9" t="s">
        <v>1854</v>
      </c>
      <c r="C44" s="9" t="s">
        <v>1761</v>
      </c>
      <c r="D44" s="25" t="s">
        <v>623</v>
      </c>
      <c r="E44" s="10">
        <f t="shared" si="0"/>
        <v>1841</v>
      </c>
      <c r="F44" s="20">
        <v>1870</v>
      </c>
      <c r="G44" s="14"/>
      <c r="H44" s="14"/>
      <c r="I44" s="190"/>
      <c r="J44" s="190"/>
      <c r="K44" s="190"/>
      <c r="L44" s="14"/>
    </row>
    <row r="45" spans="1:12" x14ac:dyDescent="0.15">
      <c r="A45" s="9" t="s">
        <v>257</v>
      </c>
      <c r="B45" s="9" t="s">
        <v>1854</v>
      </c>
      <c r="C45" s="9" t="s">
        <v>1761</v>
      </c>
      <c r="D45" s="25" t="s">
        <v>624</v>
      </c>
      <c r="E45" s="10">
        <f t="shared" si="0"/>
        <v>1871</v>
      </c>
      <c r="F45" s="20">
        <v>1890</v>
      </c>
      <c r="G45" s="14"/>
      <c r="H45" s="14"/>
      <c r="I45" s="190"/>
      <c r="J45" s="190"/>
      <c r="K45" s="190"/>
      <c r="L45" s="14"/>
    </row>
    <row r="46" spans="1:12" x14ac:dyDescent="0.15">
      <c r="A46" s="9" t="s">
        <v>257</v>
      </c>
      <c r="B46" s="9" t="s">
        <v>1854</v>
      </c>
      <c r="C46" s="9" t="s">
        <v>1761</v>
      </c>
      <c r="D46" s="25" t="s">
        <v>625</v>
      </c>
      <c r="E46" s="10">
        <f t="shared" si="0"/>
        <v>1891</v>
      </c>
      <c r="F46" s="20">
        <v>1900</v>
      </c>
      <c r="G46" s="14"/>
      <c r="H46" s="14"/>
      <c r="I46" s="190"/>
      <c r="J46" s="190"/>
      <c r="K46" s="190"/>
      <c r="L46" s="14"/>
    </row>
    <row r="47" spans="1:12" s="32" customFormat="1" x14ac:dyDescent="0.15">
      <c r="A47" s="32" t="s">
        <v>257</v>
      </c>
      <c r="B47" s="32" t="s">
        <v>1762</v>
      </c>
      <c r="C47" s="32" t="s">
        <v>1762</v>
      </c>
      <c r="D47" s="77" t="s">
        <v>626</v>
      </c>
      <c r="E47" s="11">
        <f t="shared" si="0"/>
        <v>1901</v>
      </c>
      <c r="F47" s="19">
        <v>1980</v>
      </c>
      <c r="G47" s="14">
        <v>0.08</v>
      </c>
      <c r="H47" s="14">
        <v>0.05</v>
      </c>
      <c r="I47" s="190">
        <v>0.03</v>
      </c>
      <c r="J47" s="190">
        <v>0.45</v>
      </c>
      <c r="K47" s="190">
        <v>0.35</v>
      </c>
      <c r="L47" s="14">
        <v>0.3</v>
      </c>
    </row>
    <row r="48" spans="1:12" x14ac:dyDescent="0.15">
      <c r="A48" s="9" t="s">
        <v>257</v>
      </c>
      <c r="B48" s="9" t="s">
        <v>1762</v>
      </c>
      <c r="C48" s="9" t="s">
        <v>1762</v>
      </c>
      <c r="D48" s="25" t="s">
        <v>627</v>
      </c>
      <c r="E48" s="10">
        <f t="shared" si="0"/>
        <v>1981</v>
      </c>
      <c r="F48" s="20">
        <v>2040</v>
      </c>
      <c r="G48" s="24"/>
      <c r="H48" s="24"/>
      <c r="I48" s="195"/>
      <c r="J48" s="190"/>
      <c r="K48" s="190"/>
      <c r="L48" s="14"/>
    </row>
    <row r="49" spans="1:12" x14ac:dyDescent="0.15">
      <c r="A49" s="9" t="s">
        <v>257</v>
      </c>
      <c r="B49" s="9" t="s">
        <v>1762</v>
      </c>
      <c r="C49" s="9" t="s">
        <v>1762</v>
      </c>
      <c r="D49" s="25" t="s">
        <v>628</v>
      </c>
      <c r="E49" s="10">
        <f t="shared" si="0"/>
        <v>2041</v>
      </c>
      <c r="F49" s="20">
        <v>2100</v>
      </c>
      <c r="G49" s="14"/>
      <c r="H49" s="14"/>
      <c r="I49" s="190"/>
      <c r="J49" s="190"/>
      <c r="K49" s="190"/>
      <c r="L49" s="14"/>
    </row>
    <row r="50" spans="1:12" x14ac:dyDescent="0.15">
      <c r="A50" s="9" t="s">
        <v>257</v>
      </c>
      <c r="B50" s="9" t="s">
        <v>1762</v>
      </c>
      <c r="C50" s="9" t="s">
        <v>1762</v>
      </c>
      <c r="D50" s="25" t="s">
        <v>629</v>
      </c>
      <c r="E50" s="10">
        <f t="shared" si="0"/>
        <v>2101</v>
      </c>
      <c r="F50" s="20">
        <v>2145</v>
      </c>
      <c r="G50" s="14"/>
      <c r="H50" s="14"/>
      <c r="I50" s="190"/>
      <c r="J50" s="190"/>
      <c r="K50" s="190"/>
      <c r="L50" s="14"/>
    </row>
    <row r="51" spans="1:12" x14ac:dyDescent="0.15">
      <c r="A51" s="9" t="s">
        <v>257</v>
      </c>
      <c r="B51" s="9" t="s">
        <v>1762</v>
      </c>
      <c r="C51" s="9" t="s">
        <v>1762</v>
      </c>
      <c r="D51" s="25" t="s">
        <v>630</v>
      </c>
      <c r="E51" s="10">
        <f t="shared" si="0"/>
        <v>2146</v>
      </c>
      <c r="F51" s="20">
        <v>2185</v>
      </c>
      <c r="G51" s="14"/>
      <c r="H51" s="14"/>
      <c r="I51" s="190"/>
      <c r="J51" s="190"/>
      <c r="K51" s="190"/>
      <c r="L51" s="14"/>
    </row>
    <row r="52" spans="1:12" x14ac:dyDescent="0.15">
      <c r="A52" s="9" t="s">
        <v>257</v>
      </c>
      <c r="B52" s="9" t="s">
        <v>1762</v>
      </c>
      <c r="C52" s="9" t="s">
        <v>1762</v>
      </c>
      <c r="D52" s="25" t="s">
        <v>631</v>
      </c>
      <c r="E52" s="10">
        <f t="shared" si="0"/>
        <v>2186</v>
      </c>
      <c r="F52" s="20">
        <v>2215</v>
      </c>
      <c r="G52" s="14"/>
      <c r="H52" s="14"/>
      <c r="I52" s="190"/>
      <c r="J52" s="190"/>
      <c r="K52" s="190"/>
      <c r="L52" s="14"/>
    </row>
    <row r="53" spans="1:12" x14ac:dyDescent="0.15">
      <c r="A53" s="9" t="s">
        <v>257</v>
      </c>
      <c r="B53" s="9" t="s">
        <v>1762</v>
      </c>
      <c r="C53" s="9" t="s">
        <v>1762</v>
      </c>
      <c r="D53" s="25" t="s">
        <v>632</v>
      </c>
      <c r="E53" s="10">
        <f t="shared" si="0"/>
        <v>2216</v>
      </c>
      <c r="F53" s="20">
        <v>2235</v>
      </c>
      <c r="G53" s="14"/>
      <c r="H53" s="14"/>
      <c r="I53" s="190"/>
      <c r="J53" s="190"/>
      <c r="K53" s="190"/>
      <c r="L53" s="14"/>
    </row>
    <row r="54" spans="1:12" x14ac:dyDescent="0.15">
      <c r="A54" s="9" t="s">
        <v>257</v>
      </c>
      <c r="B54" s="9" t="s">
        <v>1762</v>
      </c>
      <c r="C54" s="9" t="s">
        <v>1762</v>
      </c>
      <c r="D54" s="25" t="s">
        <v>633</v>
      </c>
      <c r="E54" s="10">
        <f t="shared" si="0"/>
        <v>2236</v>
      </c>
      <c r="F54" s="20">
        <v>2250</v>
      </c>
      <c r="G54" s="14"/>
      <c r="H54" s="14"/>
      <c r="I54" s="190"/>
      <c r="J54" s="190"/>
      <c r="K54" s="190"/>
      <c r="L54" s="14"/>
    </row>
    <row r="55" spans="1:12" x14ac:dyDescent="0.15">
      <c r="A55" s="9" t="s">
        <v>257</v>
      </c>
      <c r="B55" s="9" t="s">
        <v>1762</v>
      </c>
      <c r="C55" s="9" t="s">
        <v>1762</v>
      </c>
      <c r="D55" s="25" t="s">
        <v>634</v>
      </c>
      <c r="E55" s="10">
        <f t="shared" si="0"/>
        <v>2251</v>
      </c>
      <c r="F55" s="20">
        <v>2260</v>
      </c>
      <c r="G55" s="14"/>
      <c r="H55" s="14"/>
      <c r="I55" s="190"/>
      <c r="J55" s="190"/>
      <c r="K55" s="190"/>
      <c r="L55" s="14"/>
    </row>
    <row r="56" spans="1:12" x14ac:dyDescent="0.15">
      <c r="A56" s="9" t="s">
        <v>257</v>
      </c>
      <c r="B56" s="9" t="s">
        <v>1762</v>
      </c>
      <c r="C56" s="9" t="s">
        <v>1762</v>
      </c>
      <c r="D56" s="194" t="s">
        <v>635</v>
      </c>
      <c r="E56" s="10">
        <f t="shared" si="0"/>
        <v>2261</v>
      </c>
      <c r="F56" s="37">
        <v>2320</v>
      </c>
      <c r="G56" s="14"/>
      <c r="H56" s="14"/>
      <c r="I56" s="190"/>
      <c r="J56" s="190"/>
      <c r="K56" s="190"/>
      <c r="L56" s="14"/>
    </row>
    <row r="57" spans="1:12" s="32" customFormat="1" x14ac:dyDescent="0.15">
      <c r="A57" s="32" t="s">
        <v>257</v>
      </c>
      <c r="B57" s="32" t="s">
        <v>1855</v>
      </c>
      <c r="C57" s="32" t="s">
        <v>1855</v>
      </c>
      <c r="D57" s="77" t="s">
        <v>636</v>
      </c>
      <c r="E57" s="11">
        <f t="shared" si="0"/>
        <v>2321</v>
      </c>
      <c r="F57" s="19">
        <v>2480</v>
      </c>
      <c r="G57" s="14">
        <v>0</v>
      </c>
      <c r="H57" s="14">
        <v>0</v>
      </c>
      <c r="I57" s="190">
        <v>0</v>
      </c>
      <c r="J57" s="190">
        <v>0.3</v>
      </c>
      <c r="K57" s="190">
        <v>0.2</v>
      </c>
      <c r="L57" s="14">
        <v>0.15</v>
      </c>
    </row>
    <row r="58" spans="1:12" x14ac:dyDescent="0.15">
      <c r="A58" s="9" t="s">
        <v>257</v>
      </c>
      <c r="B58" s="9" t="s">
        <v>1855</v>
      </c>
      <c r="C58" s="9" t="s">
        <v>1855</v>
      </c>
      <c r="D58" s="25" t="s">
        <v>456</v>
      </c>
      <c r="E58" s="10">
        <f t="shared" si="0"/>
        <v>2481</v>
      </c>
      <c r="F58" s="20">
        <v>2550</v>
      </c>
      <c r="G58" s="24"/>
      <c r="H58" s="24"/>
      <c r="I58" s="195"/>
      <c r="J58" s="190"/>
      <c r="K58" s="190"/>
      <c r="L58" s="14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E4FF-544B-40A5-98DE-2DF553805D3C}">
  <sheetPr>
    <tabColor rgb="FFFFFF00"/>
  </sheetPr>
  <dimension ref="A1:L45"/>
  <sheetViews>
    <sheetView workbookViewId="0">
      <selection activeCell="L43" sqref="L43"/>
    </sheetView>
  </sheetViews>
  <sheetFormatPr defaultRowHeight="10.5" x14ac:dyDescent="0.15"/>
  <cols>
    <col min="1" max="1" width="10.28515625" style="98" bestFit="1" customWidth="1"/>
    <col min="2" max="2" width="29.42578125" style="98" bestFit="1" customWidth="1"/>
    <col min="3" max="3" width="11.85546875" style="98" bestFit="1" customWidth="1"/>
    <col min="4" max="4" width="74" style="98" bestFit="1" customWidth="1"/>
    <col min="5" max="5" width="9.5703125" style="98" bestFit="1" customWidth="1"/>
    <col min="6" max="6" width="8.28515625" style="98" bestFit="1" customWidth="1"/>
    <col min="7" max="9" width="12.85546875" style="101" bestFit="1" customWidth="1"/>
    <col min="10" max="10" width="14.42578125" style="101" bestFit="1" customWidth="1"/>
    <col min="11" max="11" width="10.7109375" style="101" bestFit="1" customWidth="1"/>
    <col min="12" max="12" width="14.5703125" style="98" bestFit="1" customWidth="1"/>
    <col min="13" max="16384" width="9.140625" style="98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x14ac:dyDescent="0.15">
      <c r="A2" s="100" t="s">
        <v>263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5</v>
      </c>
      <c r="G2" s="101">
        <v>0.08</v>
      </c>
      <c r="H2" s="101">
        <v>0.01</v>
      </c>
      <c r="I2" s="186">
        <v>0.08</v>
      </c>
      <c r="J2" s="186">
        <v>0.35</v>
      </c>
      <c r="K2" s="186">
        <v>0.35</v>
      </c>
      <c r="L2" s="101">
        <v>0.7</v>
      </c>
    </row>
    <row r="3" spans="1:12" x14ac:dyDescent="0.15">
      <c r="A3" s="98" t="s">
        <v>263</v>
      </c>
      <c r="B3" s="98" t="s">
        <v>1759</v>
      </c>
      <c r="C3" s="98" t="s">
        <v>1759</v>
      </c>
      <c r="D3" s="179" t="s">
        <v>374</v>
      </c>
      <c r="E3" s="12">
        <f>F2+1</f>
        <v>6</v>
      </c>
      <c r="F3" s="184">
        <v>20</v>
      </c>
      <c r="G3" s="102"/>
      <c r="H3" s="102"/>
      <c r="I3" s="187"/>
      <c r="J3" s="186"/>
      <c r="K3" s="186"/>
      <c r="L3" s="101"/>
    </row>
    <row r="4" spans="1:12" x14ac:dyDescent="0.15">
      <c r="A4" s="98" t="s">
        <v>263</v>
      </c>
      <c r="B4" s="98" t="s">
        <v>1759</v>
      </c>
      <c r="C4" s="98" t="s">
        <v>1759</v>
      </c>
      <c r="D4" s="179" t="s">
        <v>375</v>
      </c>
      <c r="E4" s="12">
        <f t="shared" ref="E4:E45" si="0">F3+1</f>
        <v>21</v>
      </c>
      <c r="F4" s="184">
        <v>40</v>
      </c>
      <c r="I4" s="186"/>
      <c r="J4" s="186"/>
      <c r="K4" s="186"/>
      <c r="L4" s="101"/>
    </row>
    <row r="5" spans="1:12" x14ac:dyDescent="0.15">
      <c r="A5" s="98" t="s">
        <v>263</v>
      </c>
      <c r="B5" s="98" t="s">
        <v>1759</v>
      </c>
      <c r="C5" s="98" t="s">
        <v>1759</v>
      </c>
      <c r="D5" s="179" t="s">
        <v>414</v>
      </c>
      <c r="E5" s="12">
        <f t="shared" si="0"/>
        <v>41</v>
      </c>
      <c r="F5" s="184">
        <v>70</v>
      </c>
      <c r="I5" s="186"/>
      <c r="J5" s="186"/>
      <c r="K5" s="186"/>
      <c r="L5" s="101"/>
    </row>
    <row r="6" spans="1:12" x14ac:dyDescent="0.15">
      <c r="A6" s="98" t="s">
        <v>263</v>
      </c>
      <c r="B6" s="98" t="s">
        <v>1759</v>
      </c>
      <c r="C6" s="98" t="s">
        <v>1759</v>
      </c>
      <c r="D6" s="179" t="s">
        <v>415</v>
      </c>
      <c r="E6" s="12">
        <f t="shared" si="0"/>
        <v>71</v>
      </c>
      <c r="F6" s="184">
        <v>95</v>
      </c>
      <c r="I6" s="186"/>
      <c r="J6" s="186"/>
      <c r="K6" s="186"/>
      <c r="L6" s="101"/>
    </row>
    <row r="7" spans="1:12" x14ac:dyDescent="0.15">
      <c r="A7" s="98" t="s">
        <v>263</v>
      </c>
      <c r="B7" s="98" t="s">
        <v>1759</v>
      </c>
      <c r="C7" s="98" t="s">
        <v>1759</v>
      </c>
      <c r="D7" s="179" t="s">
        <v>416</v>
      </c>
      <c r="E7" s="12">
        <f t="shared" si="0"/>
        <v>96</v>
      </c>
      <c r="F7" s="184">
        <v>110</v>
      </c>
      <c r="I7" s="186"/>
      <c r="J7" s="186"/>
      <c r="K7" s="186"/>
      <c r="L7" s="101"/>
    </row>
    <row r="8" spans="1:12" x14ac:dyDescent="0.15">
      <c r="A8" s="98" t="s">
        <v>263</v>
      </c>
      <c r="B8" s="98" t="s">
        <v>1759</v>
      </c>
      <c r="C8" s="98" t="s">
        <v>1759</v>
      </c>
      <c r="D8" s="179" t="s">
        <v>417</v>
      </c>
      <c r="E8" s="12">
        <f t="shared" si="0"/>
        <v>111</v>
      </c>
      <c r="F8" s="184">
        <v>120</v>
      </c>
      <c r="I8" s="186"/>
      <c r="J8" s="186"/>
      <c r="K8" s="186"/>
      <c r="L8" s="101"/>
    </row>
    <row r="9" spans="1:12" x14ac:dyDescent="0.15">
      <c r="A9" s="100" t="s">
        <v>263</v>
      </c>
      <c r="B9" s="100" t="s">
        <v>1861</v>
      </c>
      <c r="C9" s="100" t="s">
        <v>1760</v>
      </c>
      <c r="D9" s="177" t="s">
        <v>534</v>
      </c>
      <c r="E9" s="216">
        <f t="shared" si="0"/>
        <v>121</v>
      </c>
      <c r="F9" s="217">
        <v>150</v>
      </c>
      <c r="G9" s="101">
        <v>0.45</v>
      </c>
      <c r="H9" s="101">
        <v>0.06</v>
      </c>
      <c r="I9" s="186">
        <v>0.55000000000000004</v>
      </c>
      <c r="J9" s="186">
        <v>0.4</v>
      </c>
      <c r="K9" s="186">
        <v>0.4</v>
      </c>
      <c r="L9" s="101">
        <v>0.55000000000000004</v>
      </c>
    </row>
    <row r="10" spans="1:12" x14ac:dyDescent="0.15">
      <c r="A10" s="98" t="s">
        <v>263</v>
      </c>
      <c r="B10" s="98" t="s">
        <v>1861</v>
      </c>
      <c r="C10" s="98" t="s">
        <v>1760</v>
      </c>
      <c r="D10" s="179" t="s">
        <v>535</v>
      </c>
      <c r="E10" s="12">
        <f t="shared" si="0"/>
        <v>151</v>
      </c>
      <c r="F10" s="184">
        <v>190</v>
      </c>
      <c r="G10" s="102"/>
      <c r="H10" s="102"/>
      <c r="I10" s="187"/>
      <c r="J10" s="186"/>
      <c r="K10" s="186"/>
      <c r="L10" s="101"/>
    </row>
    <row r="11" spans="1:12" x14ac:dyDescent="0.15">
      <c r="A11" s="98" t="s">
        <v>263</v>
      </c>
      <c r="B11" s="98" t="s">
        <v>1861</v>
      </c>
      <c r="C11" s="98" t="s">
        <v>1760</v>
      </c>
      <c r="D11" s="179" t="s">
        <v>536</v>
      </c>
      <c r="E11" s="12">
        <f t="shared" si="0"/>
        <v>191</v>
      </c>
      <c r="F11" s="184">
        <v>240</v>
      </c>
      <c r="I11" s="186"/>
      <c r="J11" s="186"/>
      <c r="K11" s="186"/>
      <c r="L11" s="101"/>
    </row>
    <row r="12" spans="1:12" x14ac:dyDescent="0.15">
      <c r="A12" s="98" t="s">
        <v>263</v>
      </c>
      <c r="B12" s="98" t="s">
        <v>1861</v>
      </c>
      <c r="C12" s="98" t="s">
        <v>1760</v>
      </c>
      <c r="D12" s="179" t="s">
        <v>537</v>
      </c>
      <c r="E12" s="12">
        <f t="shared" si="0"/>
        <v>241</v>
      </c>
      <c r="F12" s="184">
        <v>290</v>
      </c>
      <c r="I12" s="186"/>
      <c r="J12" s="186"/>
      <c r="K12" s="186"/>
      <c r="L12" s="101"/>
    </row>
    <row r="13" spans="1:12" x14ac:dyDescent="0.15">
      <c r="A13" s="98" t="s">
        <v>263</v>
      </c>
      <c r="B13" s="98" t="s">
        <v>1861</v>
      </c>
      <c r="C13" s="98" t="s">
        <v>1760</v>
      </c>
      <c r="D13" s="179" t="s">
        <v>538</v>
      </c>
      <c r="E13" s="12">
        <f t="shared" si="0"/>
        <v>291</v>
      </c>
      <c r="F13" s="184">
        <v>360</v>
      </c>
      <c r="I13" s="186"/>
      <c r="J13" s="186"/>
      <c r="K13" s="186"/>
      <c r="L13" s="101"/>
    </row>
    <row r="14" spans="1:12" x14ac:dyDescent="0.15">
      <c r="A14" s="100" t="s">
        <v>263</v>
      </c>
      <c r="B14" s="100" t="s">
        <v>1849</v>
      </c>
      <c r="C14" s="100" t="s">
        <v>1760</v>
      </c>
      <c r="D14" s="177" t="s">
        <v>539</v>
      </c>
      <c r="E14" s="216">
        <f t="shared" si="0"/>
        <v>361</v>
      </c>
      <c r="F14" s="217">
        <v>390</v>
      </c>
      <c r="G14" s="101">
        <v>0.9</v>
      </c>
      <c r="H14" s="101">
        <v>0.15</v>
      </c>
      <c r="I14" s="186">
        <v>1.1000000000000001</v>
      </c>
      <c r="J14" s="186">
        <v>0.5</v>
      </c>
      <c r="K14" s="186">
        <v>0.5</v>
      </c>
      <c r="L14" s="101">
        <v>0.5</v>
      </c>
    </row>
    <row r="15" spans="1:12" x14ac:dyDescent="0.15">
      <c r="A15" s="98" t="s">
        <v>263</v>
      </c>
      <c r="B15" s="98" t="s">
        <v>1849</v>
      </c>
      <c r="C15" s="98" t="s">
        <v>1760</v>
      </c>
      <c r="D15" s="179" t="s">
        <v>540</v>
      </c>
      <c r="E15" s="12">
        <f t="shared" si="0"/>
        <v>391</v>
      </c>
      <c r="F15" s="184">
        <v>440</v>
      </c>
      <c r="G15" s="102"/>
      <c r="H15" s="102"/>
      <c r="I15" s="187"/>
      <c r="J15" s="186"/>
      <c r="K15" s="186"/>
      <c r="L15" s="101"/>
    </row>
    <row r="16" spans="1:12" x14ac:dyDescent="0.15">
      <c r="A16" s="98" t="s">
        <v>263</v>
      </c>
      <c r="B16" s="98" t="s">
        <v>1849</v>
      </c>
      <c r="C16" s="98" t="s">
        <v>1760</v>
      </c>
      <c r="D16" s="179" t="s">
        <v>576</v>
      </c>
      <c r="E16" s="12">
        <f t="shared" si="0"/>
        <v>441</v>
      </c>
      <c r="F16" s="184">
        <v>500</v>
      </c>
      <c r="I16" s="186"/>
      <c r="J16" s="186"/>
      <c r="K16" s="186"/>
      <c r="L16" s="101"/>
    </row>
    <row r="17" spans="1:12" x14ac:dyDescent="0.15">
      <c r="A17" s="98" t="s">
        <v>263</v>
      </c>
      <c r="B17" s="98" t="s">
        <v>1849</v>
      </c>
      <c r="C17" s="98" t="s">
        <v>1760</v>
      </c>
      <c r="D17" s="179" t="s">
        <v>543</v>
      </c>
      <c r="E17" s="12">
        <f t="shared" si="0"/>
        <v>501</v>
      </c>
      <c r="F17" s="184">
        <v>600</v>
      </c>
      <c r="I17" s="186"/>
      <c r="J17" s="186"/>
      <c r="K17" s="186"/>
      <c r="L17" s="101"/>
    </row>
    <row r="18" spans="1:12" x14ac:dyDescent="0.15">
      <c r="A18" s="100" t="s">
        <v>263</v>
      </c>
      <c r="B18" s="100" t="s">
        <v>1850</v>
      </c>
      <c r="C18" s="100" t="s">
        <v>1760</v>
      </c>
      <c r="D18" s="177" t="s">
        <v>512</v>
      </c>
      <c r="E18" s="216">
        <f t="shared" si="0"/>
        <v>601</v>
      </c>
      <c r="F18" s="217">
        <v>640</v>
      </c>
      <c r="G18" s="101">
        <v>1.6</v>
      </c>
      <c r="H18" s="101">
        <v>0.28000000000000003</v>
      </c>
      <c r="I18" s="186">
        <v>2.1</v>
      </c>
      <c r="J18" s="186">
        <v>0.6</v>
      </c>
      <c r="K18" s="186">
        <v>0.48</v>
      </c>
      <c r="L18" s="101">
        <v>0.5</v>
      </c>
    </row>
    <row r="19" spans="1:12" x14ac:dyDescent="0.15">
      <c r="A19" s="98" t="s">
        <v>263</v>
      </c>
      <c r="B19" s="98" t="s">
        <v>1850</v>
      </c>
      <c r="C19" s="98" t="s">
        <v>1760</v>
      </c>
      <c r="D19" s="179" t="s">
        <v>390</v>
      </c>
      <c r="E19" s="12">
        <f t="shared" si="0"/>
        <v>641</v>
      </c>
      <c r="F19" s="184">
        <v>680</v>
      </c>
      <c r="G19" s="102"/>
      <c r="H19" s="102"/>
      <c r="I19" s="187"/>
      <c r="J19" s="186"/>
      <c r="K19" s="186"/>
      <c r="L19" s="101"/>
    </row>
    <row r="20" spans="1:12" x14ac:dyDescent="0.15">
      <c r="A20" s="98" t="s">
        <v>263</v>
      </c>
      <c r="B20" s="98" t="s">
        <v>1850</v>
      </c>
      <c r="C20" s="98" t="s">
        <v>1760</v>
      </c>
      <c r="D20" s="179" t="s">
        <v>391</v>
      </c>
      <c r="E20" s="12">
        <f t="shared" si="0"/>
        <v>681</v>
      </c>
      <c r="F20" s="184">
        <v>720</v>
      </c>
      <c r="I20" s="186"/>
      <c r="J20" s="186"/>
      <c r="K20" s="186"/>
      <c r="L20" s="101"/>
    </row>
    <row r="21" spans="1:12" x14ac:dyDescent="0.15">
      <c r="A21" s="98" t="s">
        <v>263</v>
      </c>
      <c r="B21" s="98" t="s">
        <v>1850</v>
      </c>
      <c r="C21" s="98" t="s">
        <v>1760</v>
      </c>
      <c r="D21" s="179" t="s">
        <v>392</v>
      </c>
      <c r="E21" s="12">
        <f t="shared" si="0"/>
        <v>721</v>
      </c>
      <c r="F21" s="184">
        <v>760</v>
      </c>
      <c r="I21" s="186"/>
      <c r="J21" s="186"/>
      <c r="K21" s="186"/>
      <c r="L21" s="101"/>
    </row>
    <row r="22" spans="1:12" x14ac:dyDescent="0.15">
      <c r="A22" s="98" t="s">
        <v>263</v>
      </c>
      <c r="B22" s="98" t="s">
        <v>1850</v>
      </c>
      <c r="C22" s="98" t="s">
        <v>1760</v>
      </c>
      <c r="D22" s="179" t="s">
        <v>544</v>
      </c>
      <c r="E22" s="12">
        <f t="shared" si="0"/>
        <v>761</v>
      </c>
      <c r="F22" s="184">
        <v>800</v>
      </c>
      <c r="I22" s="186"/>
      <c r="J22" s="186"/>
      <c r="K22" s="186"/>
      <c r="L22" s="101"/>
    </row>
    <row r="23" spans="1:12" x14ac:dyDescent="0.15">
      <c r="A23" s="98" t="s">
        <v>263</v>
      </c>
      <c r="B23" s="98" t="s">
        <v>1850</v>
      </c>
      <c r="C23" s="98" t="s">
        <v>1760</v>
      </c>
      <c r="D23" s="179" t="s">
        <v>394</v>
      </c>
      <c r="E23" s="12">
        <f t="shared" si="0"/>
        <v>801</v>
      </c>
      <c r="F23" s="184">
        <v>840</v>
      </c>
      <c r="I23" s="186"/>
      <c r="J23" s="186"/>
      <c r="K23" s="186"/>
      <c r="L23" s="101"/>
    </row>
    <row r="24" spans="1:12" x14ac:dyDescent="0.15">
      <c r="A24" s="100" t="s">
        <v>263</v>
      </c>
      <c r="B24" s="100" t="s">
        <v>1851</v>
      </c>
      <c r="C24" s="100" t="s">
        <v>1760</v>
      </c>
      <c r="D24" s="177" t="s">
        <v>545</v>
      </c>
      <c r="E24" s="216">
        <f t="shared" si="0"/>
        <v>841</v>
      </c>
      <c r="F24" s="217">
        <v>860</v>
      </c>
      <c r="G24" s="101">
        <v>2.0499999999999998</v>
      </c>
      <c r="H24" s="101">
        <v>0.42</v>
      </c>
      <c r="I24" s="186">
        <v>2.6</v>
      </c>
      <c r="J24" s="186">
        <v>0.6</v>
      </c>
      <c r="K24" s="186">
        <v>0.48</v>
      </c>
      <c r="L24" s="101">
        <v>0.55000000000000004</v>
      </c>
    </row>
    <row r="25" spans="1:12" x14ac:dyDescent="0.15">
      <c r="A25" s="98" t="s">
        <v>263</v>
      </c>
      <c r="B25" s="98" t="s">
        <v>1851</v>
      </c>
      <c r="C25" s="98" t="s">
        <v>1760</v>
      </c>
      <c r="D25" s="179" t="s">
        <v>546</v>
      </c>
      <c r="E25" s="12">
        <f t="shared" si="0"/>
        <v>861</v>
      </c>
      <c r="F25" s="184">
        <v>890</v>
      </c>
      <c r="G25" s="102"/>
      <c r="H25" s="102"/>
      <c r="I25" s="187"/>
      <c r="J25" s="186"/>
      <c r="K25" s="186"/>
      <c r="L25" s="101"/>
    </row>
    <row r="26" spans="1:12" x14ac:dyDescent="0.15">
      <c r="A26" s="98" t="s">
        <v>263</v>
      </c>
      <c r="B26" s="98" t="s">
        <v>1851</v>
      </c>
      <c r="C26" s="98" t="s">
        <v>1760</v>
      </c>
      <c r="D26" s="179" t="s">
        <v>547</v>
      </c>
      <c r="E26" s="12">
        <f t="shared" si="0"/>
        <v>891</v>
      </c>
      <c r="F26" s="184">
        <v>920</v>
      </c>
      <c r="I26" s="186"/>
      <c r="J26" s="186"/>
      <c r="K26" s="186"/>
      <c r="L26" s="101"/>
    </row>
    <row r="27" spans="1:12" x14ac:dyDescent="0.15">
      <c r="A27" s="100" t="s">
        <v>263</v>
      </c>
      <c r="B27" s="100" t="s">
        <v>1893</v>
      </c>
      <c r="C27" s="100" t="s">
        <v>1761</v>
      </c>
      <c r="D27" s="177" t="s">
        <v>550</v>
      </c>
      <c r="E27" s="216">
        <f t="shared" si="0"/>
        <v>921</v>
      </c>
      <c r="F27" s="217">
        <v>950</v>
      </c>
      <c r="G27" s="101">
        <v>1.85</v>
      </c>
      <c r="H27" s="101">
        <v>0.36</v>
      </c>
      <c r="I27" s="186">
        <v>2.4</v>
      </c>
      <c r="J27" s="186">
        <v>0.65</v>
      </c>
      <c r="K27" s="186">
        <v>0.46</v>
      </c>
      <c r="L27" s="101">
        <v>0.65</v>
      </c>
    </row>
    <row r="28" spans="1:12" x14ac:dyDescent="0.15">
      <c r="A28" s="98" t="s">
        <v>263</v>
      </c>
      <c r="B28" s="98" t="s">
        <v>1893</v>
      </c>
      <c r="C28" s="98" t="s">
        <v>1761</v>
      </c>
      <c r="D28" s="179" t="s">
        <v>551</v>
      </c>
      <c r="E28" s="12">
        <f t="shared" si="0"/>
        <v>951</v>
      </c>
      <c r="F28" s="184">
        <v>960</v>
      </c>
      <c r="G28" s="102"/>
      <c r="H28" s="102"/>
      <c r="I28" s="187"/>
      <c r="J28" s="186"/>
      <c r="K28" s="186"/>
      <c r="L28" s="101"/>
    </row>
    <row r="29" spans="1:12" x14ac:dyDescent="0.15">
      <c r="A29" s="98" t="s">
        <v>263</v>
      </c>
      <c r="B29" s="98" t="s">
        <v>1893</v>
      </c>
      <c r="C29" s="98" t="s">
        <v>1761</v>
      </c>
      <c r="D29" s="179" t="s">
        <v>554</v>
      </c>
      <c r="E29" s="12">
        <f t="shared" si="0"/>
        <v>961</v>
      </c>
      <c r="F29" s="184">
        <v>970</v>
      </c>
      <c r="I29" s="186"/>
      <c r="J29" s="186"/>
      <c r="K29" s="186"/>
      <c r="L29" s="101"/>
    </row>
    <row r="30" spans="1:12" x14ac:dyDescent="0.15">
      <c r="A30" s="98" t="s">
        <v>263</v>
      </c>
      <c r="B30" s="98" t="s">
        <v>1893</v>
      </c>
      <c r="C30" s="98" t="s">
        <v>1761</v>
      </c>
      <c r="D30" s="179" t="s">
        <v>558</v>
      </c>
      <c r="E30" s="12">
        <f t="shared" si="0"/>
        <v>971</v>
      </c>
      <c r="F30" s="184">
        <v>980</v>
      </c>
      <c r="I30" s="186"/>
      <c r="J30" s="186"/>
      <c r="K30" s="186"/>
      <c r="L30" s="101"/>
    </row>
    <row r="31" spans="1:12" x14ac:dyDescent="0.15">
      <c r="A31" s="100" t="s">
        <v>263</v>
      </c>
      <c r="B31" s="100" t="s">
        <v>1894</v>
      </c>
      <c r="C31" s="100" t="s">
        <v>1761</v>
      </c>
      <c r="D31" s="177" t="s">
        <v>559</v>
      </c>
      <c r="E31" s="216">
        <f t="shared" si="0"/>
        <v>981</v>
      </c>
      <c r="F31" s="217">
        <v>1010</v>
      </c>
      <c r="G31" s="101">
        <v>1.5</v>
      </c>
      <c r="H31" s="101">
        <v>0.3</v>
      </c>
      <c r="I31" s="186">
        <v>1.9</v>
      </c>
      <c r="J31" s="186">
        <v>0.65</v>
      </c>
      <c r="K31" s="186">
        <v>0.4</v>
      </c>
      <c r="L31" s="101">
        <v>0.75</v>
      </c>
    </row>
    <row r="32" spans="1:12" x14ac:dyDescent="0.15">
      <c r="A32" s="98" t="s">
        <v>263</v>
      </c>
      <c r="B32" s="98" t="s">
        <v>1894</v>
      </c>
      <c r="C32" s="98" t="s">
        <v>1761</v>
      </c>
      <c r="D32" s="179" t="s">
        <v>560</v>
      </c>
      <c r="E32" s="12">
        <f t="shared" si="0"/>
        <v>1011</v>
      </c>
      <c r="F32" s="184">
        <v>1035</v>
      </c>
      <c r="G32" s="102"/>
      <c r="H32" s="102"/>
      <c r="I32" s="187"/>
      <c r="J32" s="186"/>
      <c r="K32" s="186"/>
      <c r="L32" s="101"/>
    </row>
    <row r="33" spans="1:12" x14ac:dyDescent="0.15">
      <c r="A33" s="98" t="s">
        <v>263</v>
      </c>
      <c r="B33" s="98" t="s">
        <v>1894</v>
      </c>
      <c r="C33" s="98" t="s">
        <v>1761</v>
      </c>
      <c r="D33" s="179" t="s">
        <v>561</v>
      </c>
      <c r="E33" s="12">
        <f t="shared" si="0"/>
        <v>1036</v>
      </c>
      <c r="F33" s="184">
        <v>1060</v>
      </c>
      <c r="I33" s="186"/>
      <c r="J33" s="186"/>
      <c r="K33" s="186"/>
      <c r="L33" s="101"/>
    </row>
    <row r="34" spans="1:12" x14ac:dyDescent="0.15">
      <c r="A34" s="100" t="s">
        <v>263</v>
      </c>
      <c r="B34" s="100" t="s">
        <v>1886</v>
      </c>
      <c r="C34" s="100" t="s">
        <v>1761</v>
      </c>
      <c r="D34" s="177" t="s">
        <v>562</v>
      </c>
      <c r="E34" s="216">
        <f t="shared" si="0"/>
        <v>1061</v>
      </c>
      <c r="F34" s="217">
        <v>1120</v>
      </c>
      <c r="G34" s="101">
        <v>1.25</v>
      </c>
      <c r="H34" s="101">
        <v>0.18</v>
      </c>
      <c r="I34" s="186">
        <v>1.4</v>
      </c>
      <c r="J34" s="186">
        <v>0.6</v>
      </c>
      <c r="K34" s="186">
        <v>0.38</v>
      </c>
      <c r="L34" s="101">
        <v>0.6</v>
      </c>
    </row>
    <row r="35" spans="1:12" x14ac:dyDescent="0.15">
      <c r="A35" s="98" t="s">
        <v>263</v>
      </c>
      <c r="B35" s="98" t="s">
        <v>1886</v>
      </c>
      <c r="C35" s="98" t="s">
        <v>1761</v>
      </c>
      <c r="D35" s="179" t="s">
        <v>563</v>
      </c>
      <c r="E35" s="12">
        <f t="shared" si="0"/>
        <v>1121</v>
      </c>
      <c r="F35" s="184">
        <v>1160</v>
      </c>
      <c r="G35" s="102"/>
      <c r="H35" s="102"/>
      <c r="I35" s="187"/>
      <c r="J35" s="186"/>
      <c r="K35" s="186"/>
      <c r="L35" s="101"/>
    </row>
    <row r="36" spans="1:12" x14ac:dyDescent="0.15">
      <c r="A36" s="98" t="s">
        <v>263</v>
      </c>
      <c r="B36" s="98" t="s">
        <v>1886</v>
      </c>
      <c r="C36" s="98" t="s">
        <v>1761</v>
      </c>
      <c r="D36" s="179" t="s">
        <v>564</v>
      </c>
      <c r="E36" s="12">
        <f t="shared" si="0"/>
        <v>1161</v>
      </c>
      <c r="F36" s="184">
        <v>1210</v>
      </c>
      <c r="I36" s="186"/>
      <c r="J36" s="186"/>
      <c r="K36" s="186"/>
      <c r="L36" s="101"/>
    </row>
    <row r="37" spans="1:12" x14ac:dyDescent="0.15">
      <c r="A37" s="98" t="s">
        <v>263</v>
      </c>
      <c r="B37" s="98" t="s">
        <v>1886</v>
      </c>
      <c r="C37" s="98" t="s">
        <v>1761</v>
      </c>
      <c r="D37" s="179" t="s">
        <v>565</v>
      </c>
      <c r="E37" s="12">
        <f t="shared" si="0"/>
        <v>1211</v>
      </c>
      <c r="F37" s="184">
        <v>1250</v>
      </c>
      <c r="I37" s="186"/>
      <c r="J37" s="186"/>
      <c r="K37" s="186"/>
      <c r="L37" s="101"/>
    </row>
    <row r="38" spans="1:12" x14ac:dyDescent="0.15">
      <c r="A38" s="100" t="s">
        <v>263</v>
      </c>
      <c r="B38" s="100" t="s">
        <v>1762</v>
      </c>
      <c r="C38" s="100" t="s">
        <v>1762</v>
      </c>
      <c r="D38" s="177" t="s">
        <v>567</v>
      </c>
      <c r="E38" s="216">
        <f t="shared" si="0"/>
        <v>1251</v>
      </c>
      <c r="F38" s="217">
        <v>1290</v>
      </c>
      <c r="G38" s="101">
        <v>0.4</v>
      </c>
      <c r="H38" s="101">
        <v>0.05</v>
      </c>
      <c r="I38" s="186">
        <v>0.4</v>
      </c>
      <c r="J38" s="186">
        <v>0.45</v>
      </c>
      <c r="K38" s="186">
        <v>0.35</v>
      </c>
      <c r="L38" s="101">
        <v>0.35</v>
      </c>
    </row>
    <row r="39" spans="1:12" x14ac:dyDescent="0.15">
      <c r="A39" s="98" t="s">
        <v>263</v>
      </c>
      <c r="B39" s="98" t="s">
        <v>1762</v>
      </c>
      <c r="C39" s="98" t="s">
        <v>1762</v>
      </c>
      <c r="D39" s="179" t="s">
        <v>582</v>
      </c>
      <c r="E39" s="12">
        <f t="shared" si="0"/>
        <v>1291</v>
      </c>
      <c r="F39" s="184">
        <v>1320</v>
      </c>
      <c r="G39" s="102"/>
      <c r="H39" s="102"/>
      <c r="I39" s="187"/>
      <c r="J39" s="186"/>
      <c r="K39" s="186"/>
      <c r="L39" s="101"/>
    </row>
    <row r="40" spans="1:12" x14ac:dyDescent="0.15">
      <c r="A40" s="98" t="s">
        <v>263</v>
      </c>
      <c r="B40" s="98" t="s">
        <v>1762</v>
      </c>
      <c r="C40" s="98" t="s">
        <v>1762</v>
      </c>
      <c r="D40" s="179" t="s">
        <v>569</v>
      </c>
      <c r="E40" s="12">
        <f t="shared" si="0"/>
        <v>1321</v>
      </c>
      <c r="F40" s="184">
        <v>1350</v>
      </c>
      <c r="I40" s="186"/>
      <c r="J40" s="186"/>
      <c r="K40" s="186"/>
      <c r="L40" s="101"/>
    </row>
    <row r="41" spans="1:12" x14ac:dyDescent="0.15">
      <c r="A41" s="98" t="s">
        <v>263</v>
      </c>
      <c r="B41" s="98" t="s">
        <v>1762</v>
      </c>
      <c r="C41" s="98" t="s">
        <v>1762</v>
      </c>
      <c r="D41" s="179" t="s">
        <v>570</v>
      </c>
      <c r="E41" s="12">
        <f t="shared" si="0"/>
        <v>1351</v>
      </c>
      <c r="F41" s="184">
        <v>1380</v>
      </c>
      <c r="I41" s="186"/>
      <c r="J41" s="186"/>
      <c r="K41" s="186"/>
      <c r="L41" s="101"/>
    </row>
    <row r="42" spans="1:12" x14ac:dyDescent="0.15">
      <c r="A42" s="100" t="s">
        <v>263</v>
      </c>
      <c r="B42" s="100" t="s">
        <v>1855</v>
      </c>
      <c r="C42" s="100" t="s">
        <v>1855</v>
      </c>
      <c r="D42" s="177" t="s">
        <v>571</v>
      </c>
      <c r="E42" s="216">
        <f t="shared" si="0"/>
        <v>1381</v>
      </c>
      <c r="F42" s="217">
        <v>1410</v>
      </c>
      <c r="G42" s="101">
        <v>0.1</v>
      </c>
      <c r="H42" s="101">
        <v>0.02</v>
      </c>
      <c r="I42" s="186">
        <v>0.1</v>
      </c>
      <c r="J42" s="186">
        <v>0.3</v>
      </c>
      <c r="K42" s="186">
        <v>0.3</v>
      </c>
      <c r="L42" s="101">
        <v>0.15</v>
      </c>
    </row>
    <row r="43" spans="1:12" x14ac:dyDescent="0.15">
      <c r="A43" s="98" t="s">
        <v>263</v>
      </c>
      <c r="B43" s="98" t="s">
        <v>1855</v>
      </c>
      <c r="C43" s="98" t="s">
        <v>1855</v>
      </c>
      <c r="D43" s="179" t="s">
        <v>572</v>
      </c>
      <c r="E43" s="12">
        <f t="shared" si="0"/>
        <v>1411</v>
      </c>
      <c r="F43" s="184">
        <v>1440</v>
      </c>
      <c r="I43" s="186"/>
      <c r="J43" s="186"/>
      <c r="K43" s="186"/>
      <c r="L43" s="101"/>
    </row>
    <row r="44" spans="1:12" x14ac:dyDescent="0.15">
      <c r="A44" s="98" t="s">
        <v>263</v>
      </c>
      <c r="B44" s="98" t="s">
        <v>1855</v>
      </c>
      <c r="C44" s="98" t="s">
        <v>1855</v>
      </c>
      <c r="D44" s="179" t="s">
        <v>573</v>
      </c>
      <c r="E44" s="12">
        <f t="shared" si="0"/>
        <v>1441</v>
      </c>
      <c r="F44" s="184">
        <v>1480</v>
      </c>
      <c r="I44" s="186"/>
      <c r="J44" s="186"/>
      <c r="K44" s="186"/>
      <c r="L44" s="101"/>
    </row>
    <row r="45" spans="1:12" x14ac:dyDescent="0.15">
      <c r="A45" s="98" t="s">
        <v>263</v>
      </c>
      <c r="B45" s="98" t="s">
        <v>1855</v>
      </c>
      <c r="C45" s="98" t="s">
        <v>1855</v>
      </c>
      <c r="D45" s="179" t="s">
        <v>574</v>
      </c>
      <c r="E45" s="12">
        <f t="shared" si="0"/>
        <v>1481</v>
      </c>
      <c r="F45" s="184">
        <v>1500</v>
      </c>
      <c r="I45" s="186"/>
      <c r="J45" s="186"/>
      <c r="K45" s="186"/>
      <c r="L45" s="101"/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60FB-1D1D-4509-8F41-DEE04D8F2A27}">
  <sheetPr>
    <tabColor rgb="FFFFFF00"/>
  </sheetPr>
  <dimension ref="A1:L38"/>
  <sheetViews>
    <sheetView workbookViewId="0">
      <selection activeCell="L38" sqref="L38"/>
    </sheetView>
  </sheetViews>
  <sheetFormatPr defaultColWidth="13" defaultRowHeight="10.5" x14ac:dyDescent="0.15"/>
  <cols>
    <col min="1" max="1" width="12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13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x14ac:dyDescent="0.15">
      <c r="A2" s="32" t="s">
        <v>272</v>
      </c>
      <c r="B2" s="32" t="s">
        <v>1759</v>
      </c>
      <c r="C2" s="32" t="s">
        <v>1759</v>
      </c>
      <c r="D2" s="212" t="s">
        <v>373</v>
      </c>
      <c r="E2" s="11">
        <v>0</v>
      </c>
      <c r="F2" s="19">
        <v>10</v>
      </c>
      <c r="G2" s="14">
        <v>0.02</v>
      </c>
      <c r="H2" s="14">
        <v>5.0000000000000001E-3</v>
      </c>
      <c r="I2" s="190">
        <v>0.02</v>
      </c>
      <c r="J2" s="190">
        <v>0.3</v>
      </c>
      <c r="K2" s="190">
        <v>0.4</v>
      </c>
      <c r="L2" s="14">
        <v>0.92</v>
      </c>
    </row>
    <row r="3" spans="1:12" x14ac:dyDescent="0.15">
      <c r="A3" s="9" t="s">
        <v>272</v>
      </c>
      <c r="B3" s="9" t="s">
        <v>1759</v>
      </c>
      <c r="C3" s="9" t="s">
        <v>1759</v>
      </c>
      <c r="D3" s="213" t="s">
        <v>374</v>
      </c>
      <c r="E3" s="10">
        <f>F2+1</f>
        <v>11</v>
      </c>
      <c r="F3" s="20">
        <v>30</v>
      </c>
      <c r="G3" s="24"/>
      <c r="H3" s="24"/>
      <c r="I3" s="195"/>
      <c r="J3" s="190"/>
      <c r="K3" s="190"/>
      <c r="L3" s="14"/>
    </row>
    <row r="4" spans="1:12" x14ac:dyDescent="0.15">
      <c r="A4" s="9" t="s">
        <v>272</v>
      </c>
      <c r="B4" s="9" t="s">
        <v>1759</v>
      </c>
      <c r="C4" s="9" t="s">
        <v>1759</v>
      </c>
      <c r="D4" s="213" t="s">
        <v>375</v>
      </c>
      <c r="E4" s="10">
        <f t="shared" ref="E4:E38" si="0">F3+1</f>
        <v>31</v>
      </c>
      <c r="F4" s="20">
        <v>55</v>
      </c>
      <c r="I4" s="190"/>
      <c r="J4" s="190"/>
      <c r="K4" s="190"/>
      <c r="L4" s="14"/>
    </row>
    <row r="5" spans="1:12" x14ac:dyDescent="0.15">
      <c r="A5" s="9" t="s">
        <v>272</v>
      </c>
      <c r="B5" s="9" t="s">
        <v>1759</v>
      </c>
      <c r="C5" s="9" t="s">
        <v>1759</v>
      </c>
      <c r="D5" s="213" t="s">
        <v>414</v>
      </c>
      <c r="E5" s="10">
        <f t="shared" si="0"/>
        <v>56</v>
      </c>
      <c r="F5" s="20">
        <v>90</v>
      </c>
      <c r="I5" s="190"/>
      <c r="J5" s="190"/>
      <c r="K5" s="190"/>
      <c r="L5" s="14"/>
    </row>
    <row r="6" spans="1:12" x14ac:dyDescent="0.15">
      <c r="A6" s="9" t="s">
        <v>272</v>
      </c>
      <c r="B6" s="9" t="s">
        <v>1759</v>
      </c>
      <c r="C6" s="9" t="s">
        <v>1759</v>
      </c>
      <c r="D6" s="213" t="s">
        <v>377</v>
      </c>
      <c r="E6" s="10">
        <f t="shared" si="0"/>
        <v>91</v>
      </c>
      <c r="F6" s="20">
        <v>110</v>
      </c>
      <c r="I6" s="190"/>
      <c r="J6" s="190"/>
      <c r="K6" s="190"/>
      <c r="L6" s="14"/>
    </row>
    <row r="7" spans="1:12" x14ac:dyDescent="0.15">
      <c r="A7" s="9" t="s">
        <v>272</v>
      </c>
      <c r="B7" s="9" t="s">
        <v>1759</v>
      </c>
      <c r="C7" s="9" t="s">
        <v>1759</v>
      </c>
      <c r="D7" s="213" t="s">
        <v>457</v>
      </c>
      <c r="E7" s="10">
        <f t="shared" si="0"/>
        <v>111</v>
      </c>
      <c r="F7" s="20">
        <v>125</v>
      </c>
      <c r="I7" s="190"/>
      <c r="J7" s="190"/>
      <c r="K7" s="190"/>
      <c r="L7" s="14"/>
    </row>
    <row r="8" spans="1:12" x14ac:dyDescent="0.15">
      <c r="A8" s="32" t="s">
        <v>272</v>
      </c>
      <c r="B8" s="32" t="s">
        <v>1861</v>
      </c>
      <c r="C8" s="32" t="s">
        <v>1760</v>
      </c>
      <c r="D8" s="214" t="s">
        <v>380</v>
      </c>
      <c r="E8" s="11">
        <f t="shared" si="0"/>
        <v>126</v>
      </c>
      <c r="F8" s="92">
        <v>155</v>
      </c>
      <c r="G8" s="14">
        <v>0.3</v>
      </c>
      <c r="H8" s="14">
        <v>0.05</v>
      </c>
      <c r="I8" s="190">
        <v>0.4</v>
      </c>
      <c r="J8" s="190">
        <v>0.4</v>
      </c>
      <c r="K8" s="190">
        <v>0.5</v>
      </c>
      <c r="L8" s="14">
        <v>0.78</v>
      </c>
    </row>
    <row r="9" spans="1:12" x14ac:dyDescent="0.15">
      <c r="A9" s="9" t="s">
        <v>272</v>
      </c>
      <c r="B9" s="9" t="s">
        <v>1861</v>
      </c>
      <c r="C9" s="9" t="s">
        <v>1760</v>
      </c>
      <c r="D9" s="213" t="s">
        <v>484</v>
      </c>
      <c r="E9" s="10">
        <f t="shared" si="0"/>
        <v>156</v>
      </c>
      <c r="F9" s="20">
        <v>190</v>
      </c>
      <c r="G9" s="24"/>
      <c r="H9" s="24"/>
      <c r="I9" s="195"/>
      <c r="J9" s="190"/>
      <c r="K9" s="190"/>
      <c r="L9" s="14"/>
    </row>
    <row r="10" spans="1:12" x14ac:dyDescent="0.15">
      <c r="A10" s="9" t="s">
        <v>272</v>
      </c>
      <c r="B10" s="9" t="s">
        <v>1861</v>
      </c>
      <c r="C10" s="9" t="s">
        <v>1760</v>
      </c>
      <c r="D10" s="213" t="s">
        <v>485</v>
      </c>
      <c r="E10" s="10">
        <f t="shared" si="0"/>
        <v>191</v>
      </c>
      <c r="F10" s="20">
        <v>225</v>
      </c>
      <c r="I10" s="190"/>
      <c r="J10" s="190"/>
      <c r="K10" s="190"/>
      <c r="L10" s="14"/>
    </row>
    <row r="11" spans="1:12" x14ac:dyDescent="0.15">
      <c r="A11" s="9" t="s">
        <v>272</v>
      </c>
      <c r="B11" s="9" t="s">
        <v>1861</v>
      </c>
      <c r="C11" s="9" t="s">
        <v>1760</v>
      </c>
      <c r="D11" s="213" t="s">
        <v>486</v>
      </c>
      <c r="E11" s="10">
        <f t="shared" si="0"/>
        <v>226</v>
      </c>
      <c r="F11" s="20">
        <v>260</v>
      </c>
      <c r="I11" s="190"/>
      <c r="J11" s="190"/>
      <c r="K11" s="190"/>
      <c r="L11" s="14"/>
    </row>
    <row r="12" spans="1:12" x14ac:dyDescent="0.15">
      <c r="A12" s="9" t="s">
        <v>272</v>
      </c>
      <c r="B12" s="9" t="s">
        <v>1861</v>
      </c>
      <c r="C12" s="9" t="s">
        <v>1760</v>
      </c>
      <c r="D12" s="213" t="s">
        <v>487</v>
      </c>
      <c r="E12" s="10">
        <f t="shared" si="0"/>
        <v>261</v>
      </c>
      <c r="F12" s="20">
        <v>295</v>
      </c>
      <c r="I12" s="190"/>
      <c r="J12" s="190"/>
      <c r="K12" s="190"/>
      <c r="L12" s="14"/>
    </row>
    <row r="13" spans="1:12" x14ac:dyDescent="0.15">
      <c r="A13" s="32" t="s">
        <v>272</v>
      </c>
      <c r="B13" s="32" t="s">
        <v>1857</v>
      </c>
      <c r="C13" s="32" t="s">
        <v>1760</v>
      </c>
      <c r="D13" s="212" t="s">
        <v>488</v>
      </c>
      <c r="E13" s="11">
        <f t="shared" si="0"/>
        <v>296</v>
      </c>
      <c r="F13" s="19">
        <v>330</v>
      </c>
      <c r="G13" s="14">
        <v>0.6</v>
      </c>
      <c r="H13" s="14">
        <v>0.1</v>
      </c>
      <c r="I13" s="190">
        <v>0.8</v>
      </c>
      <c r="J13" s="190">
        <v>0.6</v>
      </c>
      <c r="K13" s="190">
        <v>0.6</v>
      </c>
      <c r="L13" s="14">
        <v>0.78</v>
      </c>
    </row>
    <row r="14" spans="1:12" x14ac:dyDescent="0.15">
      <c r="A14" s="9" t="s">
        <v>272</v>
      </c>
      <c r="B14" s="9" t="s">
        <v>1857</v>
      </c>
      <c r="C14" s="9" t="s">
        <v>1760</v>
      </c>
      <c r="D14" s="213" t="s">
        <v>489</v>
      </c>
      <c r="E14" s="10">
        <f t="shared" si="0"/>
        <v>331</v>
      </c>
      <c r="F14" s="20">
        <v>360</v>
      </c>
      <c r="G14" s="24"/>
      <c r="H14" s="24"/>
      <c r="I14" s="195"/>
      <c r="J14" s="190"/>
      <c r="K14" s="190"/>
      <c r="L14" s="14"/>
    </row>
    <row r="15" spans="1:12" x14ac:dyDescent="0.15">
      <c r="A15" s="9" t="s">
        <v>272</v>
      </c>
      <c r="B15" s="9" t="s">
        <v>1857</v>
      </c>
      <c r="C15" s="9" t="s">
        <v>1760</v>
      </c>
      <c r="D15" s="213" t="s">
        <v>638</v>
      </c>
      <c r="E15" s="10">
        <f t="shared" si="0"/>
        <v>361</v>
      </c>
      <c r="F15" s="20">
        <v>385</v>
      </c>
      <c r="I15" s="190"/>
      <c r="J15" s="190"/>
      <c r="K15" s="190"/>
      <c r="L15" s="14"/>
    </row>
    <row r="16" spans="1:12" x14ac:dyDescent="0.15">
      <c r="A16" s="32" t="s">
        <v>272</v>
      </c>
      <c r="B16" s="32" t="s">
        <v>1858</v>
      </c>
      <c r="C16" s="32" t="s">
        <v>1761</v>
      </c>
      <c r="D16" s="212" t="s">
        <v>491</v>
      </c>
      <c r="E16" s="11">
        <f t="shared" si="0"/>
        <v>386</v>
      </c>
      <c r="F16" s="19">
        <v>415</v>
      </c>
      <c r="G16" s="14">
        <v>1</v>
      </c>
      <c r="H16" s="14">
        <v>0.2</v>
      </c>
      <c r="I16" s="190">
        <v>1</v>
      </c>
      <c r="J16" s="190">
        <v>0.85</v>
      </c>
      <c r="K16" s="190">
        <v>0.65</v>
      </c>
      <c r="L16" s="14">
        <v>0.82</v>
      </c>
    </row>
    <row r="17" spans="1:12" x14ac:dyDescent="0.15">
      <c r="A17" s="9" t="s">
        <v>272</v>
      </c>
      <c r="B17" s="9" t="s">
        <v>1858</v>
      </c>
      <c r="C17" s="9" t="s">
        <v>1761</v>
      </c>
      <c r="D17" s="213" t="s">
        <v>492</v>
      </c>
      <c r="E17" s="10">
        <f t="shared" si="0"/>
        <v>416</v>
      </c>
      <c r="F17" s="20">
        <v>440</v>
      </c>
      <c r="G17" s="24"/>
      <c r="H17" s="24"/>
      <c r="I17" s="195"/>
      <c r="J17" s="190"/>
      <c r="K17" s="190"/>
      <c r="L17" s="14"/>
    </row>
    <row r="18" spans="1:12" x14ac:dyDescent="0.15">
      <c r="A18" s="9" t="s">
        <v>272</v>
      </c>
      <c r="B18" s="9" t="s">
        <v>1858</v>
      </c>
      <c r="C18" s="9" t="s">
        <v>1761</v>
      </c>
      <c r="D18" s="213" t="s">
        <v>493</v>
      </c>
      <c r="E18" s="10">
        <f t="shared" si="0"/>
        <v>441</v>
      </c>
      <c r="F18" s="20">
        <v>460</v>
      </c>
      <c r="I18" s="190"/>
      <c r="J18" s="190"/>
      <c r="K18" s="190"/>
      <c r="L18" s="14"/>
    </row>
    <row r="19" spans="1:12" x14ac:dyDescent="0.15">
      <c r="A19" s="9" t="s">
        <v>272</v>
      </c>
      <c r="B19" s="9" t="s">
        <v>1858</v>
      </c>
      <c r="C19" s="9" t="s">
        <v>1761</v>
      </c>
      <c r="D19" s="213" t="s">
        <v>494</v>
      </c>
      <c r="E19" s="10">
        <f t="shared" si="0"/>
        <v>461</v>
      </c>
      <c r="F19" s="20">
        <v>470</v>
      </c>
      <c r="I19" s="190"/>
      <c r="J19" s="190"/>
      <c r="K19" s="190"/>
      <c r="L19" s="14"/>
    </row>
    <row r="20" spans="1:12" x14ac:dyDescent="0.15">
      <c r="A20" s="32" t="s">
        <v>272</v>
      </c>
      <c r="B20" s="32" t="s">
        <v>1859</v>
      </c>
      <c r="C20" s="32" t="s">
        <v>1761</v>
      </c>
      <c r="D20" s="212" t="s">
        <v>495</v>
      </c>
      <c r="E20" s="11">
        <f t="shared" si="0"/>
        <v>471</v>
      </c>
      <c r="F20" s="19">
        <v>510</v>
      </c>
      <c r="G20" s="14">
        <v>1.2</v>
      </c>
      <c r="H20" s="14">
        <v>0.15</v>
      </c>
      <c r="I20" s="190">
        <v>1.2</v>
      </c>
      <c r="J20" s="190">
        <v>0.9</v>
      </c>
      <c r="K20" s="190">
        <v>0.7</v>
      </c>
      <c r="L20" s="14">
        <v>0.88</v>
      </c>
    </row>
    <row r="21" spans="1:12" x14ac:dyDescent="0.15">
      <c r="A21" s="9" t="s">
        <v>272</v>
      </c>
      <c r="B21" s="9" t="s">
        <v>1859</v>
      </c>
      <c r="C21" s="9" t="s">
        <v>1761</v>
      </c>
      <c r="D21" s="213" t="s">
        <v>496</v>
      </c>
      <c r="E21" s="10">
        <f t="shared" si="0"/>
        <v>511</v>
      </c>
      <c r="F21" s="20">
        <v>540</v>
      </c>
      <c r="G21" s="24"/>
      <c r="H21" s="24"/>
      <c r="I21" s="195"/>
      <c r="J21" s="190"/>
      <c r="K21" s="190"/>
      <c r="L21" s="14"/>
    </row>
    <row r="22" spans="1:12" x14ac:dyDescent="0.15">
      <c r="A22" s="9" t="s">
        <v>272</v>
      </c>
      <c r="B22" s="9" t="s">
        <v>1859</v>
      </c>
      <c r="C22" s="9" t="s">
        <v>1761</v>
      </c>
      <c r="D22" s="213" t="s">
        <v>497</v>
      </c>
      <c r="E22" s="10">
        <f t="shared" si="0"/>
        <v>541</v>
      </c>
      <c r="F22" s="20">
        <v>560</v>
      </c>
      <c r="I22" s="190"/>
      <c r="J22" s="190"/>
      <c r="K22" s="190"/>
      <c r="L22" s="14"/>
    </row>
    <row r="23" spans="1:12" x14ac:dyDescent="0.15">
      <c r="A23" s="9" t="s">
        <v>272</v>
      </c>
      <c r="B23" s="9" t="s">
        <v>1859</v>
      </c>
      <c r="C23" s="9" t="s">
        <v>1761</v>
      </c>
      <c r="D23" s="215" t="s">
        <v>639</v>
      </c>
      <c r="E23" s="10">
        <f t="shared" si="0"/>
        <v>561</v>
      </c>
      <c r="F23" s="37">
        <v>585</v>
      </c>
      <c r="I23" s="190"/>
      <c r="J23" s="190"/>
      <c r="K23" s="190"/>
      <c r="L23" s="14"/>
    </row>
    <row r="24" spans="1:12" x14ac:dyDescent="0.15">
      <c r="A24" s="32" t="s">
        <v>272</v>
      </c>
      <c r="B24" s="32" t="s">
        <v>1854</v>
      </c>
      <c r="C24" s="32" t="s">
        <v>1761</v>
      </c>
      <c r="D24" s="212" t="s">
        <v>499</v>
      </c>
      <c r="E24" s="11">
        <f t="shared" si="0"/>
        <v>586</v>
      </c>
      <c r="F24" s="19">
        <v>670</v>
      </c>
      <c r="G24" s="14">
        <v>1.5</v>
      </c>
      <c r="H24" s="14">
        <v>0.1</v>
      </c>
      <c r="I24" s="190">
        <v>1.5</v>
      </c>
      <c r="J24" s="190">
        <v>1.05</v>
      </c>
      <c r="K24" s="190">
        <v>0.75</v>
      </c>
      <c r="L24" s="14">
        <v>0.65</v>
      </c>
    </row>
    <row r="25" spans="1:12" x14ac:dyDescent="0.15">
      <c r="A25" s="9" t="s">
        <v>272</v>
      </c>
      <c r="B25" s="9" t="s">
        <v>1854</v>
      </c>
      <c r="C25" s="9" t="s">
        <v>1761</v>
      </c>
      <c r="D25" s="213" t="s">
        <v>500</v>
      </c>
      <c r="E25" s="10">
        <f t="shared" si="0"/>
        <v>671</v>
      </c>
      <c r="F25" s="20">
        <v>750</v>
      </c>
      <c r="G25" s="24"/>
      <c r="H25" s="24"/>
      <c r="I25" s="195"/>
      <c r="J25" s="190"/>
      <c r="K25" s="190"/>
      <c r="L25" s="14"/>
    </row>
    <row r="26" spans="1:12" x14ac:dyDescent="0.15">
      <c r="A26" s="9" t="s">
        <v>272</v>
      </c>
      <c r="B26" s="9" t="s">
        <v>1854</v>
      </c>
      <c r="C26" s="9" t="s">
        <v>1761</v>
      </c>
      <c r="D26" s="213" t="s">
        <v>501</v>
      </c>
      <c r="E26" s="10">
        <f t="shared" si="0"/>
        <v>751</v>
      </c>
      <c r="F26" s="20">
        <v>820</v>
      </c>
      <c r="I26" s="190"/>
      <c r="J26" s="190"/>
      <c r="K26" s="190"/>
      <c r="L26" s="14"/>
    </row>
    <row r="27" spans="1:12" x14ac:dyDescent="0.15">
      <c r="A27" s="9" t="s">
        <v>272</v>
      </c>
      <c r="B27" s="9" t="s">
        <v>1854</v>
      </c>
      <c r="C27" s="9" t="s">
        <v>1761</v>
      </c>
      <c r="D27" s="213" t="s">
        <v>640</v>
      </c>
      <c r="E27" s="10">
        <f t="shared" si="0"/>
        <v>821</v>
      </c>
      <c r="F27" s="20">
        <v>880</v>
      </c>
      <c r="I27" s="190"/>
      <c r="J27" s="190"/>
      <c r="K27" s="190"/>
      <c r="L27" s="14"/>
    </row>
    <row r="28" spans="1:12" x14ac:dyDescent="0.15">
      <c r="A28" s="32" t="s">
        <v>272</v>
      </c>
      <c r="B28" s="32" t="s">
        <v>1860</v>
      </c>
      <c r="C28" s="32" t="s">
        <v>1762</v>
      </c>
      <c r="D28" s="212" t="s">
        <v>641</v>
      </c>
      <c r="E28" s="11">
        <f t="shared" si="0"/>
        <v>881</v>
      </c>
      <c r="F28" s="19">
        <v>925</v>
      </c>
      <c r="G28" s="14">
        <v>0.3</v>
      </c>
      <c r="H28" s="14">
        <v>0.05</v>
      </c>
      <c r="I28" s="190">
        <v>1</v>
      </c>
      <c r="J28" s="190">
        <v>0.8</v>
      </c>
      <c r="K28" s="190">
        <v>0.6</v>
      </c>
      <c r="L28" s="14">
        <v>0.38</v>
      </c>
    </row>
    <row r="29" spans="1:12" x14ac:dyDescent="0.15">
      <c r="A29" s="9" t="s">
        <v>272</v>
      </c>
      <c r="B29" s="9" t="s">
        <v>1860</v>
      </c>
      <c r="C29" s="9" t="s">
        <v>1762</v>
      </c>
      <c r="D29" s="213" t="s">
        <v>642</v>
      </c>
      <c r="E29" s="10">
        <f t="shared" si="0"/>
        <v>926</v>
      </c>
      <c r="F29" s="20">
        <v>965</v>
      </c>
      <c r="G29" s="24"/>
      <c r="H29" s="24"/>
      <c r="I29" s="195"/>
      <c r="J29" s="190"/>
      <c r="K29" s="190"/>
      <c r="L29" s="14"/>
    </row>
    <row r="30" spans="1:12" x14ac:dyDescent="0.15">
      <c r="A30" s="9" t="s">
        <v>272</v>
      </c>
      <c r="B30" s="9" t="s">
        <v>1860</v>
      </c>
      <c r="C30" s="9" t="s">
        <v>1762</v>
      </c>
      <c r="D30" s="213" t="s">
        <v>643</v>
      </c>
      <c r="E30" s="10">
        <f t="shared" si="0"/>
        <v>966</v>
      </c>
      <c r="F30" s="20">
        <v>1000</v>
      </c>
      <c r="I30" s="190"/>
      <c r="J30" s="190"/>
      <c r="K30" s="190"/>
      <c r="L30" s="14"/>
    </row>
    <row r="31" spans="1:12" x14ac:dyDescent="0.15">
      <c r="A31" s="9" t="s">
        <v>272</v>
      </c>
      <c r="B31" s="9" t="s">
        <v>1860</v>
      </c>
      <c r="C31" s="9" t="s">
        <v>1762</v>
      </c>
      <c r="D31" s="213" t="s">
        <v>477</v>
      </c>
      <c r="E31" s="10">
        <f t="shared" si="0"/>
        <v>1001</v>
      </c>
      <c r="F31" s="20">
        <v>1030</v>
      </c>
      <c r="I31" s="190"/>
      <c r="J31" s="190"/>
      <c r="K31" s="190"/>
      <c r="L31" s="14"/>
    </row>
    <row r="32" spans="1:12" x14ac:dyDescent="0.15">
      <c r="A32" s="9" t="s">
        <v>272</v>
      </c>
      <c r="B32" s="9" t="s">
        <v>1860</v>
      </c>
      <c r="C32" s="9" t="s">
        <v>1762</v>
      </c>
      <c r="D32" s="213" t="s">
        <v>478</v>
      </c>
      <c r="E32" s="10">
        <f t="shared" si="0"/>
        <v>1031</v>
      </c>
      <c r="F32" s="20">
        <v>1055</v>
      </c>
      <c r="I32" s="190"/>
      <c r="J32" s="190"/>
      <c r="K32" s="190"/>
      <c r="L32" s="14"/>
    </row>
    <row r="33" spans="1:12" x14ac:dyDescent="0.15">
      <c r="A33" s="9" t="s">
        <v>272</v>
      </c>
      <c r="B33" s="9" t="s">
        <v>1860</v>
      </c>
      <c r="C33" s="9" t="s">
        <v>1762</v>
      </c>
      <c r="D33" s="213" t="s">
        <v>479</v>
      </c>
      <c r="E33" s="10">
        <f t="shared" si="0"/>
        <v>1056</v>
      </c>
      <c r="F33" s="20">
        <v>1075</v>
      </c>
      <c r="I33" s="190"/>
      <c r="J33" s="190"/>
      <c r="K33" s="190"/>
      <c r="L33" s="14"/>
    </row>
    <row r="34" spans="1:12" x14ac:dyDescent="0.15">
      <c r="A34" s="9" t="s">
        <v>272</v>
      </c>
      <c r="B34" s="9" t="s">
        <v>1860</v>
      </c>
      <c r="C34" s="9" t="s">
        <v>1762</v>
      </c>
      <c r="D34" s="213" t="s">
        <v>480</v>
      </c>
      <c r="E34" s="10">
        <f t="shared" si="0"/>
        <v>1076</v>
      </c>
      <c r="F34" s="20">
        <v>1090</v>
      </c>
      <c r="I34" s="190"/>
      <c r="J34" s="190"/>
      <c r="K34" s="190"/>
      <c r="L34" s="14"/>
    </row>
    <row r="35" spans="1:12" x14ac:dyDescent="0.15">
      <c r="A35" s="9" t="s">
        <v>272</v>
      </c>
      <c r="B35" s="9" t="s">
        <v>1860</v>
      </c>
      <c r="C35" s="9" t="s">
        <v>1762</v>
      </c>
      <c r="D35" s="213" t="s">
        <v>481</v>
      </c>
      <c r="E35" s="10">
        <f t="shared" si="0"/>
        <v>1091</v>
      </c>
      <c r="F35" s="20">
        <v>1105</v>
      </c>
      <c r="I35" s="190"/>
      <c r="J35" s="190"/>
      <c r="K35" s="190"/>
      <c r="L35" s="14"/>
    </row>
    <row r="36" spans="1:12" x14ac:dyDescent="0.15">
      <c r="A36" s="9" t="s">
        <v>272</v>
      </c>
      <c r="B36" s="9" t="s">
        <v>1860</v>
      </c>
      <c r="C36" s="9" t="s">
        <v>1762</v>
      </c>
      <c r="D36" s="213" t="s">
        <v>503</v>
      </c>
      <c r="E36" s="10">
        <f t="shared" si="0"/>
        <v>1106</v>
      </c>
      <c r="F36" s="20">
        <v>1120</v>
      </c>
      <c r="I36" s="190"/>
      <c r="J36" s="190"/>
      <c r="K36" s="190"/>
      <c r="L36" s="14"/>
    </row>
    <row r="37" spans="1:12" x14ac:dyDescent="0.15">
      <c r="A37" s="32" t="s">
        <v>272</v>
      </c>
      <c r="B37" s="32" t="s">
        <v>1855</v>
      </c>
      <c r="C37" s="32" t="s">
        <v>1855</v>
      </c>
      <c r="D37" s="212" t="s">
        <v>483</v>
      </c>
      <c r="E37" s="11">
        <f t="shared" si="0"/>
        <v>1121</v>
      </c>
      <c r="F37" s="19">
        <v>1180</v>
      </c>
      <c r="G37" s="14">
        <v>0.05</v>
      </c>
      <c r="H37" s="14">
        <v>0.01</v>
      </c>
      <c r="I37" s="190">
        <v>0.2</v>
      </c>
      <c r="J37" s="190">
        <v>0.4</v>
      </c>
      <c r="K37" s="190">
        <v>0.5</v>
      </c>
      <c r="L37" s="14">
        <v>0.15</v>
      </c>
    </row>
    <row r="38" spans="1:12" x14ac:dyDescent="0.15">
      <c r="A38" s="9" t="s">
        <v>272</v>
      </c>
      <c r="B38" s="9" t="s">
        <v>1855</v>
      </c>
      <c r="C38" s="9" t="s">
        <v>1855</v>
      </c>
      <c r="D38" s="213" t="s">
        <v>1079</v>
      </c>
      <c r="E38" s="10">
        <f t="shared" si="0"/>
        <v>1181</v>
      </c>
      <c r="F38" s="20">
        <v>1250</v>
      </c>
      <c r="I38" s="190"/>
      <c r="J38" s="190"/>
      <c r="K38" s="190"/>
      <c r="L38" s="14"/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7810-14C5-4C35-AEB9-D369BD507440}">
  <sheetPr>
    <tabColor rgb="FFFFFF00"/>
  </sheetPr>
  <dimension ref="A1:L48"/>
  <sheetViews>
    <sheetView workbookViewId="0">
      <selection activeCell="L45" sqref="L45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5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09" t="s">
        <v>586</v>
      </c>
      <c r="J1" s="109" t="s">
        <v>587</v>
      </c>
      <c r="K1" s="109" t="s">
        <v>588</v>
      </c>
      <c r="L1" s="109" t="s">
        <v>2348</v>
      </c>
    </row>
    <row r="2" spans="1:12" s="32" customFormat="1" x14ac:dyDescent="0.15">
      <c r="A2" s="176" t="s">
        <v>285</v>
      </c>
      <c r="B2" s="100" t="s">
        <v>1759</v>
      </c>
      <c r="C2" s="100" t="s">
        <v>1759</v>
      </c>
      <c r="D2" s="177" t="s">
        <v>373</v>
      </c>
      <c r="E2" s="199">
        <v>0</v>
      </c>
      <c r="F2" s="200">
        <v>10</v>
      </c>
      <c r="G2" s="205">
        <v>0.05</v>
      </c>
      <c r="H2" s="101">
        <v>5.0000000000000001E-3</v>
      </c>
      <c r="I2" s="186">
        <v>0.03</v>
      </c>
      <c r="J2" s="210">
        <v>0.3</v>
      </c>
      <c r="K2" s="210">
        <v>0.5</v>
      </c>
      <c r="L2" s="210">
        <v>0.85</v>
      </c>
    </row>
    <row r="3" spans="1:12" x14ac:dyDescent="0.15">
      <c r="A3" s="178" t="s">
        <v>285</v>
      </c>
      <c r="B3" s="98" t="s">
        <v>1759</v>
      </c>
      <c r="C3" s="98" t="s">
        <v>1759</v>
      </c>
      <c r="D3" s="179" t="s">
        <v>1080</v>
      </c>
      <c r="E3" s="201">
        <f>F2+1</f>
        <v>11</v>
      </c>
      <c r="F3" s="202">
        <v>30</v>
      </c>
      <c r="G3" s="206"/>
      <c r="H3" s="102"/>
      <c r="I3" s="187"/>
      <c r="J3" s="210"/>
      <c r="K3" s="210"/>
      <c r="L3" s="210"/>
    </row>
    <row r="4" spans="1:12" x14ac:dyDescent="0.15">
      <c r="A4" s="178" t="s">
        <v>285</v>
      </c>
      <c r="B4" s="98" t="s">
        <v>1759</v>
      </c>
      <c r="C4" s="98" t="s">
        <v>1759</v>
      </c>
      <c r="D4" s="179" t="s">
        <v>1081</v>
      </c>
      <c r="E4" s="201">
        <f t="shared" ref="E4:E48" si="0">F3+1</f>
        <v>31</v>
      </c>
      <c r="F4" s="202">
        <v>55</v>
      </c>
      <c r="G4" s="205"/>
      <c r="H4" s="101"/>
      <c r="I4" s="186"/>
      <c r="J4" s="210"/>
      <c r="K4" s="210"/>
      <c r="L4" s="210"/>
    </row>
    <row r="5" spans="1:12" x14ac:dyDescent="0.15">
      <c r="A5" s="178" t="s">
        <v>285</v>
      </c>
      <c r="B5" s="98" t="s">
        <v>1759</v>
      </c>
      <c r="C5" s="98" t="s">
        <v>1759</v>
      </c>
      <c r="D5" s="179" t="s">
        <v>1082</v>
      </c>
      <c r="E5" s="201">
        <f t="shared" si="0"/>
        <v>56</v>
      </c>
      <c r="F5" s="202">
        <v>80</v>
      </c>
      <c r="G5" s="205"/>
      <c r="H5" s="101"/>
      <c r="I5" s="186"/>
      <c r="J5" s="210"/>
      <c r="K5" s="210"/>
      <c r="L5" s="210"/>
    </row>
    <row r="6" spans="1:12" x14ac:dyDescent="0.15">
      <c r="A6" s="178" t="s">
        <v>285</v>
      </c>
      <c r="B6" s="98" t="s">
        <v>1759</v>
      </c>
      <c r="C6" s="98" t="s">
        <v>1759</v>
      </c>
      <c r="D6" s="179" t="s">
        <v>1083</v>
      </c>
      <c r="E6" s="201">
        <f t="shared" si="0"/>
        <v>81</v>
      </c>
      <c r="F6" s="202">
        <v>100</v>
      </c>
      <c r="G6" s="205"/>
      <c r="H6" s="101"/>
      <c r="I6" s="186"/>
      <c r="J6" s="210"/>
      <c r="K6" s="210"/>
      <c r="L6" s="210"/>
    </row>
    <row r="7" spans="1:12" x14ac:dyDescent="0.15">
      <c r="A7" s="178" t="s">
        <v>285</v>
      </c>
      <c r="B7" s="98" t="s">
        <v>1759</v>
      </c>
      <c r="C7" s="98" t="s">
        <v>1759</v>
      </c>
      <c r="D7" s="179" t="s">
        <v>1084</v>
      </c>
      <c r="E7" s="201">
        <f t="shared" si="0"/>
        <v>101</v>
      </c>
      <c r="F7" s="202">
        <v>120</v>
      </c>
      <c r="G7" s="205"/>
      <c r="H7" s="101"/>
      <c r="I7" s="186"/>
      <c r="J7" s="210"/>
      <c r="K7" s="210"/>
      <c r="L7" s="210"/>
    </row>
    <row r="8" spans="1:12" x14ac:dyDescent="0.15">
      <c r="A8" s="176" t="s">
        <v>285</v>
      </c>
      <c r="B8" s="100" t="s">
        <v>1885</v>
      </c>
      <c r="C8" s="100" t="s">
        <v>1760</v>
      </c>
      <c r="D8" s="177" t="s">
        <v>1085</v>
      </c>
      <c r="E8" s="199">
        <f t="shared" si="0"/>
        <v>121</v>
      </c>
      <c r="F8" s="200">
        <v>150</v>
      </c>
      <c r="G8" s="205">
        <v>1.25</v>
      </c>
      <c r="H8" s="101">
        <v>0.1</v>
      </c>
      <c r="I8" s="186">
        <v>0.5</v>
      </c>
      <c r="J8" s="210">
        <v>0.45</v>
      </c>
      <c r="K8" s="210">
        <v>0.6</v>
      </c>
      <c r="L8" s="210">
        <v>0.65</v>
      </c>
    </row>
    <row r="9" spans="1:12" x14ac:dyDescent="0.15">
      <c r="A9" s="178" t="s">
        <v>285</v>
      </c>
      <c r="B9" s="98" t="s">
        <v>1885</v>
      </c>
      <c r="C9" s="98" t="s">
        <v>1760</v>
      </c>
      <c r="D9" s="179" t="s">
        <v>1086</v>
      </c>
      <c r="E9" s="201">
        <f t="shared" si="0"/>
        <v>151</v>
      </c>
      <c r="F9" s="202">
        <v>180</v>
      </c>
      <c r="G9" s="206"/>
      <c r="H9" s="102"/>
      <c r="I9" s="187"/>
      <c r="J9" s="210"/>
      <c r="K9" s="210"/>
      <c r="L9" s="210"/>
    </row>
    <row r="10" spans="1:12" x14ac:dyDescent="0.15">
      <c r="A10" s="178" t="s">
        <v>285</v>
      </c>
      <c r="B10" s="98" t="s">
        <v>1885</v>
      </c>
      <c r="C10" s="98" t="s">
        <v>1760</v>
      </c>
      <c r="D10" s="179" t="s">
        <v>1087</v>
      </c>
      <c r="E10" s="201">
        <f t="shared" si="0"/>
        <v>181</v>
      </c>
      <c r="F10" s="202">
        <v>210</v>
      </c>
      <c r="G10" s="205"/>
      <c r="H10" s="101"/>
      <c r="I10" s="186"/>
      <c r="J10" s="210"/>
      <c r="K10" s="210"/>
      <c r="L10" s="210"/>
    </row>
    <row r="11" spans="1:12" x14ac:dyDescent="0.15">
      <c r="A11" s="178" t="s">
        <v>285</v>
      </c>
      <c r="B11" s="98" t="s">
        <v>1885</v>
      </c>
      <c r="C11" s="98" t="s">
        <v>1760</v>
      </c>
      <c r="D11" s="179" t="s">
        <v>1088</v>
      </c>
      <c r="E11" s="201">
        <f t="shared" si="0"/>
        <v>211</v>
      </c>
      <c r="F11" s="202">
        <v>260</v>
      </c>
      <c r="G11" s="205"/>
      <c r="H11" s="101"/>
      <c r="I11" s="186"/>
      <c r="J11" s="210"/>
      <c r="K11" s="210"/>
      <c r="L11" s="210"/>
    </row>
    <row r="12" spans="1:12" x14ac:dyDescent="0.15">
      <c r="A12" s="178" t="s">
        <v>285</v>
      </c>
      <c r="B12" s="98" t="s">
        <v>1885</v>
      </c>
      <c r="C12" s="98" t="s">
        <v>1760</v>
      </c>
      <c r="D12" s="179" t="s">
        <v>867</v>
      </c>
      <c r="E12" s="201">
        <f t="shared" si="0"/>
        <v>261</v>
      </c>
      <c r="F12" s="202">
        <v>290</v>
      </c>
      <c r="G12" s="205"/>
      <c r="H12" s="101"/>
      <c r="I12" s="186"/>
      <c r="J12" s="210"/>
      <c r="K12" s="210"/>
      <c r="L12" s="210"/>
    </row>
    <row r="13" spans="1:12" x14ac:dyDescent="0.15">
      <c r="A13" s="178" t="s">
        <v>285</v>
      </c>
      <c r="B13" s="98" t="s">
        <v>1885</v>
      </c>
      <c r="C13" s="98" t="s">
        <v>1760</v>
      </c>
      <c r="D13" s="179" t="s">
        <v>1089</v>
      </c>
      <c r="E13" s="201">
        <f t="shared" si="0"/>
        <v>291</v>
      </c>
      <c r="F13" s="202">
        <v>400</v>
      </c>
      <c r="G13" s="205"/>
      <c r="H13" s="101"/>
      <c r="I13" s="186"/>
      <c r="J13" s="210"/>
      <c r="K13" s="210"/>
      <c r="L13" s="210"/>
    </row>
    <row r="14" spans="1:12" x14ac:dyDescent="0.15">
      <c r="A14" s="176" t="s">
        <v>285</v>
      </c>
      <c r="B14" s="100" t="s">
        <v>1891</v>
      </c>
      <c r="C14" s="100" t="s">
        <v>1760</v>
      </c>
      <c r="D14" s="177" t="s">
        <v>1090</v>
      </c>
      <c r="E14" s="199">
        <f t="shared" si="0"/>
        <v>401</v>
      </c>
      <c r="F14" s="200">
        <v>500</v>
      </c>
      <c r="G14" s="205">
        <v>1.75</v>
      </c>
      <c r="H14" s="101">
        <v>0.2</v>
      </c>
      <c r="I14" s="186">
        <v>1.2</v>
      </c>
      <c r="J14" s="210">
        <v>1.05</v>
      </c>
      <c r="K14" s="210">
        <v>0.65</v>
      </c>
      <c r="L14" s="210">
        <v>0.7</v>
      </c>
    </row>
    <row r="15" spans="1:12" x14ac:dyDescent="0.15">
      <c r="A15" s="178" t="s">
        <v>285</v>
      </c>
      <c r="B15" s="98" t="s">
        <v>1891</v>
      </c>
      <c r="C15" s="98" t="s">
        <v>1760</v>
      </c>
      <c r="D15" s="179" t="s">
        <v>1091</v>
      </c>
      <c r="E15" s="201">
        <f t="shared" si="0"/>
        <v>501</v>
      </c>
      <c r="F15" s="202">
        <v>600</v>
      </c>
      <c r="G15" s="206"/>
      <c r="H15" s="102"/>
      <c r="I15" s="187"/>
      <c r="J15" s="210"/>
      <c r="K15" s="210"/>
      <c r="L15" s="210"/>
    </row>
    <row r="16" spans="1:12" x14ac:dyDescent="0.15">
      <c r="A16" s="178" t="s">
        <v>285</v>
      </c>
      <c r="B16" s="98" t="s">
        <v>1891</v>
      </c>
      <c r="C16" s="98" t="s">
        <v>1760</v>
      </c>
      <c r="D16" s="179" t="s">
        <v>1092</v>
      </c>
      <c r="E16" s="201">
        <f t="shared" si="0"/>
        <v>601</v>
      </c>
      <c r="F16" s="202">
        <v>700</v>
      </c>
      <c r="G16" s="205"/>
      <c r="H16" s="101"/>
      <c r="I16" s="186"/>
      <c r="J16" s="210"/>
      <c r="K16" s="210"/>
      <c r="L16" s="210"/>
    </row>
    <row r="17" spans="1:12" x14ac:dyDescent="0.15">
      <c r="A17" s="178" t="s">
        <v>285</v>
      </c>
      <c r="B17" s="98" t="s">
        <v>1891</v>
      </c>
      <c r="C17" s="98" t="s">
        <v>1760</v>
      </c>
      <c r="D17" s="179" t="s">
        <v>1093</v>
      </c>
      <c r="E17" s="201">
        <f t="shared" si="0"/>
        <v>701</v>
      </c>
      <c r="F17" s="202">
        <v>800</v>
      </c>
      <c r="G17" s="205"/>
      <c r="H17" s="101"/>
      <c r="I17" s="186"/>
      <c r="J17" s="210"/>
      <c r="K17" s="210"/>
      <c r="L17" s="210"/>
    </row>
    <row r="18" spans="1:12" x14ac:dyDescent="0.15">
      <c r="A18" s="178" t="s">
        <v>285</v>
      </c>
      <c r="B18" s="98" t="s">
        <v>1891</v>
      </c>
      <c r="C18" s="98" t="s">
        <v>1760</v>
      </c>
      <c r="D18" s="179" t="s">
        <v>1094</v>
      </c>
      <c r="E18" s="201">
        <f t="shared" si="0"/>
        <v>801</v>
      </c>
      <c r="F18" s="202">
        <v>900</v>
      </c>
      <c r="G18" s="205"/>
      <c r="H18" s="101"/>
      <c r="I18" s="186"/>
      <c r="J18" s="210"/>
      <c r="K18" s="210"/>
      <c r="L18" s="210"/>
    </row>
    <row r="19" spans="1:12" x14ac:dyDescent="0.15">
      <c r="A19" s="178" t="s">
        <v>285</v>
      </c>
      <c r="B19" s="98" t="s">
        <v>1891</v>
      </c>
      <c r="C19" s="98" t="s">
        <v>1760</v>
      </c>
      <c r="D19" s="179" t="s">
        <v>1095</v>
      </c>
      <c r="E19" s="201">
        <f t="shared" si="0"/>
        <v>901</v>
      </c>
      <c r="F19" s="202">
        <v>1000</v>
      </c>
      <c r="G19" s="205"/>
      <c r="H19" s="101"/>
      <c r="I19" s="186"/>
      <c r="J19" s="210"/>
      <c r="K19" s="210"/>
      <c r="L19" s="210"/>
    </row>
    <row r="20" spans="1:12" x14ac:dyDescent="0.15">
      <c r="A20" s="178" t="s">
        <v>285</v>
      </c>
      <c r="B20" s="98" t="s">
        <v>1891</v>
      </c>
      <c r="C20" s="98" t="s">
        <v>1760</v>
      </c>
      <c r="D20" s="179" t="s">
        <v>1096</v>
      </c>
      <c r="E20" s="201">
        <f t="shared" si="0"/>
        <v>1001</v>
      </c>
      <c r="F20" s="202">
        <v>1050</v>
      </c>
      <c r="G20" s="205"/>
      <c r="H20" s="101"/>
      <c r="I20" s="186"/>
      <c r="J20" s="210"/>
      <c r="K20" s="210"/>
      <c r="L20" s="210"/>
    </row>
    <row r="21" spans="1:12" x14ac:dyDescent="0.15">
      <c r="A21" s="178" t="s">
        <v>285</v>
      </c>
      <c r="B21" s="98" t="s">
        <v>1891</v>
      </c>
      <c r="C21" s="98" t="s">
        <v>1760</v>
      </c>
      <c r="D21" s="179" t="s">
        <v>1097</v>
      </c>
      <c r="E21" s="201">
        <f t="shared" si="0"/>
        <v>1051</v>
      </c>
      <c r="F21" s="202">
        <v>1100</v>
      </c>
      <c r="G21" s="205"/>
      <c r="H21" s="101"/>
      <c r="I21" s="186"/>
      <c r="J21" s="210"/>
      <c r="K21" s="210"/>
      <c r="L21" s="210"/>
    </row>
    <row r="22" spans="1:12" x14ac:dyDescent="0.15">
      <c r="A22" s="178" t="s">
        <v>285</v>
      </c>
      <c r="B22" s="98" t="s">
        <v>1891</v>
      </c>
      <c r="C22" s="98" t="s">
        <v>1760</v>
      </c>
      <c r="D22" s="179" t="s">
        <v>1098</v>
      </c>
      <c r="E22" s="201">
        <f t="shared" si="0"/>
        <v>1101</v>
      </c>
      <c r="F22" s="202">
        <v>1200</v>
      </c>
      <c r="G22" s="205"/>
      <c r="H22" s="101"/>
      <c r="I22" s="186"/>
      <c r="J22" s="210"/>
      <c r="K22" s="210"/>
      <c r="L22" s="210"/>
    </row>
    <row r="23" spans="1:12" x14ac:dyDescent="0.15">
      <c r="A23" s="176" t="s">
        <v>285</v>
      </c>
      <c r="B23" s="100" t="s">
        <v>1888</v>
      </c>
      <c r="C23" s="100" t="s">
        <v>1760</v>
      </c>
      <c r="D23" s="177" t="s">
        <v>1099</v>
      </c>
      <c r="E23" s="199">
        <f t="shared" si="0"/>
        <v>1201</v>
      </c>
      <c r="F23" s="200">
        <v>1800</v>
      </c>
      <c r="G23" s="205">
        <v>0.9</v>
      </c>
      <c r="H23" s="101">
        <v>0.15</v>
      </c>
      <c r="I23" s="186">
        <v>1</v>
      </c>
      <c r="J23" s="210">
        <v>0.85</v>
      </c>
      <c r="K23" s="210">
        <v>0.6</v>
      </c>
      <c r="L23" s="210">
        <v>0.8</v>
      </c>
    </row>
    <row r="24" spans="1:12" x14ac:dyDescent="0.15">
      <c r="A24" s="176" t="s">
        <v>285</v>
      </c>
      <c r="B24" s="100" t="s">
        <v>1892</v>
      </c>
      <c r="C24" s="100" t="s">
        <v>1761</v>
      </c>
      <c r="D24" s="177" t="s">
        <v>1100</v>
      </c>
      <c r="E24" s="199">
        <f t="shared" si="0"/>
        <v>1801</v>
      </c>
      <c r="F24" s="200">
        <v>1866</v>
      </c>
      <c r="G24" s="205">
        <v>0.5</v>
      </c>
      <c r="H24" s="101">
        <v>0.1</v>
      </c>
      <c r="I24" s="186">
        <v>0.8</v>
      </c>
      <c r="J24" s="210">
        <v>0.75</v>
      </c>
      <c r="K24" s="210">
        <v>0.55000000000000004</v>
      </c>
      <c r="L24" s="210">
        <v>0.6</v>
      </c>
    </row>
    <row r="25" spans="1:12" x14ac:dyDescent="0.15">
      <c r="A25" s="178" t="s">
        <v>285</v>
      </c>
      <c r="B25" s="98" t="s">
        <v>1892</v>
      </c>
      <c r="C25" s="98" t="s">
        <v>1761</v>
      </c>
      <c r="D25" s="179" t="s">
        <v>1101</v>
      </c>
      <c r="E25" s="201">
        <f t="shared" si="0"/>
        <v>1867</v>
      </c>
      <c r="F25" s="202">
        <v>1933</v>
      </c>
      <c r="G25" s="206"/>
      <c r="H25" s="102"/>
      <c r="I25" s="187"/>
      <c r="J25" s="210"/>
      <c r="K25" s="210"/>
      <c r="L25" s="210"/>
    </row>
    <row r="26" spans="1:12" x14ac:dyDescent="0.15">
      <c r="A26" s="178" t="s">
        <v>285</v>
      </c>
      <c r="B26" s="98" t="s">
        <v>1892</v>
      </c>
      <c r="C26" s="98" t="s">
        <v>1761</v>
      </c>
      <c r="D26" s="179" t="s">
        <v>1102</v>
      </c>
      <c r="E26" s="201">
        <f t="shared" si="0"/>
        <v>1934</v>
      </c>
      <c r="F26" s="202">
        <v>1999</v>
      </c>
      <c r="G26" s="205"/>
      <c r="H26" s="101"/>
      <c r="I26" s="186"/>
      <c r="J26" s="210"/>
      <c r="K26" s="210"/>
      <c r="L26" s="210"/>
    </row>
    <row r="27" spans="1:12" x14ac:dyDescent="0.15">
      <c r="A27" s="178" t="s">
        <v>285</v>
      </c>
      <c r="B27" s="98" t="s">
        <v>1892</v>
      </c>
      <c r="C27" s="98" t="s">
        <v>1761</v>
      </c>
      <c r="D27" s="179" t="s">
        <v>1103</v>
      </c>
      <c r="E27" s="201">
        <f t="shared" si="0"/>
        <v>2000</v>
      </c>
      <c r="F27" s="202">
        <v>2066</v>
      </c>
      <c r="G27" s="205"/>
      <c r="H27" s="101"/>
      <c r="I27" s="186"/>
      <c r="J27" s="210"/>
      <c r="K27" s="210"/>
      <c r="L27" s="210"/>
    </row>
    <row r="28" spans="1:12" x14ac:dyDescent="0.15">
      <c r="A28" s="178" t="s">
        <v>285</v>
      </c>
      <c r="B28" s="98" t="s">
        <v>1892</v>
      </c>
      <c r="C28" s="98" t="s">
        <v>1761</v>
      </c>
      <c r="D28" s="179" t="s">
        <v>1104</v>
      </c>
      <c r="E28" s="201">
        <f t="shared" si="0"/>
        <v>2067</v>
      </c>
      <c r="F28" s="202">
        <v>2133</v>
      </c>
      <c r="G28" s="205"/>
      <c r="H28" s="101"/>
      <c r="I28" s="186"/>
      <c r="J28" s="210"/>
      <c r="K28" s="210"/>
      <c r="L28" s="210"/>
    </row>
    <row r="29" spans="1:12" x14ac:dyDescent="0.15">
      <c r="A29" s="178" t="s">
        <v>285</v>
      </c>
      <c r="B29" s="98" t="s">
        <v>1892</v>
      </c>
      <c r="C29" s="98" t="s">
        <v>1761</v>
      </c>
      <c r="D29" s="179" t="s">
        <v>1105</v>
      </c>
      <c r="E29" s="201">
        <f t="shared" si="0"/>
        <v>2134</v>
      </c>
      <c r="F29" s="202">
        <v>2200</v>
      </c>
      <c r="G29" s="205"/>
      <c r="H29" s="101"/>
      <c r="I29" s="186"/>
      <c r="J29" s="210"/>
      <c r="K29" s="210"/>
      <c r="L29" s="210"/>
    </row>
    <row r="30" spans="1:12" x14ac:dyDescent="0.15">
      <c r="A30" s="176" t="s">
        <v>285</v>
      </c>
      <c r="B30" s="100" t="s">
        <v>1859</v>
      </c>
      <c r="C30" s="100" t="s">
        <v>1761</v>
      </c>
      <c r="D30" s="177" t="s">
        <v>611</v>
      </c>
      <c r="E30" s="199">
        <f t="shared" si="0"/>
        <v>2201</v>
      </c>
      <c r="F30" s="217">
        <v>2240</v>
      </c>
      <c r="G30" s="205">
        <v>0.22</v>
      </c>
      <c r="H30" s="101">
        <v>0.05</v>
      </c>
      <c r="I30" s="186">
        <v>0.5</v>
      </c>
      <c r="J30" s="210">
        <v>0.75</v>
      </c>
      <c r="K30" s="210">
        <v>0.5</v>
      </c>
      <c r="L30" s="210">
        <v>0.55000000000000004</v>
      </c>
    </row>
    <row r="31" spans="1:12" x14ac:dyDescent="0.15">
      <c r="A31" s="178" t="s">
        <v>285</v>
      </c>
      <c r="B31" s="98" t="s">
        <v>1859</v>
      </c>
      <c r="C31" s="98" t="s">
        <v>1761</v>
      </c>
      <c r="D31" s="179" t="s">
        <v>430</v>
      </c>
      <c r="E31" s="201">
        <f t="shared" si="0"/>
        <v>2241</v>
      </c>
      <c r="F31" s="184">
        <v>2290</v>
      </c>
      <c r="G31" s="206"/>
      <c r="H31" s="102"/>
      <c r="I31" s="187"/>
      <c r="J31" s="210"/>
      <c r="K31" s="210"/>
      <c r="L31" s="210"/>
    </row>
    <row r="32" spans="1:12" x14ac:dyDescent="0.15">
      <c r="A32" s="178" t="s">
        <v>285</v>
      </c>
      <c r="B32" s="98" t="s">
        <v>1859</v>
      </c>
      <c r="C32" s="98" t="s">
        <v>1761</v>
      </c>
      <c r="D32" s="179" t="s">
        <v>1106</v>
      </c>
      <c r="E32" s="201">
        <f t="shared" si="0"/>
        <v>2291</v>
      </c>
      <c r="F32" s="184">
        <v>2340</v>
      </c>
      <c r="G32" s="205"/>
      <c r="H32" s="101"/>
      <c r="I32" s="186"/>
      <c r="J32" s="210"/>
      <c r="K32" s="210"/>
      <c r="L32" s="210"/>
    </row>
    <row r="33" spans="1:12" x14ac:dyDescent="0.15">
      <c r="A33" s="178" t="s">
        <v>285</v>
      </c>
      <c r="B33" s="98" t="s">
        <v>1859</v>
      </c>
      <c r="C33" s="98" t="s">
        <v>1761</v>
      </c>
      <c r="D33" s="179" t="s">
        <v>432</v>
      </c>
      <c r="E33" s="201">
        <f t="shared" si="0"/>
        <v>2341</v>
      </c>
      <c r="F33" s="184">
        <v>2390</v>
      </c>
      <c r="G33" s="205"/>
      <c r="H33" s="101"/>
      <c r="I33" s="186"/>
      <c r="J33" s="210"/>
      <c r="K33" s="210"/>
      <c r="L33" s="210"/>
    </row>
    <row r="34" spans="1:12" x14ac:dyDescent="0.15">
      <c r="A34" s="178" t="s">
        <v>285</v>
      </c>
      <c r="B34" s="98" t="s">
        <v>1859</v>
      </c>
      <c r="C34" s="98" t="s">
        <v>1761</v>
      </c>
      <c r="D34" s="179" t="s">
        <v>433</v>
      </c>
      <c r="E34" s="201">
        <f t="shared" si="0"/>
        <v>2391</v>
      </c>
      <c r="F34" s="184">
        <v>2440</v>
      </c>
      <c r="G34" s="205"/>
      <c r="H34" s="101"/>
      <c r="I34" s="186"/>
      <c r="J34" s="210"/>
      <c r="K34" s="210"/>
      <c r="L34" s="210"/>
    </row>
    <row r="35" spans="1:12" x14ac:dyDescent="0.15">
      <c r="A35" s="178" t="s">
        <v>285</v>
      </c>
      <c r="B35" s="98" t="s">
        <v>1859</v>
      </c>
      <c r="C35" s="98" t="s">
        <v>1761</v>
      </c>
      <c r="D35" s="179" t="s">
        <v>434</v>
      </c>
      <c r="E35" s="201">
        <f t="shared" si="0"/>
        <v>2441</v>
      </c>
      <c r="F35" s="184">
        <v>2490</v>
      </c>
      <c r="G35" s="205"/>
      <c r="H35" s="101"/>
      <c r="I35" s="186"/>
      <c r="J35" s="210"/>
      <c r="K35" s="210"/>
      <c r="L35" s="210"/>
    </row>
    <row r="36" spans="1:12" x14ac:dyDescent="0.15">
      <c r="A36" s="178" t="s">
        <v>285</v>
      </c>
      <c r="B36" s="98" t="s">
        <v>1859</v>
      </c>
      <c r="C36" s="98" t="s">
        <v>1761</v>
      </c>
      <c r="D36" s="179" t="s">
        <v>1107</v>
      </c>
      <c r="E36" s="201">
        <f t="shared" si="0"/>
        <v>2491</v>
      </c>
      <c r="F36" s="184">
        <v>2540</v>
      </c>
      <c r="G36" s="205"/>
      <c r="H36" s="101"/>
      <c r="I36" s="186"/>
      <c r="J36" s="210"/>
      <c r="K36" s="210"/>
      <c r="L36" s="210"/>
    </row>
    <row r="37" spans="1:12" x14ac:dyDescent="0.15">
      <c r="A37" s="178" t="s">
        <v>285</v>
      </c>
      <c r="B37" s="98" t="s">
        <v>1859</v>
      </c>
      <c r="C37" s="98" t="s">
        <v>1761</v>
      </c>
      <c r="D37" s="179" t="s">
        <v>1108</v>
      </c>
      <c r="E37" s="201">
        <f t="shared" si="0"/>
        <v>2541</v>
      </c>
      <c r="F37" s="184">
        <v>2600</v>
      </c>
      <c r="G37" s="205"/>
      <c r="H37" s="101"/>
      <c r="I37" s="186"/>
      <c r="J37" s="210"/>
      <c r="K37" s="210"/>
      <c r="L37" s="210"/>
    </row>
    <row r="38" spans="1:12" x14ac:dyDescent="0.15">
      <c r="A38" s="176" t="s">
        <v>285</v>
      </c>
      <c r="B38" s="100" t="s">
        <v>1854</v>
      </c>
      <c r="C38" s="100" t="s">
        <v>1761</v>
      </c>
      <c r="D38" s="177" t="s">
        <v>1109</v>
      </c>
      <c r="E38" s="199">
        <f t="shared" si="0"/>
        <v>2601</v>
      </c>
      <c r="F38" s="217">
        <v>2700</v>
      </c>
      <c r="G38" s="205">
        <v>0.18</v>
      </c>
      <c r="H38" s="101">
        <v>0.02</v>
      </c>
      <c r="I38" s="186">
        <v>0.2</v>
      </c>
      <c r="J38" s="210">
        <v>0.6</v>
      </c>
      <c r="K38" s="210">
        <v>0.45</v>
      </c>
      <c r="L38" s="210">
        <v>0.45</v>
      </c>
    </row>
    <row r="39" spans="1:12" x14ac:dyDescent="0.15">
      <c r="A39" s="178" t="s">
        <v>285</v>
      </c>
      <c r="B39" s="98" t="s">
        <v>1854</v>
      </c>
      <c r="C39" s="98" t="s">
        <v>1761</v>
      </c>
      <c r="D39" s="179" t="s">
        <v>1110</v>
      </c>
      <c r="E39" s="201">
        <f t="shared" si="0"/>
        <v>2701</v>
      </c>
      <c r="F39" s="184">
        <v>2780</v>
      </c>
      <c r="G39" s="206"/>
      <c r="H39" s="102"/>
      <c r="I39" s="187"/>
      <c r="J39" s="210"/>
      <c r="K39" s="210"/>
      <c r="L39" s="210"/>
    </row>
    <row r="40" spans="1:12" x14ac:dyDescent="0.15">
      <c r="A40" s="176" t="s">
        <v>285</v>
      </c>
      <c r="B40" s="100" t="s">
        <v>1762</v>
      </c>
      <c r="C40" s="100" t="s">
        <v>1762</v>
      </c>
      <c r="D40" s="177" t="s">
        <v>1111</v>
      </c>
      <c r="E40" s="199">
        <f t="shared" si="0"/>
        <v>2781</v>
      </c>
      <c r="F40" s="217">
        <v>2860</v>
      </c>
      <c r="G40" s="205">
        <v>0.09</v>
      </c>
      <c r="H40" s="101">
        <v>5.0000000000000001E-3</v>
      </c>
      <c r="I40" s="186">
        <v>0.1</v>
      </c>
      <c r="J40" s="210">
        <v>0.4</v>
      </c>
      <c r="K40" s="210">
        <v>0.4</v>
      </c>
      <c r="L40" s="210">
        <v>0.3</v>
      </c>
    </row>
    <row r="41" spans="1:12" x14ac:dyDescent="0.15">
      <c r="A41" s="178" t="s">
        <v>285</v>
      </c>
      <c r="B41" s="98" t="s">
        <v>1762</v>
      </c>
      <c r="C41" s="98" t="s">
        <v>1762</v>
      </c>
      <c r="D41" s="179" t="s">
        <v>1112</v>
      </c>
      <c r="E41" s="201">
        <f t="shared" si="0"/>
        <v>2861</v>
      </c>
      <c r="F41" s="184">
        <v>2960</v>
      </c>
      <c r="G41" s="206"/>
      <c r="H41" s="102"/>
      <c r="I41" s="187"/>
      <c r="J41" s="210"/>
      <c r="K41" s="210"/>
      <c r="L41" s="210"/>
    </row>
    <row r="42" spans="1:12" x14ac:dyDescent="0.15">
      <c r="A42" s="178" t="s">
        <v>285</v>
      </c>
      <c r="B42" s="98" t="s">
        <v>1762</v>
      </c>
      <c r="C42" s="98" t="s">
        <v>1762</v>
      </c>
      <c r="D42" s="179" t="s">
        <v>1113</v>
      </c>
      <c r="E42" s="201">
        <f t="shared" si="0"/>
        <v>2961</v>
      </c>
      <c r="F42" s="184">
        <v>3060</v>
      </c>
      <c r="G42" s="205"/>
      <c r="H42" s="101"/>
      <c r="I42" s="186"/>
      <c r="J42" s="210"/>
      <c r="K42" s="210"/>
      <c r="L42" s="210"/>
    </row>
    <row r="43" spans="1:12" x14ac:dyDescent="0.15">
      <c r="A43" s="178" t="s">
        <v>285</v>
      </c>
      <c r="B43" s="98" t="s">
        <v>1762</v>
      </c>
      <c r="C43" s="98" t="s">
        <v>1762</v>
      </c>
      <c r="D43" s="179" t="s">
        <v>1114</v>
      </c>
      <c r="E43" s="201">
        <f t="shared" si="0"/>
        <v>3061</v>
      </c>
      <c r="F43" s="184">
        <v>3160</v>
      </c>
      <c r="G43" s="205"/>
      <c r="H43" s="101"/>
      <c r="I43" s="186"/>
      <c r="J43" s="210"/>
      <c r="K43" s="210"/>
      <c r="L43" s="210"/>
    </row>
    <row r="44" spans="1:12" x14ac:dyDescent="0.15">
      <c r="A44" s="176" t="s">
        <v>285</v>
      </c>
      <c r="B44" s="100" t="s">
        <v>1855</v>
      </c>
      <c r="C44" s="100" t="s">
        <v>1855</v>
      </c>
      <c r="D44" s="177" t="s">
        <v>1115</v>
      </c>
      <c r="E44" s="199">
        <f t="shared" si="0"/>
        <v>3161</v>
      </c>
      <c r="F44" s="217">
        <v>3240</v>
      </c>
      <c r="G44" s="205">
        <v>0.02</v>
      </c>
      <c r="H44" s="101">
        <v>0</v>
      </c>
      <c r="I44" s="186">
        <v>0.05</v>
      </c>
      <c r="J44" s="210">
        <v>0.3</v>
      </c>
      <c r="K44" s="210">
        <v>0.35</v>
      </c>
      <c r="L44" s="210">
        <v>0.15</v>
      </c>
    </row>
    <row r="45" spans="1:12" x14ac:dyDescent="0.15">
      <c r="A45" s="178" t="s">
        <v>285</v>
      </c>
      <c r="B45" s="98" t="s">
        <v>1855</v>
      </c>
      <c r="C45" s="98" t="s">
        <v>1855</v>
      </c>
      <c r="D45" s="179" t="s">
        <v>1040</v>
      </c>
      <c r="E45" s="201">
        <f t="shared" si="0"/>
        <v>3241</v>
      </c>
      <c r="F45" s="184">
        <v>3320</v>
      </c>
      <c r="G45" s="205"/>
      <c r="H45" s="101"/>
      <c r="I45" s="186"/>
      <c r="J45" s="210"/>
      <c r="K45" s="210"/>
      <c r="L45" s="210"/>
    </row>
    <row r="46" spans="1:12" x14ac:dyDescent="0.15">
      <c r="A46" s="178" t="s">
        <v>285</v>
      </c>
      <c r="B46" s="98" t="s">
        <v>1855</v>
      </c>
      <c r="C46" s="98" t="s">
        <v>1855</v>
      </c>
      <c r="D46" s="179" t="s">
        <v>1041</v>
      </c>
      <c r="E46" s="201">
        <f t="shared" si="0"/>
        <v>3321</v>
      </c>
      <c r="F46" s="184">
        <v>3400</v>
      </c>
      <c r="G46" s="205"/>
      <c r="H46" s="101"/>
      <c r="I46" s="186"/>
      <c r="J46" s="210"/>
      <c r="K46" s="210"/>
      <c r="L46" s="210"/>
    </row>
    <row r="47" spans="1:12" x14ac:dyDescent="0.15">
      <c r="A47" s="178" t="s">
        <v>285</v>
      </c>
      <c r="B47" s="98" t="s">
        <v>1855</v>
      </c>
      <c r="C47" s="98" t="s">
        <v>1855</v>
      </c>
      <c r="D47" s="179" t="s">
        <v>1116</v>
      </c>
      <c r="E47" s="201">
        <f t="shared" si="0"/>
        <v>3401</v>
      </c>
      <c r="F47" s="184">
        <v>3480</v>
      </c>
      <c r="G47" s="205"/>
      <c r="H47" s="101"/>
      <c r="I47" s="186"/>
      <c r="J47" s="210"/>
      <c r="K47" s="210"/>
      <c r="L47" s="210"/>
    </row>
    <row r="48" spans="1:12" x14ac:dyDescent="0.15">
      <c r="A48" s="196" t="s">
        <v>285</v>
      </c>
      <c r="B48" s="197" t="s">
        <v>1855</v>
      </c>
      <c r="C48" s="197" t="s">
        <v>1855</v>
      </c>
      <c r="D48" s="198" t="s">
        <v>456</v>
      </c>
      <c r="E48" s="203">
        <f t="shared" si="0"/>
        <v>3481</v>
      </c>
      <c r="F48" s="204">
        <v>3550</v>
      </c>
      <c r="G48" s="207"/>
      <c r="H48" s="208"/>
      <c r="I48" s="209"/>
      <c r="J48" s="211"/>
      <c r="K48" s="211"/>
      <c r="L48" s="211"/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0D8C-F746-437D-9BFF-F3D385A22E82}">
  <sheetPr>
    <tabColor rgb="FFFFFF00"/>
  </sheetPr>
  <dimension ref="A1:L45"/>
  <sheetViews>
    <sheetView tabSelected="1" workbookViewId="0">
      <selection activeCell="L1" sqref="L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8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2383</v>
      </c>
    </row>
    <row r="2" spans="1:12" s="32" customFormat="1" x14ac:dyDescent="0.15">
      <c r="A2" s="32" t="s">
        <v>298</v>
      </c>
      <c r="B2" s="32" t="s">
        <v>1759</v>
      </c>
      <c r="C2" s="32" t="s">
        <v>1759</v>
      </c>
      <c r="D2" s="77" t="s">
        <v>1118</v>
      </c>
      <c r="E2" s="11">
        <v>0</v>
      </c>
      <c r="F2" s="19">
        <v>0</v>
      </c>
      <c r="G2" s="14">
        <v>0.02</v>
      </c>
      <c r="H2" s="14">
        <v>5.0000000000000001E-3</v>
      </c>
      <c r="I2" s="190">
        <v>0.02</v>
      </c>
      <c r="J2" s="190">
        <v>0.3</v>
      </c>
      <c r="K2" s="190">
        <v>0.45</v>
      </c>
      <c r="L2" s="14">
        <v>0.88</v>
      </c>
    </row>
    <row r="3" spans="1:12" x14ac:dyDescent="0.15">
      <c r="A3" s="9" t="s">
        <v>298</v>
      </c>
      <c r="B3" s="9" t="s">
        <v>1759</v>
      </c>
      <c r="C3" s="9" t="s">
        <v>1759</v>
      </c>
      <c r="D3" s="25" t="s">
        <v>1119</v>
      </c>
      <c r="E3" s="10">
        <f>F2+1</f>
        <v>1</v>
      </c>
      <c r="F3" s="20">
        <v>10</v>
      </c>
      <c r="G3" s="24"/>
      <c r="H3" s="24"/>
      <c r="I3" s="195"/>
      <c r="J3" s="190"/>
      <c r="K3" s="190"/>
      <c r="L3" s="14"/>
    </row>
    <row r="4" spans="1:12" x14ac:dyDescent="0.15">
      <c r="A4" s="9" t="s">
        <v>298</v>
      </c>
      <c r="B4" s="9" t="s">
        <v>1759</v>
      </c>
      <c r="C4" s="9" t="s">
        <v>1759</v>
      </c>
      <c r="D4" s="25" t="s">
        <v>1120</v>
      </c>
      <c r="E4" s="10">
        <f t="shared" ref="E4:E45" si="0">F3+1</f>
        <v>11</v>
      </c>
      <c r="F4" s="20">
        <v>20</v>
      </c>
      <c r="I4" s="190"/>
      <c r="J4" s="190"/>
      <c r="K4" s="190"/>
      <c r="L4" s="14"/>
    </row>
    <row r="5" spans="1:12" x14ac:dyDescent="0.15">
      <c r="A5" s="9" t="s">
        <v>298</v>
      </c>
      <c r="B5" s="9" t="s">
        <v>1759</v>
      </c>
      <c r="C5" s="9" t="s">
        <v>1759</v>
      </c>
      <c r="D5" s="25" t="s">
        <v>1121</v>
      </c>
      <c r="E5" s="10">
        <f t="shared" si="0"/>
        <v>21</v>
      </c>
      <c r="F5" s="20">
        <v>50</v>
      </c>
      <c r="I5" s="190"/>
      <c r="J5" s="190"/>
      <c r="K5" s="190"/>
      <c r="L5" s="14"/>
    </row>
    <row r="6" spans="1:12" x14ac:dyDescent="0.15">
      <c r="A6" s="9" t="s">
        <v>298</v>
      </c>
      <c r="B6" s="9" t="s">
        <v>1759</v>
      </c>
      <c r="C6" s="9" t="s">
        <v>1759</v>
      </c>
      <c r="D6" s="25" t="s">
        <v>1122</v>
      </c>
      <c r="E6" s="10">
        <f t="shared" si="0"/>
        <v>51</v>
      </c>
      <c r="F6" s="20">
        <v>70</v>
      </c>
      <c r="I6" s="190"/>
      <c r="J6" s="190"/>
      <c r="K6" s="190"/>
      <c r="L6" s="14"/>
    </row>
    <row r="7" spans="1:12" x14ac:dyDescent="0.15">
      <c r="A7" s="9" t="s">
        <v>298</v>
      </c>
      <c r="B7" s="9" t="s">
        <v>1759</v>
      </c>
      <c r="C7" s="9" t="s">
        <v>1759</v>
      </c>
      <c r="D7" s="25" t="s">
        <v>1123</v>
      </c>
      <c r="E7" s="10">
        <f t="shared" si="0"/>
        <v>71</v>
      </c>
      <c r="F7" s="20">
        <v>85</v>
      </c>
      <c r="I7" s="190"/>
      <c r="J7" s="190"/>
      <c r="K7" s="190"/>
      <c r="L7" s="14"/>
    </row>
    <row r="8" spans="1:12" x14ac:dyDescent="0.15">
      <c r="A8" s="9" t="s">
        <v>298</v>
      </c>
      <c r="B8" s="9" t="s">
        <v>1759</v>
      </c>
      <c r="C8" s="9" t="s">
        <v>1759</v>
      </c>
      <c r="D8" s="25" t="s">
        <v>1124</v>
      </c>
      <c r="E8" s="10">
        <f t="shared" si="0"/>
        <v>86</v>
      </c>
      <c r="F8" s="20">
        <v>100</v>
      </c>
      <c r="I8" s="190"/>
      <c r="J8" s="190"/>
      <c r="K8" s="190"/>
      <c r="L8" s="14"/>
    </row>
    <row r="9" spans="1:12" x14ac:dyDescent="0.15">
      <c r="A9" s="9" t="s">
        <v>298</v>
      </c>
      <c r="B9" s="9" t="s">
        <v>1759</v>
      </c>
      <c r="C9" s="9" t="s">
        <v>1759</v>
      </c>
      <c r="D9" s="25" t="s">
        <v>1125</v>
      </c>
      <c r="E9" s="10">
        <f t="shared" si="0"/>
        <v>101</v>
      </c>
      <c r="F9" s="20">
        <v>120</v>
      </c>
      <c r="I9" s="190"/>
      <c r="J9" s="190"/>
      <c r="K9" s="190"/>
      <c r="L9" s="14"/>
    </row>
    <row r="10" spans="1:12" s="32" customFormat="1" x14ac:dyDescent="0.15">
      <c r="A10" s="32" t="s">
        <v>298</v>
      </c>
      <c r="B10" s="32" t="s">
        <v>1861</v>
      </c>
      <c r="C10" s="32" t="s">
        <v>1760</v>
      </c>
      <c r="D10" s="193" t="s">
        <v>380</v>
      </c>
      <c r="E10" s="11">
        <f t="shared" si="0"/>
        <v>121</v>
      </c>
      <c r="F10" s="92">
        <v>140</v>
      </c>
      <c r="G10" s="14">
        <v>0.5</v>
      </c>
      <c r="H10" s="14">
        <v>0.1</v>
      </c>
      <c r="I10" s="190">
        <v>0.3</v>
      </c>
      <c r="J10" s="190">
        <v>0.45</v>
      </c>
      <c r="K10" s="190">
        <v>0.54</v>
      </c>
      <c r="L10" s="14">
        <v>0.7</v>
      </c>
    </row>
    <row r="11" spans="1:12" x14ac:dyDescent="0.15">
      <c r="A11" s="9" t="s">
        <v>298</v>
      </c>
      <c r="B11" s="9" t="s">
        <v>1861</v>
      </c>
      <c r="C11" s="9" t="s">
        <v>1760</v>
      </c>
      <c r="D11" s="25" t="s">
        <v>1126</v>
      </c>
      <c r="E11" s="10">
        <f t="shared" si="0"/>
        <v>141</v>
      </c>
      <c r="F11" s="20">
        <v>170</v>
      </c>
      <c r="G11" s="24"/>
      <c r="H11" s="24"/>
      <c r="I11" s="195"/>
      <c r="J11" s="190"/>
      <c r="K11" s="190"/>
      <c r="L11" s="14"/>
    </row>
    <row r="12" spans="1:12" x14ac:dyDescent="0.15">
      <c r="A12" s="9" t="s">
        <v>298</v>
      </c>
      <c r="B12" s="9" t="s">
        <v>1861</v>
      </c>
      <c r="C12" s="9" t="s">
        <v>1760</v>
      </c>
      <c r="D12" s="25" t="s">
        <v>1127</v>
      </c>
      <c r="E12" s="10">
        <f t="shared" si="0"/>
        <v>171</v>
      </c>
      <c r="F12" s="20">
        <v>210</v>
      </c>
      <c r="I12" s="190"/>
      <c r="J12" s="190"/>
      <c r="K12" s="190"/>
      <c r="L12" s="14"/>
    </row>
    <row r="13" spans="1:12" x14ac:dyDescent="0.15">
      <c r="A13" s="9" t="s">
        <v>298</v>
      </c>
      <c r="B13" s="9" t="s">
        <v>1861</v>
      </c>
      <c r="C13" s="9" t="s">
        <v>1760</v>
      </c>
      <c r="D13" s="25" t="s">
        <v>867</v>
      </c>
      <c r="E13" s="10">
        <f t="shared" si="0"/>
        <v>211</v>
      </c>
      <c r="F13" s="20">
        <v>240</v>
      </c>
      <c r="I13" s="190"/>
      <c r="J13" s="190"/>
      <c r="K13" s="190"/>
      <c r="L13" s="14"/>
    </row>
    <row r="14" spans="1:12" x14ac:dyDescent="0.15">
      <c r="A14" s="9" t="s">
        <v>298</v>
      </c>
      <c r="B14" s="9" t="s">
        <v>1861</v>
      </c>
      <c r="C14" s="9" t="s">
        <v>1760</v>
      </c>
      <c r="D14" s="25" t="s">
        <v>868</v>
      </c>
      <c r="E14" s="10">
        <f t="shared" si="0"/>
        <v>241</v>
      </c>
      <c r="F14" s="20">
        <v>270</v>
      </c>
      <c r="I14" s="190"/>
      <c r="J14" s="190"/>
      <c r="K14" s="190"/>
      <c r="L14" s="14"/>
    </row>
    <row r="15" spans="1:12" x14ac:dyDescent="0.15">
      <c r="A15" s="9" t="s">
        <v>298</v>
      </c>
      <c r="B15" s="9" t="s">
        <v>1861</v>
      </c>
      <c r="C15" s="9" t="s">
        <v>1760</v>
      </c>
      <c r="D15" s="25" t="s">
        <v>869</v>
      </c>
      <c r="E15" s="10">
        <f t="shared" si="0"/>
        <v>271</v>
      </c>
      <c r="F15" s="20">
        <v>300</v>
      </c>
      <c r="I15" s="190"/>
      <c r="J15" s="190"/>
      <c r="K15" s="190"/>
      <c r="L15" s="14"/>
    </row>
    <row r="16" spans="1:12" x14ac:dyDescent="0.15">
      <c r="A16" s="9" t="s">
        <v>298</v>
      </c>
      <c r="B16" s="9" t="s">
        <v>1861</v>
      </c>
      <c r="C16" s="9" t="s">
        <v>1760</v>
      </c>
      <c r="D16" s="25" t="s">
        <v>870</v>
      </c>
      <c r="E16" s="10">
        <f t="shared" si="0"/>
        <v>301</v>
      </c>
      <c r="F16" s="20">
        <v>330</v>
      </c>
      <c r="I16" s="190"/>
      <c r="J16" s="190"/>
      <c r="K16" s="190"/>
      <c r="L16" s="14"/>
    </row>
    <row r="17" spans="1:12" x14ac:dyDescent="0.15">
      <c r="A17" s="9" t="s">
        <v>298</v>
      </c>
      <c r="B17" s="9" t="s">
        <v>1861</v>
      </c>
      <c r="C17" s="9" t="s">
        <v>1760</v>
      </c>
      <c r="D17" s="25" t="s">
        <v>1128</v>
      </c>
      <c r="E17" s="10">
        <f t="shared" si="0"/>
        <v>331</v>
      </c>
      <c r="F17" s="20">
        <v>380</v>
      </c>
      <c r="I17" s="190"/>
      <c r="J17" s="190"/>
      <c r="K17" s="190"/>
      <c r="L17" s="14"/>
    </row>
    <row r="18" spans="1:12" s="32" customFormat="1" x14ac:dyDescent="0.15">
      <c r="A18" s="32" t="s">
        <v>298</v>
      </c>
      <c r="B18" s="32" t="s">
        <v>1850</v>
      </c>
      <c r="C18" s="32" t="s">
        <v>1760</v>
      </c>
      <c r="D18" s="77" t="s">
        <v>512</v>
      </c>
      <c r="E18" s="11">
        <f t="shared" si="0"/>
        <v>381</v>
      </c>
      <c r="F18" s="19">
        <v>400</v>
      </c>
      <c r="G18" s="14">
        <v>1.2</v>
      </c>
      <c r="H18" s="14">
        <v>0.2</v>
      </c>
      <c r="I18" s="190">
        <v>1</v>
      </c>
      <c r="J18" s="190">
        <v>0.95</v>
      </c>
      <c r="K18" s="190">
        <v>0.53</v>
      </c>
      <c r="L18" s="14">
        <v>0.75</v>
      </c>
    </row>
    <row r="19" spans="1:12" x14ac:dyDescent="0.15">
      <c r="A19" s="9" t="s">
        <v>298</v>
      </c>
      <c r="B19" s="9" t="s">
        <v>1850</v>
      </c>
      <c r="C19" s="9" t="s">
        <v>1760</v>
      </c>
      <c r="D19" s="25" t="s">
        <v>601</v>
      </c>
      <c r="E19" s="10">
        <f t="shared" si="0"/>
        <v>401</v>
      </c>
      <c r="F19" s="20">
        <v>430</v>
      </c>
      <c r="G19" s="24"/>
      <c r="H19" s="24"/>
      <c r="I19" s="195"/>
      <c r="J19" s="190"/>
      <c r="K19" s="190"/>
      <c r="L19" s="14"/>
    </row>
    <row r="20" spans="1:12" x14ac:dyDescent="0.15">
      <c r="A20" s="9" t="s">
        <v>298</v>
      </c>
      <c r="B20" s="9" t="s">
        <v>1850</v>
      </c>
      <c r="C20" s="9" t="s">
        <v>1760</v>
      </c>
      <c r="D20" s="25" t="s">
        <v>602</v>
      </c>
      <c r="E20" s="10">
        <f t="shared" si="0"/>
        <v>431</v>
      </c>
      <c r="F20" s="20">
        <v>460</v>
      </c>
      <c r="I20" s="190"/>
      <c r="J20" s="190"/>
      <c r="K20" s="190"/>
      <c r="L20" s="14"/>
    </row>
    <row r="21" spans="1:12" x14ac:dyDescent="0.15">
      <c r="A21" s="9" t="s">
        <v>298</v>
      </c>
      <c r="B21" s="9" t="s">
        <v>1850</v>
      </c>
      <c r="C21" s="9" t="s">
        <v>1760</v>
      </c>
      <c r="D21" s="25" t="s">
        <v>603</v>
      </c>
      <c r="E21" s="10">
        <f t="shared" si="0"/>
        <v>461</v>
      </c>
      <c r="F21" s="20">
        <v>490</v>
      </c>
      <c r="I21" s="190"/>
      <c r="J21" s="190"/>
      <c r="K21" s="190"/>
      <c r="L21" s="14"/>
    </row>
    <row r="22" spans="1:12" x14ac:dyDescent="0.15">
      <c r="A22" s="9" t="s">
        <v>298</v>
      </c>
      <c r="B22" s="9" t="s">
        <v>1850</v>
      </c>
      <c r="C22" s="9" t="s">
        <v>1760</v>
      </c>
      <c r="D22" s="194" t="s">
        <v>1129</v>
      </c>
      <c r="E22" s="10">
        <f t="shared" si="0"/>
        <v>491</v>
      </c>
      <c r="F22" s="37">
        <v>550</v>
      </c>
      <c r="I22" s="190"/>
      <c r="J22" s="190"/>
      <c r="K22" s="190"/>
      <c r="L22" s="14"/>
    </row>
    <row r="23" spans="1:12" s="32" customFormat="1" x14ac:dyDescent="0.15">
      <c r="A23" s="32" t="s">
        <v>298</v>
      </c>
      <c r="B23" s="32" t="s">
        <v>1858</v>
      </c>
      <c r="C23" s="32" t="s">
        <v>1761</v>
      </c>
      <c r="D23" s="77" t="s">
        <v>1130</v>
      </c>
      <c r="E23" s="11">
        <f t="shared" si="0"/>
        <v>551</v>
      </c>
      <c r="F23" s="19">
        <v>580</v>
      </c>
      <c r="G23" s="14">
        <v>1</v>
      </c>
      <c r="H23" s="14">
        <v>0.15</v>
      </c>
      <c r="I23" s="190">
        <v>0.8</v>
      </c>
      <c r="J23" s="190">
        <v>1.05</v>
      </c>
      <c r="K23" s="190">
        <v>0.52</v>
      </c>
      <c r="L23" s="14">
        <v>0.8</v>
      </c>
    </row>
    <row r="24" spans="1:12" x14ac:dyDescent="0.15">
      <c r="A24" s="9" t="s">
        <v>298</v>
      </c>
      <c r="B24" s="9" t="s">
        <v>1858</v>
      </c>
      <c r="C24" s="9" t="s">
        <v>1761</v>
      </c>
      <c r="D24" s="25" t="s">
        <v>1131</v>
      </c>
      <c r="E24" s="10">
        <f t="shared" si="0"/>
        <v>581</v>
      </c>
      <c r="F24" s="20">
        <v>610</v>
      </c>
      <c r="G24" s="24"/>
      <c r="H24" s="24"/>
      <c r="I24" s="195"/>
      <c r="J24" s="190"/>
      <c r="K24" s="190"/>
      <c r="L24" s="14"/>
    </row>
    <row r="25" spans="1:12" x14ac:dyDescent="0.15">
      <c r="A25" s="9" t="s">
        <v>298</v>
      </c>
      <c r="B25" s="9" t="s">
        <v>1858</v>
      </c>
      <c r="C25" s="9" t="s">
        <v>1761</v>
      </c>
      <c r="D25" s="25" t="s">
        <v>1132</v>
      </c>
      <c r="E25" s="10">
        <f t="shared" si="0"/>
        <v>611</v>
      </c>
      <c r="F25" s="20">
        <v>620</v>
      </c>
      <c r="I25" s="190"/>
      <c r="J25" s="190"/>
      <c r="K25" s="190"/>
      <c r="L25" s="14"/>
    </row>
    <row r="26" spans="1:12" x14ac:dyDescent="0.15">
      <c r="A26" s="9" t="s">
        <v>298</v>
      </c>
      <c r="B26" s="9" t="s">
        <v>1858</v>
      </c>
      <c r="C26" s="9" t="s">
        <v>1761</v>
      </c>
      <c r="D26" s="25" t="s">
        <v>1133</v>
      </c>
      <c r="E26" s="10">
        <f t="shared" si="0"/>
        <v>621</v>
      </c>
      <c r="F26" s="20">
        <v>640</v>
      </c>
      <c r="I26" s="190"/>
      <c r="J26" s="190"/>
      <c r="K26" s="190"/>
      <c r="L26" s="14"/>
    </row>
    <row r="27" spans="1:12" x14ac:dyDescent="0.15">
      <c r="A27" s="9" t="s">
        <v>298</v>
      </c>
      <c r="B27" s="9" t="s">
        <v>1858</v>
      </c>
      <c r="C27" s="9" t="s">
        <v>1761</v>
      </c>
      <c r="D27" s="25" t="s">
        <v>1134</v>
      </c>
      <c r="E27" s="10">
        <f t="shared" si="0"/>
        <v>641</v>
      </c>
      <c r="F27" s="20">
        <v>660</v>
      </c>
      <c r="I27" s="190"/>
      <c r="J27" s="190"/>
      <c r="K27" s="190"/>
      <c r="L27" s="14"/>
    </row>
    <row r="28" spans="1:12" s="32" customFormat="1" x14ac:dyDescent="0.15">
      <c r="A28" s="32" t="s">
        <v>298</v>
      </c>
      <c r="B28" s="32" t="s">
        <v>1859</v>
      </c>
      <c r="C28" s="32" t="s">
        <v>1761</v>
      </c>
      <c r="D28" s="77" t="s">
        <v>1135</v>
      </c>
      <c r="E28" s="11">
        <f t="shared" si="0"/>
        <v>661</v>
      </c>
      <c r="F28" s="19">
        <v>680</v>
      </c>
      <c r="G28" s="14">
        <v>0.8</v>
      </c>
      <c r="H28" s="14">
        <v>0.12</v>
      </c>
      <c r="I28" s="190">
        <v>0.6</v>
      </c>
      <c r="J28" s="190">
        <v>1.05</v>
      </c>
      <c r="K28" s="190">
        <v>0.51</v>
      </c>
      <c r="L28" s="14">
        <v>0.85</v>
      </c>
    </row>
    <row r="29" spans="1:12" x14ac:dyDescent="0.15">
      <c r="A29" s="9" t="s">
        <v>298</v>
      </c>
      <c r="B29" s="9" t="s">
        <v>1859</v>
      </c>
      <c r="C29" s="9" t="s">
        <v>1761</v>
      </c>
      <c r="D29" s="25" t="s">
        <v>1136</v>
      </c>
      <c r="E29" s="10">
        <f t="shared" si="0"/>
        <v>681</v>
      </c>
      <c r="F29" s="20">
        <v>700</v>
      </c>
      <c r="G29" s="24"/>
      <c r="H29" s="24"/>
      <c r="I29" s="195"/>
      <c r="J29" s="190"/>
      <c r="K29" s="190"/>
      <c r="L29" s="14"/>
    </row>
    <row r="30" spans="1:12" x14ac:dyDescent="0.15">
      <c r="A30" s="9" t="s">
        <v>298</v>
      </c>
      <c r="B30" s="9" t="s">
        <v>1859</v>
      </c>
      <c r="C30" s="9" t="s">
        <v>1761</v>
      </c>
      <c r="D30" s="25" t="s">
        <v>1137</v>
      </c>
      <c r="E30" s="10">
        <f t="shared" si="0"/>
        <v>701</v>
      </c>
      <c r="F30" s="20">
        <v>730</v>
      </c>
      <c r="I30" s="190"/>
      <c r="J30" s="190"/>
      <c r="K30" s="190"/>
      <c r="L30" s="14"/>
    </row>
    <row r="31" spans="1:12" x14ac:dyDescent="0.15">
      <c r="A31" s="9" t="s">
        <v>298</v>
      </c>
      <c r="B31" s="9" t="s">
        <v>1859</v>
      </c>
      <c r="C31" s="9" t="s">
        <v>1761</v>
      </c>
      <c r="D31" s="25" t="s">
        <v>1138</v>
      </c>
      <c r="E31" s="10">
        <f t="shared" si="0"/>
        <v>731</v>
      </c>
      <c r="F31" s="20">
        <v>760</v>
      </c>
      <c r="I31" s="190"/>
      <c r="J31" s="190"/>
      <c r="K31" s="190"/>
      <c r="L31" s="14"/>
    </row>
    <row r="32" spans="1:12" x14ac:dyDescent="0.15">
      <c r="A32" s="9" t="s">
        <v>298</v>
      </c>
      <c r="B32" s="9" t="s">
        <v>1859</v>
      </c>
      <c r="C32" s="9" t="s">
        <v>1761</v>
      </c>
      <c r="D32" s="25" t="s">
        <v>521</v>
      </c>
      <c r="E32" s="10">
        <f t="shared" si="0"/>
        <v>761</v>
      </c>
      <c r="F32" s="20">
        <v>800</v>
      </c>
      <c r="I32" s="190"/>
      <c r="J32" s="190"/>
      <c r="K32" s="190"/>
      <c r="L32" s="14"/>
    </row>
    <row r="33" spans="1:12" s="32" customFormat="1" x14ac:dyDescent="0.15">
      <c r="A33" s="32" t="s">
        <v>298</v>
      </c>
      <c r="B33" s="32" t="s">
        <v>1854</v>
      </c>
      <c r="C33" s="32" t="s">
        <v>1761</v>
      </c>
      <c r="D33" s="193" t="s">
        <v>1139</v>
      </c>
      <c r="E33" s="11">
        <f t="shared" si="0"/>
        <v>801</v>
      </c>
      <c r="F33" s="19">
        <v>850</v>
      </c>
      <c r="G33" s="14">
        <v>0.6</v>
      </c>
      <c r="H33" s="14">
        <v>0.08</v>
      </c>
      <c r="I33" s="190">
        <v>0.4</v>
      </c>
      <c r="J33" s="190">
        <v>0.95</v>
      </c>
      <c r="K33" s="190">
        <v>0.5</v>
      </c>
      <c r="L33" s="14">
        <v>0.65</v>
      </c>
    </row>
    <row r="34" spans="1:12" x14ac:dyDescent="0.15">
      <c r="A34" s="9" t="s">
        <v>298</v>
      </c>
      <c r="B34" s="9" t="s">
        <v>1854</v>
      </c>
      <c r="C34" s="9" t="s">
        <v>1761</v>
      </c>
      <c r="D34" s="25" t="s">
        <v>1140</v>
      </c>
      <c r="E34" s="10">
        <f t="shared" si="0"/>
        <v>851</v>
      </c>
      <c r="F34" s="20">
        <v>900</v>
      </c>
      <c r="G34" s="24"/>
      <c r="H34" s="24"/>
      <c r="I34" s="195"/>
      <c r="J34" s="190"/>
      <c r="K34" s="190"/>
      <c r="L34" s="14"/>
    </row>
    <row r="35" spans="1:12" x14ac:dyDescent="0.15">
      <c r="A35" s="9" t="s">
        <v>298</v>
      </c>
      <c r="B35" s="9" t="s">
        <v>1854</v>
      </c>
      <c r="C35" s="9" t="s">
        <v>1761</v>
      </c>
      <c r="D35" s="25" t="s">
        <v>1141</v>
      </c>
      <c r="E35" s="10">
        <f t="shared" si="0"/>
        <v>901</v>
      </c>
      <c r="F35" s="20">
        <v>950</v>
      </c>
      <c r="I35" s="190"/>
      <c r="J35" s="190"/>
      <c r="K35" s="190"/>
      <c r="L35" s="14"/>
    </row>
    <row r="36" spans="1:12" x14ac:dyDescent="0.15">
      <c r="A36" s="9" t="s">
        <v>298</v>
      </c>
      <c r="B36" s="9" t="s">
        <v>1854</v>
      </c>
      <c r="C36" s="9" t="s">
        <v>1761</v>
      </c>
      <c r="D36" s="25" t="s">
        <v>1142</v>
      </c>
      <c r="E36" s="10">
        <f t="shared" si="0"/>
        <v>951</v>
      </c>
      <c r="F36" s="20">
        <v>1000</v>
      </c>
      <c r="I36" s="190"/>
      <c r="J36" s="190"/>
      <c r="K36" s="190"/>
      <c r="L36" s="14"/>
    </row>
    <row r="37" spans="1:12" s="32" customFormat="1" x14ac:dyDescent="0.15">
      <c r="A37" s="32" t="s">
        <v>298</v>
      </c>
      <c r="B37" s="32" t="s">
        <v>1762</v>
      </c>
      <c r="C37" s="32" t="s">
        <v>1762</v>
      </c>
      <c r="D37" s="77" t="s">
        <v>1143</v>
      </c>
      <c r="E37" s="11">
        <f t="shared" si="0"/>
        <v>1001</v>
      </c>
      <c r="F37" s="19">
        <v>1050</v>
      </c>
      <c r="G37" s="14">
        <v>0.3</v>
      </c>
      <c r="H37" s="14">
        <v>0.5</v>
      </c>
      <c r="I37" s="190">
        <v>0.2</v>
      </c>
      <c r="J37" s="190">
        <v>0.85</v>
      </c>
      <c r="K37" s="190">
        <v>0.48</v>
      </c>
      <c r="L37" s="14">
        <v>0.35</v>
      </c>
    </row>
    <row r="38" spans="1:12" x14ac:dyDescent="0.15">
      <c r="A38" s="9" t="s">
        <v>298</v>
      </c>
      <c r="B38" s="9" t="s">
        <v>1762</v>
      </c>
      <c r="C38" s="9" t="s">
        <v>1762</v>
      </c>
      <c r="D38" s="25" t="s">
        <v>1144</v>
      </c>
      <c r="E38" s="10">
        <f t="shared" si="0"/>
        <v>1051</v>
      </c>
      <c r="F38" s="20">
        <v>1100</v>
      </c>
      <c r="G38" s="24"/>
      <c r="H38" s="24"/>
      <c r="I38" s="195"/>
      <c r="J38" s="190"/>
      <c r="K38" s="190"/>
      <c r="L38" s="14"/>
    </row>
    <row r="39" spans="1:12" x14ac:dyDescent="0.15">
      <c r="A39" s="9" t="s">
        <v>298</v>
      </c>
      <c r="B39" s="9" t="s">
        <v>1762</v>
      </c>
      <c r="C39" s="9" t="s">
        <v>1762</v>
      </c>
      <c r="D39" s="25" t="s">
        <v>1145</v>
      </c>
      <c r="E39" s="10">
        <f t="shared" si="0"/>
        <v>1101</v>
      </c>
      <c r="F39" s="20">
        <v>1150</v>
      </c>
      <c r="I39" s="190"/>
      <c r="J39" s="190"/>
      <c r="K39" s="190"/>
      <c r="L39" s="14"/>
    </row>
    <row r="40" spans="1:12" x14ac:dyDescent="0.15">
      <c r="A40" s="9" t="s">
        <v>298</v>
      </c>
      <c r="B40" s="9" t="s">
        <v>1762</v>
      </c>
      <c r="C40" s="9" t="s">
        <v>1762</v>
      </c>
      <c r="D40" s="25" t="s">
        <v>1146</v>
      </c>
      <c r="E40" s="10">
        <f t="shared" si="0"/>
        <v>1151</v>
      </c>
      <c r="F40" s="20">
        <v>1200</v>
      </c>
      <c r="I40" s="190"/>
      <c r="J40" s="190"/>
      <c r="K40" s="190"/>
      <c r="L40" s="14"/>
    </row>
    <row r="41" spans="1:12" x14ac:dyDescent="0.15">
      <c r="A41" s="9" t="s">
        <v>298</v>
      </c>
      <c r="B41" s="9" t="s">
        <v>1762</v>
      </c>
      <c r="C41" s="9" t="s">
        <v>1762</v>
      </c>
      <c r="D41" s="25" t="s">
        <v>1147</v>
      </c>
      <c r="E41" s="10">
        <f t="shared" si="0"/>
        <v>1201</v>
      </c>
      <c r="F41" s="20">
        <v>1250</v>
      </c>
      <c r="I41" s="190"/>
      <c r="J41" s="190"/>
      <c r="K41" s="190"/>
      <c r="L41" s="14"/>
    </row>
    <row r="42" spans="1:12" x14ac:dyDescent="0.15">
      <c r="A42" s="9" t="s">
        <v>298</v>
      </c>
      <c r="B42" s="9" t="s">
        <v>1762</v>
      </c>
      <c r="C42" s="9" t="s">
        <v>1762</v>
      </c>
      <c r="D42" s="25" t="s">
        <v>1044</v>
      </c>
      <c r="E42" s="10">
        <f t="shared" si="0"/>
        <v>1251</v>
      </c>
      <c r="F42" s="20">
        <v>1350</v>
      </c>
      <c r="I42" s="190"/>
      <c r="J42" s="190"/>
      <c r="K42" s="190"/>
      <c r="L42" s="14"/>
    </row>
    <row r="43" spans="1:12" x14ac:dyDescent="0.15">
      <c r="A43" s="32" t="s">
        <v>298</v>
      </c>
      <c r="B43" s="32" t="s">
        <v>1855</v>
      </c>
      <c r="C43" s="32" t="s">
        <v>1855</v>
      </c>
      <c r="D43" s="77" t="s">
        <v>1148</v>
      </c>
      <c r="E43" s="11">
        <f t="shared" si="0"/>
        <v>1351</v>
      </c>
      <c r="F43" s="19">
        <v>1400</v>
      </c>
      <c r="G43" s="14">
        <v>0.05</v>
      </c>
      <c r="H43" s="14">
        <v>5.0000000000000001E-3</v>
      </c>
      <c r="I43" s="190">
        <v>0.05</v>
      </c>
      <c r="J43" s="190">
        <v>0.3</v>
      </c>
      <c r="K43" s="190">
        <v>0.45</v>
      </c>
      <c r="L43" s="14">
        <v>0.15</v>
      </c>
    </row>
    <row r="44" spans="1:12" x14ac:dyDescent="0.15">
      <c r="A44" s="9" t="s">
        <v>298</v>
      </c>
      <c r="B44" s="9" t="s">
        <v>1855</v>
      </c>
      <c r="C44" s="9" t="s">
        <v>1855</v>
      </c>
      <c r="D44" s="25" t="s">
        <v>636</v>
      </c>
      <c r="E44" s="10">
        <f t="shared" si="0"/>
        <v>1401</v>
      </c>
      <c r="F44" s="20">
        <v>1500</v>
      </c>
      <c r="I44" s="190"/>
      <c r="J44" s="190"/>
      <c r="K44" s="190"/>
      <c r="L44" s="14"/>
    </row>
    <row r="45" spans="1:12" x14ac:dyDescent="0.15">
      <c r="A45" s="9" t="s">
        <v>298</v>
      </c>
      <c r="B45" s="9" t="s">
        <v>1855</v>
      </c>
      <c r="C45" s="9" t="s">
        <v>1855</v>
      </c>
      <c r="D45" s="25" t="s">
        <v>1149</v>
      </c>
      <c r="E45" s="10">
        <f t="shared" si="0"/>
        <v>1501</v>
      </c>
      <c r="F45" s="20">
        <v>1550</v>
      </c>
      <c r="I45" s="190"/>
      <c r="J45" s="190"/>
      <c r="K45" s="190"/>
      <c r="L45" s="14"/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C42C-7995-421A-A9F3-1C65B8EFEAFD}">
  <sheetPr>
    <tabColor rgb="FFFFFF00"/>
  </sheetPr>
  <dimension ref="A1:L38"/>
  <sheetViews>
    <sheetView workbookViewId="0">
      <selection activeCell="L36" sqref="L36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175" t="s">
        <v>1802</v>
      </c>
      <c r="F1" s="81" t="s">
        <v>1803</v>
      </c>
      <c r="G1" s="104" t="s">
        <v>584</v>
      </c>
      <c r="H1" s="82" t="s">
        <v>585</v>
      </c>
      <c r="I1" s="82" t="s">
        <v>586</v>
      </c>
      <c r="J1" s="104" t="s">
        <v>587</v>
      </c>
      <c r="K1" s="104" t="s">
        <v>588</v>
      </c>
      <c r="L1" s="84" t="s">
        <v>2348</v>
      </c>
    </row>
    <row r="2" spans="1:12" x14ac:dyDescent="0.15">
      <c r="A2" s="100" t="s">
        <v>305</v>
      </c>
      <c r="B2" s="100" t="s">
        <v>1759</v>
      </c>
      <c r="C2" s="100" t="s">
        <v>1759</v>
      </c>
      <c r="D2" s="177" t="s">
        <v>373</v>
      </c>
      <c r="E2" s="216">
        <v>0</v>
      </c>
      <c r="F2" s="217">
        <v>10</v>
      </c>
      <c r="G2" s="101">
        <v>0.02</v>
      </c>
      <c r="H2" s="101">
        <v>5.0000000000000001E-3</v>
      </c>
      <c r="I2" s="186">
        <v>0.02</v>
      </c>
      <c r="J2" s="186">
        <v>0.3</v>
      </c>
      <c r="K2" s="190">
        <v>0.45</v>
      </c>
      <c r="L2" s="14">
        <v>0.92</v>
      </c>
    </row>
    <row r="3" spans="1:12" x14ac:dyDescent="0.15">
      <c r="A3" s="98" t="s">
        <v>305</v>
      </c>
      <c r="B3" s="98" t="s">
        <v>1759</v>
      </c>
      <c r="C3" s="98" t="s">
        <v>1759</v>
      </c>
      <c r="D3" s="179" t="s">
        <v>374</v>
      </c>
      <c r="E3" s="12">
        <f>F2+1</f>
        <v>11</v>
      </c>
      <c r="F3" s="184">
        <v>30</v>
      </c>
      <c r="G3" s="102"/>
      <c r="H3" s="102"/>
      <c r="I3" s="187"/>
      <c r="J3" s="186"/>
      <c r="K3" s="190"/>
      <c r="L3" s="14"/>
    </row>
    <row r="4" spans="1:12" x14ac:dyDescent="0.15">
      <c r="A4" s="98" t="s">
        <v>305</v>
      </c>
      <c r="B4" s="98" t="s">
        <v>1759</v>
      </c>
      <c r="C4" s="98" t="s">
        <v>1759</v>
      </c>
      <c r="D4" s="179" t="s">
        <v>375</v>
      </c>
      <c r="E4" s="12">
        <f t="shared" ref="E4:E38" si="0">F3+1</f>
        <v>31</v>
      </c>
      <c r="F4" s="184">
        <v>55</v>
      </c>
      <c r="G4" s="101"/>
      <c r="H4" s="101"/>
      <c r="I4" s="186"/>
      <c r="J4" s="186"/>
      <c r="K4" s="190"/>
      <c r="L4" s="14"/>
    </row>
    <row r="5" spans="1:12" x14ac:dyDescent="0.15">
      <c r="A5" s="98" t="s">
        <v>305</v>
      </c>
      <c r="B5" s="98" t="s">
        <v>1759</v>
      </c>
      <c r="C5" s="98" t="s">
        <v>1759</v>
      </c>
      <c r="D5" s="179" t="s">
        <v>414</v>
      </c>
      <c r="E5" s="12">
        <f t="shared" si="0"/>
        <v>56</v>
      </c>
      <c r="F5" s="184">
        <v>85</v>
      </c>
      <c r="G5" s="101"/>
      <c r="H5" s="101"/>
      <c r="I5" s="186"/>
      <c r="J5" s="186"/>
      <c r="K5" s="190"/>
      <c r="L5" s="14"/>
    </row>
    <row r="6" spans="1:12" x14ac:dyDescent="0.15">
      <c r="A6" s="98" t="s">
        <v>305</v>
      </c>
      <c r="B6" s="98" t="s">
        <v>1759</v>
      </c>
      <c r="C6" s="98" t="s">
        <v>1759</v>
      </c>
      <c r="D6" s="179" t="s">
        <v>377</v>
      </c>
      <c r="E6" s="12">
        <f t="shared" si="0"/>
        <v>86</v>
      </c>
      <c r="F6" s="184">
        <v>105</v>
      </c>
      <c r="G6" s="101"/>
      <c r="H6" s="101"/>
      <c r="I6" s="186"/>
      <c r="J6" s="186"/>
      <c r="K6" s="190"/>
      <c r="L6" s="14"/>
    </row>
    <row r="7" spans="1:12" x14ac:dyDescent="0.15">
      <c r="A7" s="98" t="s">
        <v>305</v>
      </c>
      <c r="B7" s="98" t="s">
        <v>1759</v>
      </c>
      <c r="C7" s="98" t="s">
        <v>1759</v>
      </c>
      <c r="D7" s="179" t="s">
        <v>457</v>
      </c>
      <c r="E7" s="12">
        <f t="shared" si="0"/>
        <v>106</v>
      </c>
      <c r="F7" s="184">
        <v>120</v>
      </c>
      <c r="G7" s="101"/>
      <c r="H7" s="101"/>
      <c r="I7" s="186"/>
      <c r="J7" s="186"/>
      <c r="K7" s="190"/>
      <c r="L7" s="14"/>
    </row>
    <row r="8" spans="1:12" x14ac:dyDescent="0.15">
      <c r="A8" s="100" t="s">
        <v>305</v>
      </c>
      <c r="B8" s="100" t="s">
        <v>1861</v>
      </c>
      <c r="C8" s="100" t="s">
        <v>1760</v>
      </c>
      <c r="D8" s="177" t="s">
        <v>380</v>
      </c>
      <c r="E8" s="216">
        <f t="shared" si="0"/>
        <v>121</v>
      </c>
      <c r="F8" s="217">
        <v>150</v>
      </c>
      <c r="G8" s="101">
        <v>0.3</v>
      </c>
      <c r="H8" s="101">
        <v>0.05</v>
      </c>
      <c r="I8" s="186">
        <v>0.4</v>
      </c>
      <c r="J8" s="186">
        <v>0.45</v>
      </c>
      <c r="K8" s="190">
        <v>0.6</v>
      </c>
      <c r="L8" s="14">
        <v>0.78</v>
      </c>
    </row>
    <row r="9" spans="1:12" x14ac:dyDescent="0.15">
      <c r="A9" s="98" t="s">
        <v>305</v>
      </c>
      <c r="B9" s="98" t="s">
        <v>1861</v>
      </c>
      <c r="C9" s="98" t="s">
        <v>1760</v>
      </c>
      <c r="D9" s="179" t="s">
        <v>484</v>
      </c>
      <c r="E9" s="12">
        <f t="shared" si="0"/>
        <v>151</v>
      </c>
      <c r="F9" s="184">
        <v>185</v>
      </c>
      <c r="G9" s="102"/>
      <c r="H9" s="102"/>
      <c r="I9" s="187"/>
      <c r="J9" s="186"/>
      <c r="K9" s="190"/>
      <c r="L9" s="14"/>
    </row>
    <row r="10" spans="1:12" x14ac:dyDescent="0.15">
      <c r="A10" s="98" t="s">
        <v>305</v>
      </c>
      <c r="B10" s="98" t="s">
        <v>1861</v>
      </c>
      <c r="C10" s="98" t="s">
        <v>1760</v>
      </c>
      <c r="D10" s="179" t="s">
        <v>485</v>
      </c>
      <c r="E10" s="12">
        <f t="shared" si="0"/>
        <v>186</v>
      </c>
      <c r="F10" s="184">
        <v>220</v>
      </c>
      <c r="G10" s="101"/>
      <c r="H10" s="101"/>
      <c r="I10" s="186"/>
      <c r="J10" s="186"/>
      <c r="K10" s="190"/>
      <c r="L10" s="14"/>
    </row>
    <row r="11" spans="1:12" x14ac:dyDescent="0.15">
      <c r="A11" s="98" t="s">
        <v>305</v>
      </c>
      <c r="B11" s="98" t="s">
        <v>1861</v>
      </c>
      <c r="C11" s="98" t="s">
        <v>1760</v>
      </c>
      <c r="D11" s="179" t="s">
        <v>486</v>
      </c>
      <c r="E11" s="12">
        <f t="shared" si="0"/>
        <v>221</v>
      </c>
      <c r="F11" s="184">
        <v>255</v>
      </c>
      <c r="G11" s="101"/>
      <c r="H11" s="101"/>
      <c r="I11" s="186"/>
      <c r="J11" s="186"/>
      <c r="K11" s="190"/>
      <c r="L11" s="14"/>
    </row>
    <row r="12" spans="1:12" x14ac:dyDescent="0.15">
      <c r="A12" s="98" t="s">
        <v>305</v>
      </c>
      <c r="B12" s="98" t="s">
        <v>1861</v>
      </c>
      <c r="C12" s="98" t="s">
        <v>1760</v>
      </c>
      <c r="D12" s="179" t="s">
        <v>487</v>
      </c>
      <c r="E12" s="12">
        <f t="shared" si="0"/>
        <v>256</v>
      </c>
      <c r="F12" s="184">
        <v>290</v>
      </c>
      <c r="G12" s="101"/>
      <c r="H12" s="101"/>
      <c r="I12" s="186"/>
      <c r="J12" s="186"/>
      <c r="K12" s="190"/>
      <c r="L12" s="14"/>
    </row>
    <row r="13" spans="1:12" x14ac:dyDescent="0.15">
      <c r="A13" s="100" t="s">
        <v>305</v>
      </c>
      <c r="B13" s="100" t="s">
        <v>1857</v>
      </c>
      <c r="C13" s="100" t="s">
        <v>1760</v>
      </c>
      <c r="D13" s="177" t="s">
        <v>488</v>
      </c>
      <c r="E13" s="216">
        <f t="shared" si="0"/>
        <v>291</v>
      </c>
      <c r="F13" s="217">
        <v>325</v>
      </c>
      <c r="G13" s="101">
        <v>0.6</v>
      </c>
      <c r="H13" s="101">
        <v>0.1</v>
      </c>
      <c r="I13" s="186">
        <v>0.8</v>
      </c>
      <c r="J13" s="186">
        <v>0.7</v>
      </c>
      <c r="K13" s="190">
        <v>0.6</v>
      </c>
      <c r="L13" s="14">
        <v>0.78</v>
      </c>
    </row>
    <row r="14" spans="1:12" x14ac:dyDescent="0.15">
      <c r="A14" s="98" t="s">
        <v>305</v>
      </c>
      <c r="B14" s="98" t="s">
        <v>1857</v>
      </c>
      <c r="C14" s="98" t="s">
        <v>1760</v>
      </c>
      <c r="D14" s="179" t="s">
        <v>489</v>
      </c>
      <c r="E14" s="12">
        <f t="shared" si="0"/>
        <v>326</v>
      </c>
      <c r="F14" s="184">
        <v>355</v>
      </c>
      <c r="G14" s="102"/>
      <c r="H14" s="102"/>
      <c r="I14" s="187"/>
      <c r="J14" s="186"/>
      <c r="K14" s="190"/>
      <c r="L14" s="14"/>
    </row>
    <row r="15" spans="1:12" x14ac:dyDescent="0.15">
      <c r="A15" s="98" t="s">
        <v>305</v>
      </c>
      <c r="B15" s="98" t="s">
        <v>1857</v>
      </c>
      <c r="C15" s="98" t="s">
        <v>1760</v>
      </c>
      <c r="D15" s="179" t="s">
        <v>638</v>
      </c>
      <c r="E15" s="12">
        <f t="shared" si="0"/>
        <v>356</v>
      </c>
      <c r="F15" s="184">
        <v>380</v>
      </c>
      <c r="G15" s="101"/>
      <c r="H15" s="101"/>
      <c r="I15" s="186"/>
      <c r="J15" s="186"/>
      <c r="K15" s="190"/>
      <c r="L15" s="14"/>
    </row>
    <row r="16" spans="1:12" x14ac:dyDescent="0.15">
      <c r="A16" s="100" t="s">
        <v>305</v>
      </c>
      <c r="B16" s="100" t="s">
        <v>1858</v>
      </c>
      <c r="C16" s="100" t="s">
        <v>1761</v>
      </c>
      <c r="D16" s="177" t="s">
        <v>491</v>
      </c>
      <c r="E16" s="216">
        <f t="shared" si="0"/>
        <v>381</v>
      </c>
      <c r="F16" s="217">
        <v>410</v>
      </c>
      <c r="G16" s="101">
        <v>1</v>
      </c>
      <c r="H16" s="101">
        <v>0.2</v>
      </c>
      <c r="I16" s="186">
        <v>1</v>
      </c>
      <c r="J16" s="186">
        <v>0.95</v>
      </c>
      <c r="K16" s="190">
        <v>0.62</v>
      </c>
      <c r="L16" s="14">
        <v>0.82</v>
      </c>
    </row>
    <row r="17" spans="1:12" x14ac:dyDescent="0.15">
      <c r="A17" s="98" t="s">
        <v>305</v>
      </c>
      <c r="B17" s="98" t="s">
        <v>1858</v>
      </c>
      <c r="C17" s="98" t="s">
        <v>1761</v>
      </c>
      <c r="D17" s="179" t="s">
        <v>492</v>
      </c>
      <c r="E17" s="12">
        <f t="shared" si="0"/>
        <v>411</v>
      </c>
      <c r="F17" s="184">
        <v>435</v>
      </c>
      <c r="G17" s="102"/>
      <c r="H17" s="102"/>
      <c r="I17" s="187"/>
      <c r="J17" s="186"/>
      <c r="K17" s="190"/>
      <c r="L17" s="14"/>
    </row>
    <row r="18" spans="1:12" x14ac:dyDescent="0.15">
      <c r="A18" s="98" t="s">
        <v>305</v>
      </c>
      <c r="B18" s="98" t="s">
        <v>1858</v>
      </c>
      <c r="C18" s="98" t="s">
        <v>1761</v>
      </c>
      <c r="D18" s="179" t="s">
        <v>493</v>
      </c>
      <c r="E18" s="12">
        <f t="shared" si="0"/>
        <v>436</v>
      </c>
      <c r="F18" s="184">
        <v>455</v>
      </c>
      <c r="G18" s="101"/>
      <c r="H18" s="101"/>
      <c r="I18" s="186"/>
      <c r="J18" s="186"/>
      <c r="K18" s="190"/>
      <c r="L18" s="14"/>
    </row>
    <row r="19" spans="1:12" x14ac:dyDescent="0.15">
      <c r="A19" s="98" t="s">
        <v>305</v>
      </c>
      <c r="B19" s="98" t="s">
        <v>1858</v>
      </c>
      <c r="C19" s="98" t="s">
        <v>1761</v>
      </c>
      <c r="D19" s="179" t="s">
        <v>494</v>
      </c>
      <c r="E19" s="12">
        <f t="shared" si="0"/>
        <v>456</v>
      </c>
      <c r="F19" s="184">
        <v>460</v>
      </c>
      <c r="G19" s="101"/>
      <c r="H19" s="101"/>
      <c r="I19" s="186"/>
      <c r="J19" s="186"/>
      <c r="K19" s="190"/>
      <c r="L19" s="14"/>
    </row>
    <row r="20" spans="1:12" x14ac:dyDescent="0.15">
      <c r="A20" s="100" t="s">
        <v>305</v>
      </c>
      <c r="B20" s="100" t="s">
        <v>1859</v>
      </c>
      <c r="C20" s="100" t="s">
        <v>1761</v>
      </c>
      <c r="D20" s="177" t="s">
        <v>495</v>
      </c>
      <c r="E20" s="216">
        <f t="shared" si="0"/>
        <v>461</v>
      </c>
      <c r="F20" s="217">
        <v>500</v>
      </c>
      <c r="G20" s="101">
        <v>1.2</v>
      </c>
      <c r="H20" s="101">
        <v>0.15</v>
      </c>
      <c r="I20" s="186">
        <v>1.2</v>
      </c>
      <c r="J20" s="186">
        <v>1.05</v>
      </c>
      <c r="K20" s="190">
        <v>0.62</v>
      </c>
      <c r="L20" s="14">
        <v>0.88</v>
      </c>
    </row>
    <row r="21" spans="1:12" x14ac:dyDescent="0.15">
      <c r="A21" s="98" t="s">
        <v>305</v>
      </c>
      <c r="B21" s="98" t="s">
        <v>1859</v>
      </c>
      <c r="C21" s="98" t="s">
        <v>1761</v>
      </c>
      <c r="D21" s="179" t="s">
        <v>496</v>
      </c>
      <c r="E21" s="12">
        <f t="shared" si="0"/>
        <v>501</v>
      </c>
      <c r="F21" s="184">
        <v>530</v>
      </c>
      <c r="G21" s="102"/>
      <c r="H21" s="102"/>
      <c r="I21" s="187"/>
      <c r="J21" s="186"/>
      <c r="K21" s="190"/>
      <c r="L21" s="14"/>
    </row>
    <row r="22" spans="1:12" x14ac:dyDescent="0.15">
      <c r="A22" s="98" t="s">
        <v>305</v>
      </c>
      <c r="B22" s="98" t="s">
        <v>1859</v>
      </c>
      <c r="C22" s="98" t="s">
        <v>1761</v>
      </c>
      <c r="D22" s="179" t="s">
        <v>497</v>
      </c>
      <c r="E22" s="12">
        <f t="shared" si="0"/>
        <v>531</v>
      </c>
      <c r="F22" s="184">
        <v>545</v>
      </c>
      <c r="G22" s="101"/>
      <c r="H22" s="101"/>
      <c r="I22" s="186"/>
      <c r="J22" s="186"/>
      <c r="K22" s="190"/>
      <c r="L22" s="14"/>
    </row>
    <row r="23" spans="1:12" x14ac:dyDescent="0.15">
      <c r="A23" s="98" t="s">
        <v>305</v>
      </c>
      <c r="B23" s="98" t="s">
        <v>1859</v>
      </c>
      <c r="C23" s="98" t="s">
        <v>1761</v>
      </c>
      <c r="D23" s="179" t="s">
        <v>639</v>
      </c>
      <c r="E23" s="12">
        <f t="shared" si="0"/>
        <v>546</v>
      </c>
      <c r="F23" s="184">
        <v>560</v>
      </c>
      <c r="G23" s="101"/>
      <c r="H23" s="101"/>
      <c r="I23" s="186"/>
      <c r="J23" s="186"/>
      <c r="K23" s="190"/>
      <c r="L23" s="14"/>
    </row>
    <row r="24" spans="1:12" x14ac:dyDescent="0.15">
      <c r="A24" s="100" t="s">
        <v>305</v>
      </c>
      <c r="B24" s="100" t="s">
        <v>1854</v>
      </c>
      <c r="C24" s="100" t="s">
        <v>1761</v>
      </c>
      <c r="D24" s="177" t="s">
        <v>499</v>
      </c>
      <c r="E24" s="216">
        <f t="shared" si="0"/>
        <v>561</v>
      </c>
      <c r="F24" s="217">
        <v>640</v>
      </c>
      <c r="G24" s="101">
        <v>1.5</v>
      </c>
      <c r="H24" s="101">
        <v>0.1</v>
      </c>
      <c r="I24" s="186">
        <v>1.5</v>
      </c>
      <c r="J24" s="186">
        <v>1.1000000000000001</v>
      </c>
      <c r="K24" s="190">
        <v>0.6</v>
      </c>
      <c r="L24" s="14">
        <v>0.65</v>
      </c>
    </row>
    <row r="25" spans="1:12" x14ac:dyDescent="0.15">
      <c r="A25" s="98" t="s">
        <v>305</v>
      </c>
      <c r="B25" s="98" t="s">
        <v>1854</v>
      </c>
      <c r="C25" s="98" t="s">
        <v>1761</v>
      </c>
      <c r="D25" s="179" t="s">
        <v>500</v>
      </c>
      <c r="E25" s="12">
        <f t="shared" si="0"/>
        <v>641</v>
      </c>
      <c r="F25" s="184">
        <v>720</v>
      </c>
      <c r="G25" s="102"/>
      <c r="H25" s="102"/>
      <c r="I25" s="187"/>
      <c r="J25" s="186"/>
      <c r="K25" s="190"/>
      <c r="L25" s="14"/>
    </row>
    <row r="26" spans="1:12" x14ac:dyDescent="0.15">
      <c r="A26" s="98" t="s">
        <v>305</v>
      </c>
      <c r="B26" s="98" t="s">
        <v>1854</v>
      </c>
      <c r="C26" s="98" t="s">
        <v>1761</v>
      </c>
      <c r="D26" s="179" t="s">
        <v>501</v>
      </c>
      <c r="E26" s="12">
        <f t="shared" si="0"/>
        <v>721</v>
      </c>
      <c r="F26" s="184">
        <v>790</v>
      </c>
      <c r="G26" s="101"/>
      <c r="H26" s="101"/>
      <c r="I26" s="186"/>
      <c r="J26" s="186"/>
      <c r="K26" s="190"/>
      <c r="L26" s="14"/>
    </row>
    <row r="27" spans="1:12" x14ac:dyDescent="0.15">
      <c r="A27" s="98" t="s">
        <v>305</v>
      </c>
      <c r="B27" s="98" t="s">
        <v>1854</v>
      </c>
      <c r="C27" s="98" t="s">
        <v>1761</v>
      </c>
      <c r="D27" s="179" t="s">
        <v>640</v>
      </c>
      <c r="E27" s="12">
        <f t="shared" si="0"/>
        <v>791</v>
      </c>
      <c r="F27" s="184">
        <v>840</v>
      </c>
      <c r="G27" s="101"/>
      <c r="H27" s="101"/>
      <c r="I27" s="186"/>
      <c r="J27" s="186"/>
      <c r="K27" s="190"/>
      <c r="L27" s="14"/>
    </row>
    <row r="28" spans="1:12" x14ac:dyDescent="0.15">
      <c r="A28" s="100" t="s">
        <v>305</v>
      </c>
      <c r="B28" s="100" t="s">
        <v>1860</v>
      </c>
      <c r="C28" s="100" t="s">
        <v>1762</v>
      </c>
      <c r="D28" s="177" t="s">
        <v>641</v>
      </c>
      <c r="E28" s="216">
        <f t="shared" si="0"/>
        <v>841</v>
      </c>
      <c r="F28" s="217">
        <v>890</v>
      </c>
      <c r="G28" s="101">
        <v>0.3</v>
      </c>
      <c r="H28" s="101">
        <v>0.05</v>
      </c>
      <c r="I28" s="186">
        <v>0.9</v>
      </c>
      <c r="J28" s="186">
        <v>0.65</v>
      </c>
      <c r="K28" s="190">
        <v>0.56999999999999995</v>
      </c>
      <c r="L28" s="14">
        <v>0.38</v>
      </c>
    </row>
    <row r="29" spans="1:12" x14ac:dyDescent="0.15">
      <c r="A29" s="98" t="s">
        <v>305</v>
      </c>
      <c r="B29" s="98" t="s">
        <v>1860</v>
      </c>
      <c r="C29" s="98" t="s">
        <v>1762</v>
      </c>
      <c r="D29" s="179" t="s">
        <v>642</v>
      </c>
      <c r="E29" s="12">
        <f t="shared" si="0"/>
        <v>891</v>
      </c>
      <c r="F29" s="184">
        <v>930</v>
      </c>
      <c r="G29" s="102"/>
      <c r="H29" s="102"/>
      <c r="I29" s="187"/>
      <c r="J29" s="186"/>
      <c r="K29" s="190"/>
      <c r="L29" s="14"/>
    </row>
    <row r="30" spans="1:12" x14ac:dyDescent="0.15">
      <c r="A30" s="98" t="s">
        <v>305</v>
      </c>
      <c r="B30" s="98" t="s">
        <v>1860</v>
      </c>
      <c r="C30" s="98" t="s">
        <v>1762</v>
      </c>
      <c r="D30" s="179" t="s">
        <v>643</v>
      </c>
      <c r="E30" s="12">
        <f t="shared" si="0"/>
        <v>931</v>
      </c>
      <c r="F30" s="184">
        <v>965</v>
      </c>
      <c r="G30" s="101"/>
      <c r="H30" s="101"/>
      <c r="I30" s="186"/>
      <c r="J30" s="186"/>
      <c r="K30" s="190"/>
      <c r="L30" s="14"/>
    </row>
    <row r="31" spans="1:12" x14ac:dyDescent="0.15">
      <c r="A31" s="98" t="s">
        <v>305</v>
      </c>
      <c r="B31" s="98" t="s">
        <v>1860</v>
      </c>
      <c r="C31" s="98" t="s">
        <v>1762</v>
      </c>
      <c r="D31" s="179" t="s">
        <v>477</v>
      </c>
      <c r="E31" s="12">
        <f t="shared" si="0"/>
        <v>966</v>
      </c>
      <c r="F31" s="184">
        <v>995</v>
      </c>
      <c r="G31" s="101"/>
      <c r="H31" s="101"/>
      <c r="I31" s="186"/>
      <c r="J31" s="186"/>
      <c r="K31" s="190"/>
      <c r="L31" s="14"/>
    </row>
    <row r="32" spans="1:12" x14ac:dyDescent="0.15">
      <c r="A32" s="98" t="s">
        <v>305</v>
      </c>
      <c r="B32" s="98" t="s">
        <v>1860</v>
      </c>
      <c r="C32" s="98" t="s">
        <v>1762</v>
      </c>
      <c r="D32" s="179" t="s">
        <v>478</v>
      </c>
      <c r="E32" s="12">
        <f t="shared" si="0"/>
        <v>996</v>
      </c>
      <c r="F32" s="184">
        <v>1015</v>
      </c>
      <c r="G32" s="101"/>
      <c r="H32" s="101"/>
      <c r="I32" s="186"/>
      <c r="J32" s="186"/>
      <c r="K32" s="190"/>
      <c r="L32" s="14"/>
    </row>
    <row r="33" spans="1:12" x14ac:dyDescent="0.15">
      <c r="A33" s="98" t="s">
        <v>305</v>
      </c>
      <c r="B33" s="98" t="s">
        <v>1860</v>
      </c>
      <c r="C33" s="98" t="s">
        <v>1762</v>
      </c>
      <c r="D33" s="179" t="s">
        <v>479</v>
      </c>
      <c r="E33" s="12">
        <f t="shared" si="0"/>
        <v>1016</v>
      </c>
      <c r="F33" s="184">
        <v>1035</v>
      </c>
      <c r="G33" s="101"/>
      <c r="H33" s="101"/>
      <c r="I33" s="186"/>
      <c r="J33" s="186"/>
      <c r="K33" s="190"/>
      <c r="L33" s="14"/>
    </row>
    <row r="34" spans="1:12" x14ac:dyDescent="0.15">
      <c r="A34" s="98" t="s">
        <v>305</v>
      </c>
      <c r="B34" s="98" t="s">
        <v>1860</v>
      </c>
      <c r="C34" s="98" t="s">
        <v>1762</v>
      </c>
      <c r="D34" s="179" t="s">
        <v>480</v>
      </c>
      <c r="E34" s="12">
        <f t="shared" si="0"/>
        <v>1036</v>
      </c>
      <c r="F34" s="184">
        <v>1050</v>
      </c>
      <c r="G34" s="101"/>
      <c r="H34" s="101"/>
      <c r="I34" s="186"/>
      <c r="J34" s="186"/>
      <c r="K34" s="190"/>
      <c r="L34" s="14"/>
    </row>
    <row r="35" spans="1:12" x14ac:dyDescent="0.15">
      <c r="A35" s="98" t="s">
        <v>305</v>
      </c>
      <c r="B35" s="98" t="s">
        <v>1860</v>
      </c>
      <c r="C35" s="98" t="s">
        <v>1762</v>
      </c>
      <c r="D35" s="179" t="s">
        <v>481</v>
      </c>
      <c r="E35" s="12">
        <f t="shared" si="0"/>
        <v>1051</v>
      </c>
      <c r="F35" s="184">
        <v>1065</v>
      </c>
      <c r="G35" s="101"/>
      <c r="H35" s="101"/>
      <c r="I35" s="186"/>
      <c r="J35" s="186"/>
      <c r="K35" s="190"/>
      <c r="L35" s="14"/>
    </row>
    <row r="36" spans="1:12" x14ac:dyDescent="0.15">
      <c r="A36" s="98" t="s">
        <v>305</v>
      </c>
      <c r="B36" s="98" t="s">
        <v>1860</v>
      </c>
      <c r="C36" s="98" t="s">
        <v>1762</v>
      </c>
      <c r="D36" s="179" t="s">
        <v>503</v>
      </c>
      <c r="E36" s="12">
        <f t="shared" si="0"/>
        <v>1066</v>
      </c>
      <c r="F36" s="184">
        <v>1080</v>
      </c>
      <c r="G36" s="101"/>
      <c r="H36" s="101"/>
      <c r="I36" s="186"/>
      <c r="J36" s="186"/>
      <c r="K36" s="190"/>
      <c r="L36" s="14"/>
    </row>
    <row r="37" spans="1:12" x14ac:dyDescent="0.15">
      <c r="A37" s="100" t="s">
        <v>305</v>
      </c>
      <c r="B37" s="100" t="s">
        <v>1855</v>
      </c>
      <c r="C37" s="100" t="s">
        <v>1855</v>
      </c>
      <c r="D37" s="177" t="s">
        <v>483</v>
      </c>
      <c r="E37" s="216">
        <f t="shared" si="0"/>
        <v>1081</v>
      </c>
      <c r="F37" s="217">
        <v>1140</v>
      </c>
      <c r="G37" s="101">
        <v>0.05</v>
      </c>
      <c r="H37" s="101">
        <v>5.0000000000000001E-3</v>
      </c>
      <c r="I37" s="186">
        <v>0.2</v>
      </c>
      <c r="J37" s="186">
        <v>0.3</v>
      </c>
      <c r="K37" s="190">
        <v>0.45</v>
      </c>
      <c r="L37" s="14">
        <v>0.15</v>
      </c>
    </row>
    <row r="38" spans="1:12" x14ac:dyDescent="0.15">
      <c r="A38" s="9" t="s">
        <v>305</v>
      </c>
      <c r="B38" s="9" t="s">
        <v>1855</v>
      </c>
      <c r="C38" s="9" t="s">
        <v>1855</v>
      </c>
      <c r="D38" s="25" t="s">
        <v>456</v>
      </c>
      <c r="E38" s="10">
        <f t="shared" si="0"/>
        <v>1141</v>
      </c>
      <c r="F38" s="20">
        <v>1200</v>
      </c>
      <c r="I38" s="190"/>
      <c r="J38" s="190"/>
      <c r="K38" s="190"/>
      <c r="L38" s="14"/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51E8-56D0-4458-9B04-BCE118EB8DB4}">
  <sheetPr>
    <tabColor rgb="FFFFFF00"/>
  </sheetPr>
  <dimension ref="A1:L39"/>
  <sheetViews>
    <sheetView workbookViewId="0">
      <selection activeCell="N34" sqref="N34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2.570312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170" t="s">
        <v>1847</v>
      </c>
      <c r="E1" s="108" t="s">
        <v>1802</v>
      </c>
      <c r="F1" s="108" t="s">
        <v>1803</v>
      </c>
      <c r="G1" s="104" t="s">
        <v>584</v>
      </c>
      <c r="H1" s="82" t="s">
        <v>585</v>
      </c>
      <c r="I1" s="83" t="s">
        <v>586</v>
      </c>
      <c r="J1" s="109" t="s">
        <v>587</v>
      </c>
      <c r="K1" s="84" t="s">
        <v>588</v>
      </c>
      <c r="L1" s="109" t="s">
        <v>2348</v>
      </c>
    </row>
    <row r="2" spans="1:12" x14ac:dyDescent="0.15">
      <c r="A2" s="32" t="s">
        <v>309</v>
      </c>
      <c r="B2" s="32" t="s">
        <v>1759</v>
      </c>
      <c r="C2" s="32" t="s">
        <v>1759</v>
      </c>
      <c r="D2" s="34" t="s">
        <v>373</v>
      </c>
      <c r="E2" s="21">
        <v>0</v>
      </c>
      <c r="F2" s="19">
        <v>12</v>
      </c>
      <c r="G2" s="14">
        <v>0.06</v>
      </c>
      <c r="H2" s="14">
        <v>0.01</v>
      </c>
      <c r="I2" s="14">
        <v>0.08</v>
      </c>
      <c r="J2" s="17">
        <v>0.28000000000000003</v>
      </c>
      <c r="K2" s="14">
        <v>0.35</v>
      </c>
      <c r="L2" s="17">
        <v>0.9</v>
      </c>
    </row>
    <row r="3" spans="1:12" x14ac:dyDescent="0.15">
      <c r="A3" s="9" t="s">
        <v>309</v>
      </c>
      <c r="B3" s="9" t="s">
        <v>1759</v>
      </c>
      <c r="C3" s="9" t="s">
        <v>1759</v>
      </c>
      <c r="D3" s="33" t="s">
        <v>374</v>
      </c>
      <c r="E3" s="30">
        <f>F2+1</f>
        <v>13</v>
      </c>
      <c r="F3" s="20">
        <v>35</v>
      </c>
      <c r="G3" s="24"/>
      <c r="H3" s="24"/>
      <c r="I3" s="24"/>
      <c r="J3" s="22"/>
      <c r="L3" s="17"/>
    </row>
    <row r="4" spans="1:12" x14ac:dyDescent="0.15">
      <c r="A4" s="9" t="s">
        <v>309</v>
      </c>
      <c r="B4" s="9" t="s">
        <v>1759</v>
      </c>
      <c r="C4" s="9" t="s">
        <v>1759</v>
      </c>
      <c r="D4" s="33" t="s">
        <v>375</v>
      </c>
      <c r="E4" s="30">
        <f t="shared" ref="E4:E39" si="0">F3+1</f>
        <v>36</v>
      </c>
      <c r="F4" s="20">
        <v>70</v>
      </c>
      <c r="J4" s="22"/>
      <c r="L4" s="17"/>
    </row>
    <row r="5" spans="1:12" x14ac:dyDescent="0.15">
      <c r="A5" s="9" t="s">
        <v>309</v>
      </c>
      <c r="B5" s="9" t="s">
        <v>1759</v>
      </c>
      <c r="C5" s="9" t="s">
        <v>1759</v>
      </c>
      <c r="D5" s="33" t="s">
        <v>414</v>
      </c>
      <c r="E5" s="30">
        <f t="shared" si="0"/>
        <v>71</v>
      </c>
      <c r="F5" s="20">
        <v>93</v>
      </c>
      <c r="J5" s="22"/>
      <c r="L5" s="17"/>
    </row>
    <row r="6" spans="1:12" x14ac:dyDescent="0.15">
      <c r="A6" s="9" t="s">
        <v>309</v>
      </c>
      <c r="B6" s="9" t="s">
        <v>1759</v>
      </c>
      <c r="C6" s="9" t="s">
        <v>1759</v>
      </c>
      <c r="D6" s="33" t="s">
        <v>377</v>
      </c>
      <c r="E6" s="30">
        <f t="shared" si="0"/>
        <v>94</v>
      </c>
      <c r="F6" s="20">
        <v>105</v>
      </c>
      <c r="J6" s="22"/>
      <c r="L6" s="17"/>
    </row>
    <row r="7" spans="1:12" x14ac:dyDescent="0.15">
      <c r="A7" s="9" t="s">
        <v>309</v>
      </c>
      <c r="B7" s="9" t="s">
        <v>1759</v>
      </c>
      <c r="C7" s="9" t="s">
        <v>1759</v>
      </c>
      <c r="D7" s="33" t="s">
        <v>457</v>
      </c>
      <c r="E7" s="30">
        <f t="shared" si="0"/>
        <v>106</v>
      </c>
      <c r="F7" s="20">
        <v>117</v>
      </c>
      <c r="J7" s="22"/>
      <c r="L7" s="17"/>
    </row>
    <row r="8" spans="1:12" x14ac:dyDescent="0.15">
      <c r="A8" s="32" t="s">
        <v>309</v>
      </c>
      <c r="B8" s="32" t="s">
        <v>1861</v>
      </c>
      <c r="C8" s="32" t="s">
        <v>1760</v>
      </c>
      <c r="D8" s="34" t="s">
        <v>380</v>
      </c>
      <c r="E8" s="21">
        <f t="shared" si="0"/>
        <v>118</v>
      </c>
      <c r="F8" s="19">
        <v>152</v>
      </c>
      <c r="G8" s="14">
        <v>0.8</v>
      </c>
      <c r="H8" s="14">
        <v>0.1</v>
      </c>
      <c r="I8" s="14">
        <v>0.9</v>
      </c>
      <c r="J8" s="17">
        <v>0.65</v>
      </c>
      <c r="K8" s="14">
        <v>0.56000000000000005</v>
      </c>
      <c r="L8" s="17">
        <v>0.75</v>
      </c>
    </row>
    <row r="9" spans="1:12" x14ac:dyDescent="0.15">
      <c r="A9" s="9" t="s">
        <v>309</v>
      </c>
      <c r="B9" s="9" t="s">
        <v>1861</v>
      </c>
      <c r="C9" s="9" t="s">
        <v>1760</v>
      </c>
      <c r="D9" s="33" t="s">
        <v>458</v>
      </c>
      <c r="E9" s="30">
        <f t="shared" si="0"/>
        <v>153</v>
      </c>
      <c r="F9" s="20">
        <v>187</v>
      </c>
      <c r="G9" s="24"/>
      <c r="H9" s="24"/>
      <c r="I9" s="24"/>
      <c r="J9" s="22"/>
      <c r="L9" s="17"/>
    </row>
    <row r="10" spans="1:12" x14ac:dyDescent="0.15">
      <c r="A10" s="9" t="s">
        <v>309</v>
      </c>
      <c r="B10" s="9" t="s">
        <v>1861</v>
      </c>
      <c r="C10" s="9" t="s">
        <v>1760</v>
      </c>
      <c r="D10" s="33" t="s">
        <v>459</v>
      </c>
      <c r="E10" s="30">
        <f t="shared" si="0"/>
        <v>188</v>
      </c>
      <c r="F10" s="20">
        <v>222</v>
      </c>
      <c r="J10" s="22"/>
      <c r="L10" s="17"/>
    </row>
    <row r="11" spans="1:12" x14ac:dyDescent="0.15">
      <c r="A11" s="9" t="s">
        <v>309</v>
      </c>
      <c r="B11" s="9" t="s">
        <v>1861</v>
      </c>
      <c r="C11" s="9" t="s">
        <v>1760</v>
      </c>
      <c r="D11" s="173" t="s">
        <v>460</v>
      </c>
      <c r="E11" s="30">
        <f t="shared" si="0"/>
        <v>223</v>
      </c>
      <c r="F11" s="37">
        <v>257</v>
      </c>
      <c r="J11" s="22"/>
      <c r="L11" s="17"/>
    </row>
    <row r="12" spans="1:12" x14ac:dyDescent="0.15">
      <c r="A12" s="9" t="s">
        <v>309</v>
      </c>
      <c r="B12" s="9" t="s">
        <v>1861</v>
      </c>
      <c r="C12" s="9" t="s">
        <v>1760</v>
      </c>
      <c r="D12" s="33" t="s">
        <v>589</v>
      </c>
      <c r="E12" s="30">
        <f t="shared" si="0"/>
        <v>258</v>
      </c>
      <c r="F12" s="20">
        <v>350</v>
      </c>
      <c r="J12" s="22"/>
      <c r="L12" s="17"/>
    </row>
    <row r="13" spans="1:12" x14ac:dyDescent="0.15">
      <c r="A13" s="32" t="s">
        <v>309</v>
      </c>
      <c r="B13" s="32" t="s">
        <v>1857</v>
      </c>
      <c r="C13" s="32" t="s">
        <v>1760</v>
      </c>
      <c r="D13" s="34" t="s">
        <v>461</v>
      </c>
      <c r="E13" s="21">
        <f t="shared" si="0"/>
        <v>351</v>
      </c>
      <c r="F13" s="19">
        <v>407</v>
      </c>
      <c r="G13" s="14">
        <v>1.1000000000000001</v>
      </c>
      <c r="H13" s="14">
        <v>0.18</v>
      </c>
      <c r="I13" s="14">
        <v>1.3</v>
      </c>
      <c r="J13" s="17">
        <v>0.85</v>
      </c>
      <c r="K13" s="14">
        <v>0.56999999999999995</v>
      </c>
      <c r="L13" s="17">
        <v>0.78</v>
      </c>
    </row>
    <row r="14" spans="1:12" x14ac:dyDescent="0.15">
      <c r="A14" s="9" t="s">
        <v>309</v>
      </c>
      <c r="B14" s="9" t="s">
        <v>1857</v>
      </c>
      <c r="C14" s="9" t="s">
        <v>1760</v>
      </c>
      <c r="D14" s="33" t="s">
        <v>462</v>
      </c>
      <c r="E14" s="30">
        <f t="shared" si="0"/>
        <v>408</v>
      </c>
      <c r="F14" s="20">
        <v>466</v>
      </c>
      <c r="G14" s="24"/>
      <c r="H14" s="24"/>
      <c r="I14" s="24"/>
      <c r="J14" s="22"/>
      <c r="L14" s="17"/>
    </row>
    <row r="15" spans="1:12" x14ac:dyDescent="0.15">
      <c r="A15" s="9" t="s">
        <v>309</v>
      </c>
      <c r="B15" s="9" t="s">
        <v>1857</v>
      </c>
      <c r="C15" s="9" t="s">
        <v>1760</v>
      </c>
      <c r="D15" s="33" t="s">
        <v>463</v>
      </c>
      <c r="E15" s="30">
        <f t="shared" si="0"/>
        <v>467</v>
      </c>
      <c r="F15" s="20">
        <v>524</v>
      </c>
      <c r="J15" s="22"/>
      <c r="L15" s="17"/>
    </row>
    <row r="16" spans="1:12" x14ac:dyDescent="0.15">
      <c r="A16" s="9" t="s">
        <v>309</v>
      </c>
      <c r="B16" s="9" t="s">
        <v>1857</v>
      </c>
      <c r="C16" s="9" t="s">
        <v>1760</v>
      </c>
      <c r="D16" s="174" t="s">
        <v>464</v>
      </c>
      <c r="E16" s="30">
        <f t="shared" si="0"/>
        <v>525</v>
      </c>
      <c r="F16" s="20">
        <v>548</v>
      </c>
      <c r="J16" s="22"/>
      <c r="L16" s="17"/>
    </row>
    <row r="17" spans="1:12" x14ac:dyDescent="0.15">
      <c r="A17" s="32" t="s">
        <v>309</v>
      </c>
      <c r="B17" s="32" t="s">
        <v>1858</v>
      </c>
      <c r="C17" s="32" t="s">
        <v>1761</v>
      </c>
      <c r="D17" s="34" t="s">
        <v>465</v>
      </c>
      <c r="E17" s="21">
        <f t="shared" si="0"/>
        <v>549</v>
      </c>
      <c r="F17" s="19">
        <v>607</v>
      </c>
      <c r="G17" s="14">
        <v>1.65</v>
      </c>
      <c r="H17" s="14">
        <v>0.32</v>
      </c>
      <c r="I17" s="14">
        <v>2.1</v>
      </c>
      <c r="J17" s="17">
        <v>1</v>
      </c>
      <c r="K17" s="14">
        <v>0.57999999999999996</v>
      </c>
      <c r="L17" s="17">
        <v>0.82</v>
      </c>
    </row>
    <row r="18" spans="1:12" x14ac:dyDescent="0.15">
      <c r="A18" s="9" t="s">
        <v>309</v>
      </c>
      <c r="B18" s="9" t="s">
        <v>1858</v>
      </c>
      <c r="C18" s="9" t="s">
        <v>1761</v>
      </c>
      <c r="D18" s="33" t="s">
        <v>466</v>
      </c>
      <c r="E18" s="30">
        <f t="shared" si="0"/>
        <v>608</v>
      </c>
      <c r="F18" s="20">
        <v>653</v>
      </c>
      <c r="G18" s="24"/>
      <c r="H18" s="24"/>
      <c r="I18" s="24"/>
      <c r="J18" s="22"/>
      <c r="L18" s="17"/>
    </row>
    <row r="19" spans="1:12" x14ac:dyDescent="0.15">
      <c r="A19" s="9" t="s">
        <v>309</v>
      </c>
      <c r="B19" s="9" t="s">
        <v>1858</v>
      </c>
      <c r="C19" s="9" t="s">
        <v>1761</v>
      </c>
      <c r="D19" s="33" t="s">
        <v>467</v>
      </c>
      <c r="E19" s="30">
        <f t="shared" si="0"/>
        <v>654</v>
      </c>
      <c r="F19" s="20">
        <v>700</v>
      </c>
      <c r="J19" s="22"/>
      <c r="L19" s="17"/>
    </row>
    <row r="20" spans="1:12" x14ac:dyDescent="0.15">
      <c r="A20" s="9" t="s">
        <v>309</v>
      </c>
      <c r="B20" s="9" t="s">
        <v>1858</v>
      </c>
      <c r="C20" s="9" t="s">
        <v>1761</v>
      </c>
      <c r="D20" s="33" t="s">
        <v>506</v>
      </c>
      <c r="E20" s="30">
        <f t="shared" si="0"/>
        <v>701</v>
      </c>
      <c r="F20" s="20">
        <v>750</v>
      </c>
      <c r="J20" s="22"/>
      <c r="L20" s="17"/>
    </row>
    <row r="21" spans="1:12" x14ac:dyDescent="0.15">
      <c r="A21" s="32" t="s">
        <v>309</v>
      </c>
      <c r="B21" s="32" t="s">
        <v>1859</v>
      </c>
      <c r="C21" s="32" t="s">
        <v>1761</v>
      </c>
      <c r="D21" s="34" t="s">
        <v>468</v>
      </c>
      <c r="E21" s="21">
        <f t="shared" si="0"/>
        <v>751</v>
      </c>
      <c r="F21" s="19">
        <v>805</v>
      </c>
      <c r="G21" s="14">
        <v>1.4</v>
      </c>
      <c r="H21" s="14">
        <v>0.28000000000000003</v>
      </c>
      <c r="I21" s="14">
        <v>1.85</v>
      </c>
      <c r="J21" s="17">
        <v>1.05</v>
      </c>
      <c r="K21" s="14">
        <v>0.57999999999999996</v>
      </c>
      <c r="L21" s="17">
        <v>0.88</v>
      </c>
    </row>
    <row r="22" spans="1:12" x14ac:dyDescent="0.15">
      <c r="A22" s="9" t="s">
        <v>309</v>
      </c>
      <c r="B22" s="9" t="s">
        <v>1859</v>
      </c>
      <c r="C22" s="9" t="s">
        <v>1761</v>
      </c>
      <c r="D22" s="33" t="s">
        <v>469</v>
      </c>
      <c r="E22" s="30">
        <f t="shared" si="0"/>
        <v>806</v>
      </c>
      <c r="F22" s="20">
        <v>852</v>
      </c>
      <c r="G22" s="24"/>
      <c r="H22" s="24"/>
      <c r="I22" s="24"/>
      <c r="J22" s="22"/>
      <c r="L22" s="17"/>
    </row>
    <row r="23" spans="1:12" x14ac:dyDescent="0.15">
      <c r="A23" s="9" t="s">
        <v>309</v>
      </c>
      <c r="B23" s="9" t="s">
        <v>1859</v>
      </c>
      <c r="C23" s="9" t="s">
        <v>1761</v>
      </c>
      <c r="D23" s="33" t="s">
        <v>470</v>
      </c>
      <c r="E23" s="30">
        <f t="shared" si="0"/>
        <v>853</v>
      </c>
      <c r="F23" s="20">
        <v>898</v>
      </c>
      <c r="J23" s="22"/>
      <c r="L23" s="17"/>
    </row>
    <row r="24" spans="1:12" x14ac:dyDescent="0.15">
      <c r="A24" s="9" t="s">
        <v>309</v>
      </c>
      <c r="B24" s="9" t="s">
        <v>1859</v>
      </c>
      <c r="C24" s="9" t="s">
        <v>1761</v>
      </c>
      <c r="D24" s="33" t="s">
        <v>590</v>
      </c>
      <c r="E24" s="30">
        <f t="shared" si="0"/>
        <v>899</v>
      </c>
      <c r="F24" s="20">
        <v>933</v>
      </c>
      <c r="J24" s="22"/>
      <c r="L24" s="17"/>
    </row>
    <row r="25" spans="1:12" x14ac:dyDescent="0.15">
      <c r="A25" s="32" t="s">
        <v>309</v>
      </c>
      <c r="B25" s="32" t="s">
        <v>1854</v>
      </c>
      <c r="C25" s="32" t="s">
        <v>1761</v>
      </c>
      <c r="D25" s="34" t="s">
        <v>471</v>
      </c>
      <c r="E25" s="21">
        <f t="shared" si="0"/>
        <v>934</v>
      </c>
      <c r="F25" s="19">
        <v>1003</v>
      </c>
      <c r="G25" s="14">
        <v>1.2</v>
      </c>
      <c r="H25" s="14">
        <v>0.2</v>
      </c>
      <c r="I25" s="14">
        <v>2.2999999999999998</v>
      </c>
      <c r="J25" s="17">
        <v>1</v>
      </c>
      <c r="K25" s="14">
        <v>0.56999999999999995</v>
      </c>
      <c r="L25" s="17">
        <v>0.65</v>
      </c>
    </row>
    <row r="26" spans="1:12" x14ac:dyDescent="0.15">
      <c r="A26" s="9" t="s">
        <v>309</v>
      </c>
      <c r="B26" s="9" t="s">
        <v>1854</v>
      </c>
      <c r="C26" s="9" t="s">
        <v>1761</v>
      </c>
      <c r="D26" s="33" t="s">
        <v>472</v>
      </c>
      <c r="E26" s="30">
        <f t="shared" si="0"/>
        <v>1004</v>
      </c>
      <c r="F26" s="20">
        <v>1070</v>
      </c>
      <c r="G26" s="24"/>
      <c r="H26" s="24"/>
      <c r="I26" s="24"/>
      <c r="J26" s="22"/>
      <c r="L26" s="17"/>
    </row>
    <row r="27" spans="1:12" x14ac:dyDescent="0.15">
      <c r="A27" s="9" t="s">
        <v>309</v>
      </c>
      <c r="B27" s="9" t="s">
        <v>1854</v>
      </c>
      <c r="C27" s="9" t="s">
        <v>1761</v>
      </c>
      <c r="D27" s="173" t="s">
        <v>473</v>
      </c>
      <c r="E27" s="30">
        <f t="shared" si="0"/>
        <v>1071</v>
      </c>
      <c r="F27" s="37">
        <v>1143</v>
      </c>
      <c r="J27" s="22"/>
      <c r="L27" s="17"/>
    </row>
    <row r="28" spans="1:12" x14ac:dyDescent="0.15">
      <c r="A28" s="9" t="s">
        <v>309</v>
      </c>
      <c r="B28" s="9" t="s">
        <v>1854</v>
      </c>
      <c r="C28" s="9" t="s">
        <v>1761</v>
      </c>
      <c r="D28" s="33" t="s">
        <v>591</v>
      </c>
      <c r="E28" s="30">
        <f t="shared" si="0"/>
        <v>1144</v>
      </c>
      <c r="F28" s="20">
        <v>1225</v>
      </c>
      <c r="J28" s="22"/>
      <c r="L28" s="17"/>
    </row>
    <row r="29" spans="1:12" x14ac:dyDescent="0.15">
      <c r="A29" s="32" t="s">
        <v>309</v>
      </c>
      <c r="B29" s="32" t="s">
        <v>1860</v>
      </c>
      <c r="C29" s="32" t="s">
        <v>1762</v>
      </c>
      <c r="D29" s="34" t="s">
        <v>474</v>
      </c>
      <c r="E29" s="21">
        <f t="shared" si="0"/>
        <v>1226</v>
      </c>
      <c r="F29" s="19">
        <v>1272</v>
      </c>
      <c r="G29" s="14">
        <v>0.55000000000000004</v>
      </c>
      <c r="H29" s="14">
        <v>0.08</v>
      </c>
      <c r="I29" s="14">
        <v>0.9</v>
      </c>
      <c r="J29" s="17">
        <v>0.8</v>
      </c>
      <c r="K29" s="14">
        <v>0.55000000000000004</v>
      </c>
      <c r="L29" s="17">
        <v>0.4</v>
      </c>
    </row>
    <row r="30" spans="1:12" x14ac:dyDescent="0.15">
      <c r="A30" s="9" t="s">
        <v>309</v>
      </c>
      <c r="B30" s="9" t="s">
        <v>1860</v>
      </c>
      <c r="C30" s="9" t="s">
        <v>1762</v>
      </c>
      <c r="D30" s="33" t="s">
        <v>475</v>
      </c>
      <c r="E30" s="30">
        <f t="shared" si="0"/>
        <v>1273</v>
      </c>
      <c r="F30" s="20">
        <v>1307</v>
      </c>
      <c r="G30" s="24"/>
      <c r="H30" s="24"/>
      <c r="I30" s="24"/>
      <c r="J30" s="22"/>
      <c r="L30" s="17"/>
    </row>
    <row r="31" spans="1:12" x14ac:dyDescent="0.15">
      <c r="A31" s="9" t="s">
        <v>309</v>
      </c>
      <c r="B31" s="9" t="s">
        <v>1860</v>
      </c>
      <c r="C31" s="9" t="s">
        <v>1762</v>
      </c>
      <c r="D31" s="33" t="s">
        <v>476</v>
      </c>
      <c r="E31" s="30">
        <f t="shared" si="0"/>
        <v>1308</v>
      </c>
      <c r="F31" s="20">
        <v>1342</v>
      </c>
      <c r="J31" s="22"/>
      <c r="L31" s="17"/>
    </row>
    <row r="32" spans="1:12" x14ac:dyDescent="0.15">
      <c r="A32" s="9" t="s">
        <v>309</v>
      </c>
      <c r="B32" s="9" t="s">
        <v>1860</v>
      </c>
      <c r="C32" s="9" t="s">
        <v>1762</v>
      </c>
      <c r="D32" s="33" t="s">
        <v>477</v>
      </c>
      <c r="E32" s="30">
        <f t="shared" si="0"/>
        <v>1343</v>
      </c>
      <c r="F32" s="20">
        <v>1365</v>
      </c>
      <c r="J32" s="22"/>
      <c r="L32" s="17"/>
    </row>
    <row r="33" spans="1:12" x14ac:dyDescent="0.15">
      <c r="A33" s="9" t="s">
        <v>309</v>
      </c>
      <c r="B33" s="9" t="s">
        <v>1860</v>
      </c>
      <c r="C33" s="9" t="s">
        <v>1762</v>
      </c>
      <c r="D33" s="33" t="s">
        <v>478</v>
      </c>
      <c r="E33" s="30">
        <f t="shared" si="0"/>
        <v>1366</v>
      </c>
      <c r="F33" s="20">
        <v>1388</v>
      </c>
      <c r="J33" s="22"/>
      <c r="L33" s="17"/>
    </row>
    <row r="34" spans="1:12" x14ac:dyDescent="0.15">
      <c r="A34" s="9" t="s">
        <v>309</v>
      </c>
      <c r="B34" s="9" t="s">
        <v>1860</v>
      </c>
      <c r="C34" s="9" t="s">
        <v>1762</v>
      </c>
      <c r="D34" s="33" t="s">
        <v>479</v>
      </c>
      <c r="E34" s="30">
        <f t="shared" si="0"/>
        <v>1389</v>
      </c>
      <c r="F34" s="20">
        <v>1412</v>
      </c>
      <c r="J34" s="22"/>
      <c r="L34" s="17"/>
    </row>
    <row r="35" spans="1:12" x14ac:dyDescent="0.15">
      <c r="A35" s="9" t="s">
        <v>309</v>
      </c>
      <c r="B35" s="9" t="s">
        <v>1860</v>
      </c>
      <c r="C35" s="9" t="s">
        <v>1762</v>
      </c>
      <c r="D35" s="33" t="s">
        <v>480</v>
      </c>
      <c r="E35" s="30">
        <f t="shared" si="0"/>
        <v>1413</v>
      </c>
      <c r="F35" s="20">
        <v>1435</v>
      </c>
      <c r="J35" s="22"/>
      <c r="L35" s="17"/>
    </row>
    <row r="36" spans="1:12" x14ac:dyDescent="0.15">
      <c r="A36" s="9" t="s">
        <v>309</v>
      </c>
      <c r="B36" s="9" t="s">
        <v>1860</v>
      </c>
      <c r="C36" s="9" t="s">
        <v>1762</v>
      </c>
      <c r="D36" s="33" t="s">
        <v>481</v>
      </c>
      <c r="E36" s="30">
        <f t="shared" si="0"/>
        <v>1436</v>
      </c>
      <c r="F36" s="20">
        <v>1458</v>
      </c>
      <c r="J36" s="22"/>
      <c r="L36" s="17"/>
    </row>
    <row r="37" spans="1:12" x14ac:dyDescent="0.15">
      <c r="A37" s="9" t="s">
        <v>309</v>
      </c>
      <c r="B37" s="9" t="s">
        <v>1860</v>
      </c>
      <c r="C37" s="9" t="s">
        <v>1762</v>
      </c>
      <c r="D37" s="33" t="s">
        <v>482</v>
      </c>
      <c r="E37" s="30">
        <f t="shared" si="0"/>
        <v>1459</v>
      </c>
      <c r="F37" s="20">
        <v>1476</v>
      </c>
      <c r="J37" s="22"/>
      <c r="L37" s="17"/>
    </row>
    <row r="38" spans="1:12" x14ac:dyDescent="0.15">
      <c r="A38" s="32" t="s">
        <v>309</v>
      </c>
      <c r="B38" s="32" t="s">
        <v>1855</v>
      </c>
      <c r="C38" s="32" t="s">
        <v>1855</v>
      </c>
      <c r="D38" s="34" t="s">
        <v>483</v>
      </c>
      <c r="E38" s="21">
        <f t="shared" si="0"/>
        <v>1477</v>
      </c>
      <c r="F38" s="19">
        <v>1575</v>
      </c>
      <c r="G38" s="14">
        <v>0.12</v>
      </c>
      <c r="H38" s="14">
        <v>0.02</v>
      </c>
      <c r="I38" s="14">
        <v>0.12</v>
      </c>
      <c r="J38" s="17">
        <v>0.45</v>
      </c>
      <c r="K38" s="14">
        <v>0.45</v>
      </c>
      <c r="L38" s="17">
        <v>0.15</v>
      </c>
    </row>
    <row r="39" spans="1:12" x14ac:dyDescent="0.15">
      <c r="A39" s="9" t="s">
        <v>309</v>
      </c>
      <c r="B39" s="9" t="s">
        <v>1855</v>
      </c>
      <c r="C39" s="9" t="s">
        <v>1855</v>
      </c>
      <c r="D39" s="33" t="s">
        <v>456</v>
      </c>
      <c r="E39" s="171">
        <f t="shared" si="0"/>
        <v>1576</v>
      </c>
      <c r="F39" s="172">
        <v>1600</v>
      </c>
      <c r="J39" s="169"/>
      <c r="L39" s="18"/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8CF1-270D-43A6-AF94-FB3F393593B2}">
  <sheetPr>
    <tabColor rgb="FFFFFF00"/>
  </sheetPr>
  <dimension ref="A1:L50"/>
  <sheetViews>
    <sheetView workbookViewId="0">
      <selection activeCell="L48" sqref="L48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170" t="s">
        <v>1847</v>
      </c>
      <c r="E1" s="108" t="s">
        <v>1802</v>
      </c>
      <c r="F1" s="108" t="s">
        <v>1803</v>
      </c>
      <c r="G1" s="104" t="s">
        <v>584</v>
      </c>
      <c r="H1" s="82" t="s">
        <v>585</v>
      </c>
      <c r="I1" s="83" t="s">
        <v>586</v>
      </c>
      <c r="J1" s="109" t="s">
        <v>587</v>
      </c>
      <c r="K1" s="84" t="s">
        <v>588</v>
      </c>
      <c r="L1" s="109" t="s">
        <v>2348</v>
      </c>
    </row>
    <row r="2" spans="1:12" x14ac:dyDescent="0.15">
      <c r="A2" s="32" t="s">
        <v>310</v>
      </c>
      <c r="B2" s="32" t="s">
        <v>1759</v>
      </c>
      <c r="C2" s="32" t="s">
        <v>1759</v>
      </c>
      <c r="D2" s="32" t="s">
        <v>373</v>
      </c>
      <c r="E2" s="21">
        <v>0</v>
      </c>
      <c r="F2" s="19">
        <v>20</v>
      </c>
      <c r="G2" s="14">
        <v>0.02</v>
      </c>
      <c r="H2" s="14">
        <v>5.0000000000000001E-3</v>
      </c>
      <c r="I2" s="14">
        <v>0.02</v>
      </c>
      <c r="J2" s="17">
        <v>0.2</v>
      </c>
      <c r="K2" s="14">
        <v>0.45</v>
      </c>
      <c r="L2" s="17">
        <v>0.88</v>
      </c>
    </row>
    <row r="3" spans="1:12" x14ac:dyDescent="0.15">
      <c r="A3" s="9" t="s">
        <v>310</v>
      </c>
      <c r="B3" s="9" t="s">
        <v>1759</v>
      </c>
      <c r="C3" s="9" t="s">
        <v>1759</v>
      </c>
      <c r="D3" s="9" t="s">
        <v>374</v>
      </c>
      <c r="E3" s="30">
        <f>F2+1</f>
        <v>21</v>
      </c>
      <c r="F3" s="20">
        <v>40</v>
      </c>
      <c r="G3" s="24"/>
      <c r="H3" s="24"/>
      <c r="I3" s="24"/>
      <c r="J3" s="17"/>
      <c r="L3" s="17"/>
    </row>
    <row r="4" spans="1:12" x14ac:dyDescent="0.15">
      <c r="A4" s="9" t="s">
        <v>310</v>
      </c>
      <c r="B4" s="9" t="s">
        <v>1759</v>
      </c>
      <c r="C4" s="9" t="s">
        <v>1759</v>
      </c>
      <c r="D4" s="9" t="s">
        <v>375</v>
      </c>
      <c r="E4" s="30">
        <f t="shared" ref="E4:E50" si="0">F3+1</f>
        <v>41</v>
      </c>
      <c r="F4" s="20">
        <v>60</v>
      </c>
      <c r="J4" s="17"/>
      <c r="L4" s="17"/>
    </row>
    <row r="5" spans="1:12" x14ac:dyDescent="0.15">
      <c r="A5" s="9" t="s">
        <v>310</v>
      </c>
      <c r="B5" s="9" t="s">
        <v>1759</v>
      </c>
      <c r="C5" s="9" t="s">
        <v>1759</v>
      </c>
      <c r="D5" s="9" t="s">
        <v>414</v>
      </c>
      <c r="E5" s="30">
        <f t="shared" si="0"/>
        <v>61</v>
      </c>
      <c r="F5" s="20">
        <v>80</v>
      </c>
      <c r="J5" s="17"/>
      <c r="L5" s="17"/>
    </row>
    <row r="6" spans="1:12" x14ac:dyDescent="0.15">
      <c r="A6" s="9" t="s">
        <v>310</v>
      </c>
      <c r="B6" s="9" t="s">
        <v>1759</v>
      </c>
      <c r="C6" s="9" t="s">
        <v>1759</v>
      </c>
      <c r="D6" s="9" t="s">
        <v>415</v>
      </c>
      <c r="E6" s="30">
        <f t="shared" si="0"/>
        <v>81</v>
      </c>
      <c r="F6" s="20">
        <v>100</v>
      </c>
      <c r="J6" s="17"/>
      <c r="L6" s="17"/>
    </row>
    <row r="7" spans="1:12" x14ac:dyDescent="0.15">
      <c r="A7" s="9" t="s">
        <v>310</v>
      </c>
      <c r="B7" s="9" t="s">
        <v>1759</v>
      </c>
      <c r="C7" s="9" t="s">
        <v>1759</v>
      </c>
      <c r="D7" s="9" t="s">
        <v>416</v>
      </c>
      <c r="E7" s="30">
        <f t="shared" si="0"/>
        <v>101</v>
      </c>
      <c r="F7" s="20">
        <v>120</v>
      </c>
      <c r="J7" s="17"/>
      <c r="L7" s="17"/>
    </row>
    <row r="8" spans="1:12" x14ac:dyDescent="0.15">
      <c r="A8" s="9" t="s">
        <v>310</v>
      </c>
      <c r="B8" s="9" t="s">
        <v>1759</v>
      </c>
      <c r="C8" s="9" t="s">
        <v>1759</v>
      </c>
      <c r="D8" s="9" t="s">
        <v>417</v>
      </c>
      <c r="E8" s="30">
        <f t="shared" si="0"/>
        <v>121</v>
      </c>
      <c r="F8" s="20">
        <v>150</v>
      </c>
      <c r="J8" s="17"/>
      <c r="L8" s="17"/>
    </row>
    <row r="9" spans="1:12" x14ac:dyDescent="0.15">
      <c r="A9" s="32" t="s">
        <v>310</v>
      </c>
      <c r="B9" s="32" t="s">
        <v>1861</v>
      </c>
      <c r="C9" s="32" t="s">
        <v>1760</v>
      </c>
      <c r="D9" s="91" t="s">
        <v>380</v>
      </c>
      <c r="E9" s="21">
        <f t="shared" si="0"/>
        <v>151</v>
      </c>
      <c r="F9" s="92">
        <v>200</v>
      </c>
      <c r="G9" s="14">
        <v>0.8</v>
      </c>
      <c r="H9" s="14">
        <v>0.1</v>
      </c>
      <c r="I9" s="14">
        <v>0.5</v>
      </c>
      <c r="J9" s="17">
        <v>0.4</v>
      </c>
      <c r="K9" s="14">
        <v>0.55000000000000004</v>
      </c>
      <c r="L9" s="17">
        <v>0.7</v>
      </c>
    </row>
    <row r="10" spans="1:12" x14ac:dyDescent="0.15">
      <c r="A10" s="9" t="s">
        <v>310</v>
      </c>
      <c r="B10" s="9" t="s">
        <v>1861</v>
      </c>
      <c r="C10" s="9" t="s">
        <v>1760</v>
      </c>
      <c r="D10" s="9" t="s">
        <v>418</v>
      </c>
      <c r="E10" s="30">
        <f t="shared" si="0"/>
        <v>201</v>
      </c>
      <c r="F10" s="20">
        <v>250</v>
      </c>
      <c r="G10" s="24"/>
      <c r="H10" s="24"/>
      <c r="I10" s="24"/>
      <c r="J10" s="17"/>
      <c r="L10" s="17"/>
    </row>
    <row r="11" spans="1:12" x14ac:dyDescent="0.15">
      <c r="A11" s="9" t="s">
        <v>310</v>
      </c>
      <c r="B11" s="9" t="s">
        <v>1861</v>
      </c>
      <c r="C11" s="9" t="s">
        <v>1760</v>
      </c>
      <c r="D11" s="9" t="s">
        <v>419</v>
      </c>
      <c r="E11" s="30">
        <f t="shared" si="0"/>
        <v>251</v>
      </c>
      <c r="F11" s="20">
        <v>400</v>
      </c>
      <c r="J11" s="17"/>
      <c r="L11" s="17"/>
    </row>
    <row r="12" spans="1:12" x14ac:dyDescent="0.15">
      <c r="A12" s="9" t="s">
        <v>310</v>
      </c>
      <c r="B12" s="9" t="s">
        <v>1861</v>
      </c>
      <c r="C12" s="9" t="s">
        <v>1760</v>
      </c>
      <c r="D12" s="39" t="s">
        <v>538</v>
      </c>
      <c r="E12" s="30">
        <f t="shared" si="0"/>
        <v>401</v>
      </c>
      <c r="F12" s="37">
        <v>450</v>
      </c>
      <c r="J12" s="17"/>
      <c r="L12" s="17"/>
    </row>
    <row r="13" spans="1:12" x14ac:dyDescent="0.15">
      <c r="A13" s="32" t="s">
        <v>310</v>
      </c>
      <c r="B13" s="32" t="s">
        <v>1888</v>
      </c>
      <c r="C13" s="32" t="s">
        <v>1760</v>
      </c>
      <c r="D13" s="32" t="s">
        <v>1151</v>
      </c>
      <c r="E13" s="21">
        <f t="shared" si="0"/>
        <v>451</v>
      </c>
      <c r="F13" s="19">
        <v>500</v>
      </c>
      <c r="G13" s="14">
        <v>1</v>
      </c>
      <c r="H13" s="14">
        <v>0.15</v>
      </c>
      <c r="I13" s="14">
        <v>1.2</v>
      </c>
      <c r="J13" s="17">
        <v>0.9</v>
      </c>
      <c r="K13" s="14">
        <v>0.65</v>
      </c>
      <c r="L13" s="17">
        <v>0.85</v>
      </c>
    </row>
    <row r="14" spans="1:12" x14ac:dyDescent="0.15">
      <c r="A14" s="9" t="s">
        <v>310</v>
      </c>
      <c r="B14" s="9" t="s">
        <v>1888</v>
      </c>
      <c r="C14" s="9" t="s">
        <v>1760</v>
      </c>
      <c r="D14" s="9" t="s">
        <v>732</v>
      </c>
      <c r="E14" s="30">
        <f t="shared" si="0"/>
        <v>501</v>
      </c>
      <c r="F14" s="20">
        <v>550</v>
      </c>
      <c r="G14" s="24"/>
      <c r="H14" s="24"/>
      <c r="I14" s="24"/>
      <c r="J14" s="17"/>
      <c r="L14" s="17"/>
    </row>
    <row r="15" spans="1:12" x14ac:dyDescent="0.15">
      <c r="A15" s="9" t="s">
        <v>310</v>
      </c>
      <c r="B15" s="9" t="s">
        <v>1888</v>
      </c>
      <c r="C15" s="9" t="s">
        <v>1760</v>
      </c>
      <c r="D15" s="9" t="s">
        <v>733</v>
      </c>
      <c r="E15" s="30">
        <f t="shared" si="0"/>
        <v>551</v>
      </c>
      <c r="F15" s="20">
        <v>600</v>
      </c>
      <c r="J15" s="17"/>
      <c r="L15" s="17"/>
    </row>
    <row r="16" spans="1:12" x14ac:dyDescent="0.15">
      <c r="A16" s="9" t="s">
        <v>310</v>
      </c>
      <c r="B16" s="9" t="s">
        <v>1888</v>
      </c>
      <c r="C16" s="9" t="s">
        <v>1760</v>
      </c>
      <c r="D16" s="9" t="s">
        <v>734</v>
      </c>
      <c r="E16" s="30">
        <f t="shared" si="0"/>
        <v>601</v>
      </c>
      <c r="F16" s="20">
        <v>650</v>
      </c>
      <c r="J16" s="17"/>
      <c r="L16" s="17"/>
    </row>
    <row r="17" spans="1:12" x14ac:dyDescent="0.15">
      <c r="A17" s="9" t="s">
        <v>310</v>
      </c>
      <c r="B17" s="9" t="s">
        <v>1888</v>
      </c>
      <c r="C17" s="9" t="s">
        <v>1760</v>
      </c>
      <c r="D17" s="9" t="s">
        <v>735</v>
      </c>
      <c r="E17" s="30">
        <f t="shared" si="0"/>
        <v>651</v>
      </c>
      <c r="F17" s="20">
        <v>700</v>
      </c>
      <c r="J17" s="17"/>
      <c r="L17" s="17"/>
    </row>
    <row r="18" spans="1:12" x14ac:dyDescent="0.15">
      <c r="A18" s="9" t="s">
        <v>310</v>
      </c>
      <c r="B18" s="9" t="s">
        <v>1888</v>
      </c>
      <c r="C18" s="9" t="s">
        <v>1760</v>
      </c>
      <c r="D18" s="9" t="s">
        <v>736</v>
      </c>
      <c r="E18" s="30">
        <f t="shared" si="0"/>
        <v>701</v>
      </c>
      <c r="F18" s="20">
        <v>750</v>
      </c>
      <c r="J18" s="17"/>
      <c r="L18" s="17"/>
    </row>
    <row r="19" spans="1:12" x14ac:dyDescent="0.15">
      <c r="A19" s="9" t="s">
        <v>310</v>
      </c>
      <c r="B19" s="9" t="s">
        <v>1888</v>
      </c>
      <c r="C19" s="9" t="s">
        <v>1760</v>
      </c>
      <c r="D19" s="9" t="s">
        <v>737</v>
      </c>
      <c r="E19" s="30">
        <f t="shared" si="0"/>
        <v>751</v>
      </c>
      <c r="F19" s="20">
        <v>800</v>
      </c>
      <c r="J19" s="17"/>
      <c r="L19" s="17"/>
    </row>
    <row r="20" spans="1:12" x14ac:dyDescent="0.15">
      <c r="A20" s="9" t="s">
        <v>310</v>
      </c>
      <c r="B20" s="9" t="s">
        <v>1888</v>
      </c>
      <c r="C20" s="9" t="s">
        <v>1760</v>
      </c>
      <c r="D20" s="9" t="s">
        <v>738</v>
      </c>
      <c r="E20" s="30">
        <f t="shared" si="0"/>
        <v>801</v>
      </c>
      <c r="F20" s="20">
        <v>850</v>
      </c>
      <c r="J20" s="17"/>
      <c r="L20" s="17"/>
    </row>
    <row r="21" spans="1:12" x14ac:dyDescent="0.15">
      <c r="A21" s="9" t="s">
        <v>310</v>
      </c>
      <c r="B21" s="9" t="s">
        <v>1888</v>
      </c>
      <c r="C21" s="9" t="s">
        <v>1760</v>
      </c>
      <c r="D21" s="9" t="s">
        <v>739</v>
      </c>
      <c r="E21" s="30">
        <f t="shared" si="0"/>
        <v>851</v>
      </c>
      <c r="F21" s="20">
        <v>900</v>
      </c>
      <c r="J21" s="17"/>
      <c r="L21" s="17"/>
    </row>
    <row r="22" spans="1:12" x14ac:dyDescent="0.15">
      <c r="A22" s="32" t="s">
        <v>310</v>
      </c>
      <c r="B22" s="32" t="s">
        <v>1858</v>
      </c>
      <c r="C22" s="32" t="s">
        <v>1761</v>
      </c>
      <c r="D22" s="32" t="s">
        <v>740</v>
      </c>
      <c r="E22" s="21">
        <f t="shared" si="0"/>
        <v>901</v>
      </c>
      <c r="F22" s="19">
        <v>950</v>
      </c>
      <c r="G22" s="14">
        <v>0.5</v>
      </c>
      <c r="H22" s="14">
        <v>0.08</v>
      </c>
      <c r="I22" s="14">
        <v>0.4</v>
      </c>
      <c r="J22" s="17">
        <v>0.6</v>
      </c>
      <c r="K22" s="14">
        <v>0.6</v>
      </c>
      <c r="L22" s="17">
        <v>0.65</v>
      </c>
    </row>
    <row r="23" spans="1:12" x14ac:dyDescent="0.15">
      <c r="A23" s="9" t="s">
        <v>310</v>
      </c>
      <c r="B23" s="9" t="s">
        <v>1858</v>
      </c>
      <c r="C23" s="9" t="s">
        <v>1761</v>
      </c>
      <c r="D23" s="9" t="s">
        <v>715</v>
      </c>
      <c r="E23" s="30">
        <f t="shared" si="0"/>
        <v>951</v>
      </c>
      <c r="F23" s="20">
        <v>1000</v>
      </c>
      <c r="G23" s="24"/>
      <c r="H23" s="24"/>
      <c r="I23" s="24"/>
      <c r="J23" s="17"/>
      <c r="L23" s="17"/>
    </row>
    <row r="24" spans="1:12" x14ac:dyDescent="0.15">
      <c r="A24" s="9" t="s">
        <v>310</v>
      </c>
      <c r="B24" s="9" t="s">
        <v>1858</v>
      </c>
      <c r="C24" s="9" t="s">
        <v>1761</v>
      </c>
      <c r="D24" s="9" t="s">
        <v>716</v>
      </c>
      <c r="E24" s="30">
        <f t="shared" si="0"/>
        <v>1001</v>
      </c>
      <c r="F24" s="20">
        <v>1050</v>
      </c>
      <c r="J24" s="17"/>
      <c r="L24" s="17"/>
    </row>
    <row r="25" spans="1:12" x14ac:dyDescent="0.15">
      <c r="A25" s="9" t="s">
        <v>310</v>
      </c>
      <c r="B25" s="9" t="s">
        <v>1858</v>
      </c>
      <c r="C25" s="9" t="s">
        <v>1761</v>
      </c>
      <c r="D25" s="9" t="s">
        <v>717</v>
      </c>
      <c r="E25" s="30">
        <f t="shared" si="0"/>
        <v>1051</v>
      </c>
      <c r="F25" s="20">
        <v>1100</v>
      </c>
      <c r="J25" s="17"/>
      <c r="L25" s="17"/>
    </row>
    <row r="26" spans="1:12" x14ac:dyDescent="0.15">
      <c r="A26" s="9" t="s">
        <v>310</v>
      </c>
      <c r="B26" s="9" t="s">
        <v>1858</v>
      </c>
      <c r="C26" s="9" t="s">
        <v>1761</v>
      </c>
      <c r="D26" s="9" t="s">
        <v>670</v>
      </c>
      <c r="E26" s="30">
        <f t="shared" si="0"/>
        <v>1101</v>
      </c>
      <c r="F26" s="20">
        <v>1150</v>
      </c>
      <c r="J26" s="17"/>
      <c r="L26" s="17"/>
    </row>
    <row r="27" spans="1:12" x14ac:dyDescent="0.15">
      <c r="A27" s="32" t="s">
        <v>310</v>
      </c>
      <c r="B27" s="32" t="s">
        <v>1859</v>
      </c>
      <c r="C27" s="32" t="s">
        <v>1761</v>
      </c>
      <c r="D27" s="32" t="s">
        <v>671</v>
      </c>
      <c r="E27" s="21">
        <f t="shared" si="0"/>
        <v>1151</v>
      </c>
      <c r="F27" s="19">
        <v>1200</v>
      </c>
      <c r="G27" s="14">
        <v>0.2</v>
      </c>
      <c r="H27" s="14">
        <v>0.05</v>
      </c>
      <c r="I27" s="14">
        <v>0.2</v>
      </c>
      <c r="J27" s="17">
        <v>0.6</v>
      </c>
      <c r="K27" s="14">
        <v>0.55000000000000004</v>
      </c>
      <c r="L27" s="17">
        <v>0.6</v>
      </c>
    </row>
    <row r="28" spans="1:12" x14ac:dyDescent="0.15">
      <c r="A28" s="9" t="s">
        <v>310</v>
      </c>
      <c r="B28" s="9" t="s">
        <v>1859</v>
      </c>
      <c r="C28" s="9" t="s">
        <v>1761</v>
      </c>
      <c r="D28" s="9" t="s">
        <v>430</v>
      </c>
      <c r="E28" s="30">
        <f t="shared" si="0"/>
        <v>1201</v>
      </c>
      <c r="F28" s="20">
        <v>1250</v>
      </c>
      <c r="G28" s="24"/>
      <c r="H28" s="24"/>
      <c r="I28" s="24"/>
      <c r="J28" s="17"/>
      <c r="L28" s="17"/>
    </row>
    <row r="29" spans="1:12" x14ac:dyDescent="0.15">
      <c r="A29" s="9" t="s">
        <v>310</v>
      </c>
      <c r="B29" s="9" t="s">
        <v>1859</v>
      </c>
      <c r="C29" s="9" t="s">
        <v>1761</v>
      </c>
      <c r="D29" s="9" t="s">
        <v>431</v>
      </c>
      <c r="E29" s="30">
        <f t="shared" si="0"/>
        <v>1251</v>
      </c>
      <c r="F29" s="20">
        <v>1300</v>
      </c>
      <c r="J29" s="17"/>
      <c r="L29" s="17"/>
    </row>
    <row r="30" spans="1:12" x14ac:dyDescent="0.15">
      <c r="A30" s="9" t="s">
        <v>310</v>
      </c>
      <c r="B30" s="9" t="s">
        <v>1859</v>
      </c>
      <c r="C30" s="9" t="s">
        <v>1761</v>
      </c>
      <c r="D30" s="9" t="s">
        <v>432</v>
      </c>
      <c r="E30" s="30">
        <f t="shared" si="0"/>
        <v>1301</v>
      </c>
      <c r="F30" s="20">
        <v>1350</v>
      </c>
      <c r="J30" s="17"/>
      <c r="L30" s="17"/>
    </row>
    <row r="31" spans="1:12" x14ac:dyDescent="0.15">
      <c r="A31" s="9" t="s">
        <v>310</v>
      </c>
      <c r="B31" s="9" t="s">
        <v>1859</v>
      </c>
      <c r="C31" s="9" t="s">
        <v>1761</v>
      </c>
      <c r="D31" s="9" t="s">
        <v>433</v>
      </c>
      <c r="E31" s="30">
        <f t="shared" si="0"/>
        <v>1351</v>
      </c>
      <c r="F31" s="20">
        <v>1400</v>
      </c>
      <c r="J31" s="17"/>
      <c r="L31" s="17"/>
    </row>
    <row r="32" spans="1:12" x14ac:dyDescent="0.15">
      <c r="A32" s="9" t="s">
        <v>310</v>
      </c>
      <c r="B32" s="9" t="s">
        <v>1859</v>
      </c>
      <c r="C32" s="9" t="s">
        <v>1761</v>
      </c>
      <c r="D32" s="9" t="s">
        <v>434</v>
      </c>
      <c r="E32" s="30">
        <f t="shared" si="0"/>
        <v>1401</v>
      </c>
      <c r="F32" s="20">
        <v>1450</v>
      </c>
      <c r="J32" s="17"/>
      <c r="L32" s="17"/>
    </row>
    <row r="33" spans="1:12" x14ac:dyDescent="0.15">
      <c r="A33" s="9" t="s">
        <v>310</v>
      </c>
      <c r="B33" s="9" t="s">
        <v>1859</v>
      </c>
      <c r="C33" s="9" t="s">
        <v>1761</v>
      </c>
      <c r="D33" s="9" t="s">
        <v>435</v>
      </c>
      <c r="E33" s="30">
        <f t="shared" si="0"/>
        <v>1451</v>
      </c>
      <c r="F33" s="20">
        <v>1500</v>
      </c>
      <c r="J33" s="17"/>
      <c r="L33" s="17"/>
    </row>
    <row r="34" spans="1:12" x14ac:dyDescent="0.15">
      <c r="A34" s="9" t="s">
        <v>310</v>
      </c>
      <c r="B34" s="9" t="s">
        <v>1859</v>
      </c>
      <c r="C34" s="9" t="s">
        <v>1761</v>
      </c>
      <c r="D34" s="9" t="s">
        <v>521</v>
      </c>
      <c r="E34" s="30">
        <f t="shared" si="0"/>
        <v>1501</v>
      </c>
      <c r="F34" s="20">
        <v>1550</v>
      </c>
      <c r="J34" s="17"/>
      <c r="L34" s="17"/>
    </row>
    <row r="35" spans="1:12" x14ac:dyDescent="0.15">
      <c r="A35" s="32" t="s">
        <v>310</v>
      </c>
      <c r="B35" s="32" t="s">
        <v>1886</v>
      </c>
      <c r="C35" s="32" t="s">
        <v>1761</v>
      </c>
      <c r="D35" s="32" t="s">
        <v>672</v>
      </c>
      <c r="E35" s="21">
        <f t="shared" si="0"/>
        <v>1551</v>
      </c>
      <c r="F35" s="19">
        <v>1600</v>
      </c>
      <c r="G35" s="14">
        <v>0.1</v>
      </c>
      <c r="H35" s="14">
        <v>0.02</v>
      </c>
      <c r="I35" s="14">
        <v>0.1</v>
      </c>
      <c r="J35" s="17">
        <v>0.5</v>
      </c>
      <c r="K35" s="14">
        <v>0.5</v>
      </c>
      <c r="L35" s="17">
        <v>0.45</v>
      </c>
    </row>
    <row r="36" spans="1:12" x14ac:dyDescent="0.15">
      <c r="A36" s="9" t="s">
        <v>310</v>
      </c>
      <c r="B36" s="9" t="s">
        <v>1886</v>
      </c>
      <c r="C36" s="9" t="s">
        <v>1761</v>
      </c>
      <c r="D36" s="9" t="s">
        <v>673</v>
      </c>
      <c r="E36" s="30">
        <f t="shared" si="0"/>
        <v>1601</v>
      </c>
      <c r="F36" s="20">
        <v>1650</v>
      </c>
      <c r="G36" s="24"/>
      <c r="H36" s="24"/>
      <c r="I36" s="24"/>
      <c r="J36" s="17"/>
      <c r="L36" s="17"/>
    </row>
    <row r="37" spans="1:12" x14ac:dyDescent="0.15">
      <c r="A37" s="9" t="s">
        <v>310</v>
      </c>
      <c r="B37" s="9" t="s">
        <v>1886</v>
      </c>
      <c r="C37" s="9" t="s">
        <v>1761</v>
      </c>
      <c r="D37" s="9" t="s">
        <v>674</v>
      </c>
      <c r="E37" s="30">
        <f t="shared" si="0"/>
        <v>1651</v>
      </c>
      <c r="F37" s="20">
        <v>1700</v>
      </c>
      <c r="J37" s="17"/>
      <c r="L37" s="17"/>
    </row>
    <row r="38" spans="1:12" x14ac:dyDescent="0.15">
      <c r="A38" s="9" t="s">
        <v>310</v>
      </c>
      <c r="B38" s="9" t="s">
        <v>1886</v>
      </c>
      <c r="C38" s="9" t="s">
        <v>1761</v>
      </c>
      <c r="D38" s="9" t="s">
        <v>675</v>
      </c>
      <c r="E38" s="30">
        <f t="shared" si="0"/>
        <v>1701</v>
      </c>
      <c r="F38" s="20">
        <v>1750</v>
      </c>
      <c r="J38" s="17"/>
      <c r="L38" s="17"/>
    </row>
    <row r="39" spans="1:12" x14ac:dyDescent="0.15">
      <c r="A39" s="9" t="s">
        <v>310</v>
      </c>
      <c r="B39" s="9" t="s">
        <v>1886</v>
      </c>
      <c r="C39" s="9" t="s">
        <v>1761</v>
      </c>
      <c r="D39" s="9" t="s">
        <v>676</v>
      </c>
      <c r="E39" s="30">
        <f t="shared" si="0"/>
        <v>1751</v>
      </c>
      <c r="F39" s="20">
        <v>1800</v>
      </c>
      <c r="J39" s="17"/>
      <c r="L39" s="17"/>
    </row>
    <row r="40" spans="1:12" x14ac:dyDescent="0.15">
      <c r="A40" s="9" t="s">
        <v>310</v>
      </c>
      <c r="B40" s="9" t="s">
        <v>1886</v>
      </c>
      <c r="C40" s="9" t="s">
        <v>1761</v>
      </c>
      <c r="D40" s="9" t="s">
        <v>677</v>
      </c>
      <c r="E40" s="30">
        <f t="shared" si="0"/>
        <v>1801</v>
      </c>
      <c r="F40" s="20">
        <v>1850</v>
      </c>
      <c r="J40" s="17"/>
      <c r="L40" s="17"/>
    </row>
    <row r="41" spans="1:12" x14ac:dyDescent="0.15">
      <c r="A41" s="9" t="s">
        <v>310</v>
      </c>
      <c r="B41" s="9" t="s">
        <v>1886</v>
      </c>
      <c r="C41" s="9" t="s">
        <v>1761</v>
      </c>
      <c r="D41" s="9" t="s">
        <v>678</v>
      </c>
      <c r="E41" s="30">
        <f t="shared" si="0"/>
        <v>1851</v>
      </c>
      <c r="F41" s="20">
        <v>1900</v>
      </c>
      <c r="J41" s="17"/>
      <c r="L41" s="17"/>
    </row>
    <row r="42" spans="1:12" x14ac:dyDescent="0.15">
      <c r="A42" s="9" t="s">
        <v>310</v>
      </c>
      <c r="B42" s="9" t="s">
        <v>1886</v>
      </c>
      <c r="C42" s="9" t="s">
        <v>1761</v>
      </c>
      <c r="D42" s="9" t="s">
        <v>679</v>
      </c>
      <c r="E42" s="30">
        <f t="shared" si="0"/>
        <v>1901</v>
      </c>
      <c r="F42" s="20">
        <v>1950</v>
      </c>
      <c r="J42" s="17"/>
      <c r="L42" s="17"/>
    </row>
    <row r="43" spans="1:12" x14ac:dyDescent="0.15">
      <c r="A43" s="9" t="s">
        <v>310</v>
      </c>
      <c r="B43" s="9" t="s">
        <v>1886</v>
      </c>
      <c r="C43" s="9" t="s">
        <v>1761</v>
      </c>
      <c r="D43" s="9" t="s">
        <v>680</v>
      </c>
      <c r="E43" s="30">
        <f t="shared" si="0"/>
        <v>1951</v>
      </c>
      <c r="F43" s="20">
        <v>2000</v>
      </c>
      <c r="J43" s="17"/>
      <c r="L43" s="17"/>
    </row>
    <row r="44" spans="1:12" x14ac:dyDescent="0.15">
      <c r="A44" s="32" t="s">
        <v>310</v>
      </c>
      <c r="B44" s="32" t="s">
        <v>1889</v>
      </c>
      <c r="C44" s="32" t="s">
        <v>1762</v>
      </c>
      <c r="D44" s="32" t="s">
        <v>681</v>
      </c>
      <c r="E44" s="21">
        <f t="shared" si="0"/>
        <v>2001</v>
      </c>
      <c r="F44" s="19">
        <v>2100</v>
      </c>
      <c r="G44" s="14">
        <v>0.05</v>
      </c>
      <c r="H44" s="14">
        <v>0.1</v>
      </c>
      <c r="I44" s="14">
        <v>0.05</v>
      </c>
      <c r="J44" s="17">
        <v>0.4</v>
      </c>
      <c r="K44" s="14">
        <v>0.45</v>
      </c>
      <c r="L44" s="17">
        <v>0.3</v>
      </c>
    </row>
    <row r="45" spans="1:12" x14ac:dyDescent="0.15">
      <c r="A45" s="9" t="s">
        <v>310</v>
      </c>
      <c r="B45" s="9" t="s">
        <v>1889</v>
      </c>
      <c r="C45" s="9" t="s">
        <v>1762</v>
      </c>
      <c r="D45" s="9" t="s">
        <v>1043</v>
      </c>
      <c r="E45" s="30">
        <f t="shared" si="0"/>
        <v>2101</v>
      </c>
      <c r="F45" s="20">
        <v>2200</v>
      </c>
      <c r="G45" s="24"/>
      <c r="H45" s="24"/>
      <c r="I45" s="24"/>
      <c r="J45" s="17"/>
      <c r="L45" s="17"/>
    </row>
    <row r="46" spans="1:12" x14ac:dyDescent="0.15">
      <c r="A46" s="9" t="s">
        <v>310</v>
      </c>
      <c r="B46" s="9" t="s">
        <v>1889</v>
      </c>
      <c r="C46" s="9" t="s">
        <v>1762</v>
      </c>
      <c r="D46" s="9" t="s">
        <v>1044</v>
      </c>
      <c r="E46" s="30">
        <f t="shared" si="0"/>
        <v>2201</v>
      </c>
      <c r="F46" s="20">
        <v>2300</v>
      </c>
      <c r="J46" s="17"/>
      <c r="L46" s="17"/>
    </row>
    <row r="47" spans="1:12" x14ac:dyDescent="0.15">
      <c r="A47" s="32" t="s">
        <v>310</v>
      </c>
      <c r="B47" s="32" t="s">
        <v>1855</v>
      </c>
      <c r="C47" s="32" t="s">
        <v>1855</v>
      </c>
      <c r="D47" s="32" t="s">
        <v>690</v>
      </c>
      <c r="E47" s="21">
        <f t="shared" si="0"/>
        <v>2301</v>
      </c>
      <c r="F47" s="19">
        <v>2400</v>
      </c>
      <c r="G47" s="14">
        <v>0.01</v>
      </c>
      <c r="H47" s="14">
        <v>1E-3</v>
      </c>
      <c r="I47" s="14">
        <v>0.01</v>
      </c>
      <c r="J47" s="17">
        <v>0.2</v>
      </c>
      <c r="K47" s="14">
        <v>0.4</v>
      </c>
      <c r="L47" s="17">
        <v>0.15</v>
      </c>
    </row>
    <row r="48" spans="1:12" x14ac:dyDescent="0.15">
      <c r="A48" s="9" t="s">
        <v>310</v>
      </c>
      <c r="B48" s="9" t="s">
        <v>1855</v>
      </c>
      <c r="C48" s="9" t="s">
        <v>1855</v>
      </c>
      <c r="D48" s="9" t="s">
        <v>727</v>
      </c>
      <c r="E48" s="30">
        <f t="shared" si="0"/>
        <v>2401</v>
      </c>
      <c r="F48" s="20">
        <v>2500</v>
      </c>
      <c r="G48" s="24"/>
      <c r="H48" s="24"/>
      <c r="I48" s="24"/>
      <c r="J48" s="17"/>
      <c r="L48" s="17"/>
    </row>
    <row r="49" spans="1:12" x14ac:dyDescent="0.15">
      <c r="A49" s="9" t="s">
        <v>310</v>
      </c>
      <c r="B49" s="9" t="s">
        <v>1855</v>
      </c>
      <c r="C49" s="9" t="s">
        <v>1855</v>
      </c>
      <c r="D49" s="9" t="s">
        <v>743</v>
      </c>
      <c r="E49" s="30">
        <f t="shared" si="0"/>
        <v>2501</v>
      </c>
      <c r="F49" s="20">
        <v>2600</v>
      </c>
      <c r="J49" s="17"/>
      <c r="L49" s="17"/>
    </row>
    <row r="50" spans="1:12" x14ac:dyDescent="0.15">
      <c r="A50" s="9" t="s">
        <v>310</v>
      </c>
      <c r="B50" s="9" t="s">
        <v>1855</v>
      </c>
      <c r="C50" s="9" t="s">
        <v>1855</v>
      </c>
      <c r="D50" s="9" t="s">
        <v>456</v>
      </c>
      <c r="E50" s="171">
        <f t="shared" si="0"/>
        <v>2601</v>
      </c>
      <c r="F50" s="172">
        <v>2700</v>
      </c>
      <c r="J50" s="18"/>
      <c r="L50" s="18"/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D114-FB7B-459F-9FFE-DE633A1F9C0C}">
  <sheetPr>
    <tabColor rgb="FFFFFF00"/>
  </sheetPr>
  <dimension ref="A1:L39"/>
  <sheetViews>
    <sheetView workbookViewId="0">
      <selection activeCell="N35" sqref="N35"/>
    </sheetView>
  </sheetViews>
  <sheetFormatPr defaultRowHeight="10.5" x14ac:dyDescent="0.15"/>
  <cols>
    <col min="1" max="1" width="16" style="9" bestFit="1" customWidth="1"/>
    <col min="2" max="2" width="22" style="9" bestFit="1" customWidth="1"/>
    <col min="3" max="3" width="11.85546875" style="9" bestFit="1" customWidth="1"/>
    <col min="4" max="4" width="64.7109375" style="9" bestFit="1" customWidth="1"/>
    <col min="5" max="5" width="9.5703125" style="9" bestFit="1" customWidth="1"/>
    <col min="6" max="6" width="8.28515625" style="9" bestFit="1" customWidth="1"/>
    <col min="7" max="9" width="12.85546875" style="13" bestFit="1" customWidth="1"/>
    <col min="10" max="10" width="14.42578125" style="13" bestFit="1" customWidth="1"/>
    <col min="11" max="11" width="10.7109375" style="13" bestFit="1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170" t="s">
        <v>1847</v>
      </c>
      <c r="E1" s="81" t="s">
        <v>1802</v>
      </c>
      <c r="F1" s="81" t="s">
        <v>1803</v>
      </c>
      <c r="G1" s="104" t="s">
        <v>584</v>
      </c>
      <c r="H1" s="82" t="s">
        <v>585</v>
      </c>
      <c r="I1" s="83" t="s">
        <v>586</v>
      </c>
      <c r="J1" s="82" t="s">
        <v>587</v>
      </c>
      <c r="K1" s="84" t="s">
        <v>588</v>
      </c>
      <c r="L1" s="83" t="s">
        <v>2348</v>
      </c>
    </row>
    <row r="2" spans="1:12" x14ac:dyDescent="0.15">
      <c r="A2" s="32" t="s">
        <v>697</v>
      </c>
      <c r="B2" s="32" t="s">
        <v>1759</v>
      </c>
      <c r="C2" s="32" t="s">
        <v>1759</v>
      </c>
      <c r="D2" s="34" t="s">
        <v>373</v>
      </c>
      <c r="E2" s="21">
        <v>0</v>
      </c>
      <c r="F2" s="19">
        <v>10</v>
      </c>
      <c r="G2" s="14">
        <v>0.06</v>
      </c>
      <c r="H2" s="14">
        <v>0.01</v>
      </c>
      <c r="I2" s="14">
        <v>0.08</v>
      </c>
      <c r="J2" s="17">
        <v>0.3</v>
      </c>
      <c r="K2" s="14">
        <v>0.4</v>
      </c>
      <c r="L2" s="15">
        <v>0.92</v>
      </c>
    </row>
    <row r="3" spans="1:12" x14ac:dyDescent="0.15">
      <c r="A3" s="9" t="s">
        <v>697</v>
      </c>
      <c r="B3" s="9" t="s">
        <v>1759</v>
      </c>
      <c r="C3" s="9" t="s">
        <v>1759</v>
      </c>
      <c r="D3" s="33" t="s">
        <v>374</v>
      </c>
      <c r="E3" s="30">
        <f>F2+1</f>
        <v>11</v>
      </c>
      <c r="F3" s="20">
        <v>30</v>
      </c>
      <c r="J3" s="22"/>
      <c r="L3" s="15"/>
    </row>
    <row r="4" spans="1:12" x14ac:dyDescent="0.15">
      <c r="A4" s="9" t="s">
        <v>697</v>
      </c>
      <c r="B4" s="9" t="s">
        <v>1759</v>
      </c>
      <c r="C4" s="9" t="s">
        <v>1759</v>
      </c>
      <c r="D4" s="33" t="s">
        <v>375</v>
      </c>
      <c r="E4" s="30">
        <f t="shared" ref="E4:E39" si="0">F3+1</f>
        <v>31</v>
      </c>
      <c r="F4" s="20">
        <v>60</v>
      </c>
      <c r="J4" s="22"/>
      <c r="L4" s="15"/>
    </row>
    <row r="5" spans="1:12" x14ac:dyDescent="0.15">
      <c r="A5" s="9" t="s">
        <v>697</v>
      </c>
      <c r="B5" s="9" t="s">
        <v>1759</v>
      </c>
      <c r="C5" s="9" t="s">
        <v>1759</v>
      </c>
      <c r="D5" s="33" t="s">
        <v>414</v>
      </c>
      <c r="E5" s="30">
        <f t="shared" si="0"/>
        <v>61</v>
      </c>
      <c r="F5" s="20">
        <v>95</v>
      </c>
      <c r="J5" s="22"/>
      <c r="L5" s="15"/>
    </row>
    <row r="6" spans="1:12" x14ac:dyDescent="0.15">
      <c r="A6" s="9" t="s">
        <v>697</v>
      </c>
      <c r="B6" s="9" t="s">
        <v>1759</v>
      </c>
      <c r="C6" s="9" t="s">
        <v>1759</v>
      </c>
      <c r="D6" s="33" t="s">
        <v>377</v>
      </c>
      <c r="E6" s="30">
        <f t="shared" si="0"/>
        <v>96</v>
      </c>
      <c r="F6" s="20">
        <v>115</v>
      </c>
      <c r="J6" s="22"/>
      <c r="L6" s="15"/>
    </row>
    <row r="7" spans="1:12" x14ac:dyDescent="0.15">
      <c r="A7" s="9" t="s">
        <v>697</v>
      </c>
      <c r="B7" s="9" t="s">
        <v>1759</v>
      </c>
      <c r="C7" s="9" t="s">
        <v>1759</v>
      </c>
      <c r="D7" s="33" t="s">
        <v>457</v>
      </c>
      <c r="E7" s="30">
        <f t="shared" si="0"/>
        <v>116</v>
      </c>
      <c r="F7" s="20">
        <v>130</v>
      </c>
      <c r="J7" s="22"/>
      <c r="L7" s="15"/>
    </row>
    <row r="8" spans="1:12" x14ac:dyDescent="0.15">
      <c r="A8" s="32" t="s">
        <v>697</v>
      </c>
      <c r="B8" s="32" t="s">
        <v>1861</v>
      </c>
      <c r="C8" s="32" t="s">
        <v>1760</v>
      </c>
      <c r="D8" s="34" t="s">
        <v>380</v>
      </c>
      <c r="E8" s="21">
        <f t="shared" si="0"/>
        <v>131</v>
      </c>
      <c r="F8" s="19">
        <v>160</v>
      </c>
      <c r="G8" s="14">
        <v>0.7</v>
      </c>
      <c r="H8" s="14">
        <v>0.09</v>
      </c>
      <c r="I8" s="14">
        <v>0.85</v>
      </c>
      <c r="J8" s="17">
        <v>0.65</v>
      </c>
      <c r="K8" s="14">
        <v>0.55000000000000004</v>
      </c>
      <c r="L8" s="15">
        <v>0.78</v>
      </c>
    </row>
    <row r="9" spans="1:12" x14ac:dyDescent="0.15">
      <c r="A9" s="9" t="s">
        <v>697</v>
      </c>
      <c r="B9" s="9" t="s">
        <v>1861</v>
      </c>
      <c r="C9" s="9" t="s">
        <v>1760</v>
      </c>
      <c r="D9" s="33" t="s">
        <v>484</v>
      </c>
      <c r="E9" s="30">
        <f t="shared" si="0"/>
        <v>161</v>
      </c>
      <c r="F9" s="20">
        <v>200</v>
      </c>
      <c r="J9" s="22"/>
      <c r="L9" s="15"/>
    </row>
    <row r="10" spans="1:12" x14ac:dyDescent="0.15">
      <c r="A10" s="9" t="s">
        <v>697</v>
      </c>
      <c r="B10" s="9" t="s">
        <v>1861</v>
      </c>
      <c r="C10" s="9" t="s">
        <v>1760</v>
      </c>
      <c r="D10" s="33" t="s">
        <v>485</v>
      </c>
      <c r="E10" s="30">
        <f t="shared" si="0"/>
        <v>201</v>
      </c>
      <c r="F10" s="20">
        <v>240</v>
      </c>
      <c r="J10" s="22"/>
      <c r="L10" s="15"/>
    </row>
    <row r="11" spans="1:12" x14ac:dyDescent="0.15">
      <c r="A11" s="9" t="s">
        <v>697</v>
      </c>
      <c r="B11" s="9" t="s">
        <v>1861</v>
      </c>
      <c r="C11" s="9" t="s">
        <v>1760</v>
      </c>
      <c r="D11" s="173" t="s">
        <v>486</v>
      </c>
      <c r="E11" s="30">
        <f t="shared" si="0"/>
        <v>241</v>
      </c>
      <c r="F11" s="37">
        <v>280</v>
      </c>
      <c r="J11" s="22"/>
      <c r="L11" s="15"/>
    </row>
    <row r="12" spans="1:12" x14ac:dyDescent="0.15">
      <c r="A12" s="9" t="s">
        <v>697</v>
      </c>
      <c r="B12" s="9" t="s">
        <v>1861</v>
      </c>
      <c r="C12" s="9" t="s">
        <v>1760</v>
      </c>
      <c r="D12" s="33" t="s">
        <v>487</v>
      </c>
      <c r="E12" s="30">
        <f t="shared" si="0"/>
        <v>281</v>
      </c>
      <c r="F12" s="20">
        <v>320</v>
      </c>
      <c r="J12" s="22"/>
      <c r="L12" s="15"/>
    </row>
    <row r="13" spans="1:12" x14ac:dyDescent="0.15">
      <c r="A13" s="32" t="s">
        <v>697</v>
      </c>
      <c r="B13" s="32" t="s">
        <v>1857</v>
      </c>
      <c r="C13" s="32" t="s">
        <v>1760</v>
      </c>
      <c r="D13" s="34" t="s">
        <v>488</v>
      </c>
      <c r="E13" s="21">
        <f t="shared" si="0"/>
        <v>321</v>
      </c>
      <c r="F13" s="19">
        <v>360</v>
      </c>
      <c r="G13" s="14">
        <v>1.05</v>
      </c>
      <c r="H13" s="14">
        <v>0.18</v>
      </c>
      <c r="I13" s="14">
        <v>1.25</v>
      </c>
      <c r="J13" s="17">
        <v>0.85</v>
      </c>
      <c r="K13" s="14">
        <v>0.57999999999999996</v>
      </c>
      <c r="L13" s="15">
        <v>0.75</v>
      </c>
    </row>
    <row r="14" spans="1:12" x14ac:dyDescent="0.15">
      <c r="A14" s="9" t="s">
        <v>697</v>
      </c>
      <c r="B14" s="9" t="s">
        <v>1857</v>
      </c>
      <c r="C14" s="9" t="s">
        <v>1760</v>
      </c>
      <c r="D14" s="33" t="s">
        <v>489</v>
      </c>
      <c r="E14" s="30">
        <f t="shared" si="0"/>
        <v>361</v>
      </c>
      <c r="F14" s="20">
        <v>390</v>
      </c>
      <c r="J14" s="22"/>
      <c r="L14" s="15"/>
    </row>
    <row r="15" spans="1:12" x14ac:dyDescent="0.15">
      <c r="A15" s="9" t="s">
        <v>697</v>
      </c>
      <c r="B15" s="9" t="s">
        <v>1857</v>
      </c>
      <c r="C15" s="9" t="s">
        <v>1760</v>
      </c>
      <c r="D15" s="33" t="s">
        <v>490</v>
      </c>
      <c r="E15" s="30">
        <f t="shared" si="0"/>
        <v>391</v>
      </c>
      <c r="F15" s="20">
        <v>430</v>
      </c>
      <c r="J15" s="22"/>
      <c r="L15" s="15"/>
    </row>
    <row r="16" spans="1:12" x14ac:dyDescent="0.15">
      <c r="A16" s="32" t="s">
        <v>697</v>
      </c>
      <c r="B16" s="32" t="s">
        <v>1858</v>
      </c>
      <c r="C16" s="32" t="s">
        <v>1761</v>
      </c>
      <c r="D16" s="34" t="s">
        <v>491</v>
      </c>
      <c r="E16" s="21">
        <f t="shared" si="0"/>
        <v>431</v>
      </c>
      <c r="F16" s="19">
        <v>460</v>
      </c>
      <c r="G16" s="14">
        <v>1.6</v>
      </c>
      <c r="H16" s="14">
        <v>0.3</v>
      </c>
      <c r="I16" s="14">
        <v>2.1</v>
      </c>
      <c r="J16" s="17">
        <v>1</v>
      </c>
      <c r="K16" s="14">
        <v>0.57999999999999996</v>
      </c>
      <c r="L16" s="15">
        <v>0.8</v>
      </c>
    </row>
    <row r="17" spans="1:12" x14ac:dyDescent="0.15">
      <c r="A17" s="9" t="s">
        <v>697</v>
      </c>
      <c r="B17" s="9" t="s">
        <v>1858</v>
      </c>
      <c r="C17" s="9" t="s">
        <v>1761</v>
      </c>
      <c r="D17" s="33" t="s">
        <v>492</v>
      </c>
      <c r="E17" s="30">
        <f t="shared" si="0"/>
        <v>461</v>
      </c>
      <c r="F17" s="20">
        <v>485</v>
      </c>
      <c r="J17" s="22"/>
      <c r="L17" s="15"/>
    </row>
    <row r="18" spans="1:12" x14ac:dyDescent="0.15">
      <c r="A18" s="9" t="s">
        <v>697</v>
      </c>
      <c r="B18" s="9" t="s">
        <v>1858</v>
      </c>
      <c r="C18" s="9" t="s">
        <v>1761</v>
      </c>
      <c r="D18" s="33" t="s">
        <v>493</v>
      </c>
      <c r="E18" s="30">
        <f t="shared" si="0"/>
        <v>486</v>
      </c>
      <c r="F18" s="20">
        <v>510</v>
      </c>
      <c r="J18" s="22"/>
      <c r="L18" s="15"/>
    </row>
    <row r="19" spans="1:12" x14ac:dyDescent="0.15">
      <c r="A19" s="9" t="s">
        <v>697</v>
      </c>
      <c r="B19" s="9" t="s">
        <v>1858</v>
      </c>
      <c r="C19" s="9" t="s">
        <v>1761</v>
      </c>
      <c r="D19" s="33" t="s">
        <v>494</v>
      </c>
      <c r="E19" s="30">
        <f t="shared" si="0"/>
        <v>511</v>
      </c>
      <c r="F19" s="20">
        <v>520</v>
      </c>
      <c r="J19" s="22"/>
      <c r="L19" s="15"/>
    </row>
    <row r="20" spans="1:12" x14ac:dyDescent="0.15">
      <c r="A20" s="32" t="s">
        <v>697</v>
      </c>
      <c r="B20" s="32" t="s">
        <v>1859</v>
      </c>
      <c r="C20" s="32" t="s">
        <v>1761</v>
      </c>
      <c r="D20" s="34" t="s">
        <v>495</v>
      </c>
      <c r="E20" s="21">
        <f t="shared" si="0"/>
        <v>521</v>
      </c>
      <c r="F20" s="19">
        <v>560</v>
      </c>
      <c r="G20" s="14">
        <v>1.4</v>
      </c>
      <c r="H20" s="14">
        <v>0.28000000000000003</v>
      </c>
      <c r="I20" s="14">
        <v>1.9</v>
      </c>
      <c r="J20" s="17">
        <v>1.05</v>
      </c>
      <c r="K20" s="14">
        <v>0.57999999999999996</v>
      </c>
      <c r="L20" s="15">
        <v>0.88</v>
      </c>
    </row>
    <row r="21" spans="1:12" x14ac:dyDescent="0.15">
      <c r="A21" s="9" t="s">
        <v>697</v>
      </c>
      <c r="B21" s="9" t="s">
        <v>1859</v>
      </c>
      <c r="C21" s="9" t="s">
        <v>1761</v>
      </c>
      <c r="D21" s="33" t="s">
        <v>496</v>
      </c>
      <c r="E21" s="30">
        <f t="shared" si="0"/>
        <v>561</v>
      </c>
      <c r="F21" s="20">
        <v>590</v>
      </c>
      <c r="J21" s="22"/>
      <c r="L21" s="15"/>
    </row>
    <row r="22" spans="1:12" x14ac:dyDescent="0.15">
      <c r="A22" s="9" t="s">
        <v>697</v>
      </c>
      <c r="B22" s="9" t="s">
        <v>1859</v>
      </c>
      <c r="C22" s="9" t="s">
        <v>1761</v>
      </c>
      <c r="D22" s="33" t="s">
        <v>497</v>
      </c>
      <c r="E22" s="30">
        <f t="shared" si="0"/>
        <v>591</v>
      </c>
      <c r="F22" s="20">
        <v>610</v>
      </c>
      <c r="J22" s="22"/>
      <c r="L22" s="15"/>
    </row>
    <row r="23" spans="1:12" x14ac:dyDescent="0.15">
      <c r="A23" s="9" t="s">
        <v>697</v>
      </c>
      <c r="B23" s="9" t="s">
        <v>1859</v>
      </c>
      <c r="C23" s="9" t="s">
        <v>1761</v>
      </c>
      <c r="D23" s="173" t="s">
        <v>1801</v>
      </c>
      <c r="E23" s="30">
        <f t="shared" si="0"/>
        <v>611</v>
      </c>
      <c r="F23" s="37">
        <v>625</v>
      </c>
      <c r="J23" s="22"/>
      <c r="L23" s="15"/>
    </row>
    <row r="24" spans="1:12" x14ac:dyDescent="0.15">
      <c r="A24" s="9" t="s">
        <v>697</v>
      </c>
      <c r="B24" s="9" t="s">
        <v>1859</v>
      </c>
      <c r="C24" s="9" t="s">
        <v>1761</v>
      </c>
      <c r="D24" s="33" t="s">
        <v>498</v>
      </c>
      <c r="E24" s="30">
        <f t="shared" si="0"/>
        <v>626</v>
      </c>
      <c r="F24" s="20">
        <v>640</v>
      </c>
      <c r="J24" s="22"/>
      <c r="L24" s="15"/>
    </row>
    <row r="25" spans="1:12" x14ac:dyDescent="0.15">
      <c r="A25" s="32" t="s">
        <v>697</v>
      </c>
      <c r="B25" s="32" t="s">
        <v>1854</v>
      </c>
      <c r="C25" s="32" t="s">
        <v>1761</v>
      </c>
      <c r="D25" s="34" t="s">
        <v>499</v>
      </c>
      <c r="E25" s="21">
        <f t="shared" si="0"/>
        <v>641</v>
      </c>
      <c r="F25" s="19">
        <v>720</v>
      </c>
      <c r="G25" s="14">
        <v>1.25</v>
      </c>
      <c r="H25" s="14">
        <v>0.22</v>
      </c>
      <c r="I25" s="14">
        <v>2.2999999999999998</v>
      </c>
      <c r="J25" s="17">
        <v>1</v>
      </c>
      <c r="K25" s="14">
        <v>0.57999999999999996</v>
      </c>
      <c r="L25" s="15">
        <v>0.62</v>
      </c>
    </row>
    <row r="26" spans="1:12" x14ac:dyDescent="0.15">
      <c r="A26" s="9" t="s">
        <v>697</v>
      </c>
      <c r="B26" s="9" t="s">
        <v>1854</v>
      </c>
      <c r="C26" s="9" t="s">
        <v>1761</v>
      </c>
      <c r="D26" s="173" t="s">
        <v>500</v>
      </c>
      <c r="E26" s="30">
        <f t="shared" si="0"/>
        <v>721</v>
      </c>
      <c r="F26" s="37">
        <v>800</v>
      </c>
      <c r="J26" s="22"/>
      <c r="L26" s="15"/>
    </row>
    <row r="27" spans="1:12" x14ac:dyDescent="0.15">
      <c r="A27" s="9" t="s">
        <v>697</v>
      </c>
      <c r="B27" s="9" t="s">
        <v>1854</v>
      </c>
      <c r="C27" s="9" t="s">
        <v>1761</v>
      </c>
      <c r="D27" s="33" t="s">
        <v>501</v>
      </c>
      <c r="E27" s="30">
        <f t="shared" si="0"/>
        <v>801</v>
      </c>
      <c r="F27" s="20">
        <v>870</v>
      </c>
      <c r="J27" s="22"/>
      <c r="L27" s="15"/>
    </row>
    <row r="28" spans="1:12" x14ac:dyDescent="0.15">
      <c r="A28" s="9" t="s">
        <v>697</v>
      </c>
      <c r="B28" s="9" t="s">
        <v>1854</v>
      </c>
      <c r="C28" s="9" t="s">
        <v>1761</v>
      </c>
      <c r="D28" s="33" t="s">
        <v>502</v>
      </c>
      <c r="E28" s="30">
        <f t="shared" si="0"/>
        <v>871</v>
      </c>
      <c r="F28" s="20">
        <v>920</v>
      </c>
      <c r="J28" s="22"/>
      <c r="L28" s="15"/>
    </row>
    <row r="29" spans="1:12" x14ac:dyDescent="0.15">
      <c r="A29" s="32" t="s">
        <v>697</v>
      </c>
      <c r="B29" s="32" t="s">
        <v>1762</v>
      </c>
      <c r="C29" s="32" t="s">
        <v>1762</v>
      </c>
      <c r="D29" s="34" t="s">
        <v>474</v>
      </c>
      <c r="E29" s="21">
        <f t="shared" si="0"/>
        <v>921</v>
      </c>
      <c r="F29" s="19">
        <v>960</v>
      </c>
      <c r="G29" s="14">
        <v>0.55000000000000004</v>
      </c>
      <c r="H29" s="14">
        <v>0.08</v>
      </c>
      <c r="I29" s="14">
        <v>0.95</v>
      </c>
      <c r="J29" s="17">
        <v>0.8</v>
      </c>
      <c r="K29" s="14">
        <v>0.56000000000000005</v>
      </c>
      <c r="L29" s="15">
        <v>0.38</v>
      </c>
    </row>
    <row r="30" spans="1:12" x14ac:dyDescent="0.15">
      <c r="A30" s="9" t="s">
        <v>697</v>
      </c>
      <c r="B30" s="9" t="s">
        <v>1762</v>
      </c>
      <c r="C30" s="9" t="s">
        <v>1762</v>
      </c>
      <c r="D30" s="33" t="s">
        <v>475</v>
      </c>
      <c r="E30" s="30">
        <f t="shared" si="0"/>
        <v>961</v>
      </c>
      <c r="F30" s="20">
        <v>995</v>
      </c>
      <c r="J30" s="22"/>
      <c r="L30" s="15"/>
    </row>
    <row r="31" spans="1:12" x14ac:dyDescent="0.15">
      <c r="A31" s="9" t="s">
        <v>697</v>
      </c>
      <c r="B31" s="9" t="s">
        <v>1762</v>
      </c>
      <c r="C31" s="9" t="s">
        <v>1762</v>
      </c>
      <c r="D31" s="33" t="s">
        <v>476</v>
      </c>
      <c r="E31" s="30">
        <f t="shared" si="0"/>
        <v>996</v>
      </c>
      <c r="F31" s="20">
        <v>1025</v>
      </c>
      <c r="J31" s="22"/>
      <c r="L31" s="15"/>
    </row>
    <row r="32" spans="1:12" x14ac:dyDescent="0.15">
      <c r="A32" s="9" t="s">
        <v>697</v>
      </c>
      <c r="B32" s="9" t="s">
        <v>1762</v>
      </c>
      <c r="C32" s="9" t="s">
        <v>1762</v>
      </c>
      <c r="D32" s="33" t="s">
        <v>477</v>
      </c>
      <c r="E32" s="30">
        <f t="shared" si="0"/>
        <v>1026</v>
      </c>
      <c r="F32" s="20">
        <v>1050</v>
      </c>
      <c r="J32" s="22"/>
      <c r="L32" s="15"/>
    </row>
    <row r="33" spans="1:12" x14ac:dyDescent="0.15">
      <c r="A33" s="9" t="s">
        <v>697</v>
      </c>
      <c r="B33" s="9" t="s">
        <v>1762</v>
      </c>
      <c r="C33" s="9" t="s">
        <v>1762</v>
      </c>
      <c r="D33" s="33" t="s">
        <v>478</v>
      </c>
      <c r="E33" s="30">
        <f t="shared" si="0"/>
        <v>1051</v>
      </c>
      <c r="F33" s="20">
        <v>1070</v>
      </c>
      <c r="J33" s="22"/>
      <c r="L33" s="15"/>
    </row>
    <row r="34" spans="1:12" x14ac:dyDescent="0.15">
      <c r="A34" s="9" t="s">
        <v>697</v>
      </c>
      <c r="B34" s="9" t="s">
        <v>1762</v>
      </c>
      <c r="C34" s="9" t="s">
        <v>1762</v>
      </c>
      <c r="D34" s="33" t="s">
        <v>479</v>
      </c>
      <c r="E34" s="30">
        <f t="shared" si="0"/>
        <v>1071</v>
      </c>
      <c r="F34" s="20">
        <v>1085</v>
      </c>
      <c r="J34" s="22"/>
      <c r="L34" s="15"/>
    </row>
    <row r="35" spans="1:12" x14ac:dyDescent="0.15">
      <c r="A35" s="9" t="s">
        <v>697</v>
      </c>
      <c r="B35" s="9" t="s">
        <v>1762</v>
      </c>
      <c r="C35" s="9" t="s">
        <v>1762</v>
      </c>
      <c r="D35" s="33" t="s">
        <v>480</v>
      </c>
      <c r="E35" s="30">
        <f t="shared" si="0"/>
        <v>1086</v>
      </c>
      <c r="F35" s="20">
        <v>1100</v>
      </c>
      <c r="J35" s="22"/>
      <c r="L35" s="15"/>
    </row>
    <row r="36" spans="1:12" x14ac:dyDescent="0.15">
      <c r="A36" s="9" t="s">
        <v>697</v>
      </c>
      <c r="B36" s="9" t="s">
        <v>1762</v>
      </c>
      <c r="C36" s="9" t="s">
        <v>1762</v>
      </c>
      <c r="D36" s="33" t="s">
        <v>481</v>
      </c>
      <c r="E36" s="30">
        <f t="shared" si="0"/>
        <v>1101</v>
      </c>
      <c r="F36" s="20">
        <v>1110</v>
      </c>
      <c r="J36" s="22"/>
      <c r="L36" s="15"/>
    </row>
    <row r="37" spans="1:12" x14ac:dyDescent="0.15">
      <c r="A37" s="9" t="s">
        <v>697</v>
      </c>
      <c r="B37" s="9" t="s">
        <v>1762</v>
      </c>
      <c r="C37" s="9" t="s">
        <v>1762</v>
      </c>
      <c r="D37" s="33" t="s">
        <v>503</v>
      </c>
      <c r="E37" s="30">
        <f t="shared" si="0"/>
        <v>1111</v>
      </c>
      <c r="F37" s="20">
        <v>1120</v>
      </c>
      <c r="J37" s="22"/>
      <c r="L37" s="15"/>
    </row>
    <row r="38" spans="1:12" x14ac:dyDescent="0.15">
      <c r="A38" s="32" t="s">
        <v>697</v>
      </c>
      <c r="B38" s="32" t="s">
        <v>1855</v>
      </c>
      <c r="C38" s="32" t="s">
        <v>1855</v>
      </c>
      <c r="D38" s="34" t="s">
        <v>483</v>
      </c>
      <c r="E38" s="21">
        <f t="shared" si="0"/>
        <v>1121</v>
      </c>
      <c r="F38" s="19">
        <v>1200</v>
      </c>
      <c r="G38" s="14">
        <v>0.12</v>
      </c>
      <c r="H38" s="14">
        <v>0.02</v>
      </c>
      <c r="I38" s="14">
        <v>0.12</v>
      </c>
      <c r="J38" s="17">
        <v>0.45</v>
      </c>
      <c r="K38" s="14">
        <v>0.4</v>
      </c>
      <c r="L38" s="15">
        <v>0.15</v>
      </c>
    </row>
    <row r="39" spans="1:12" x14ac:dyDescent="0.15">
      <c r="A39" s="9" t="s">
        <v>697</v>
      </c>
      <c r="B39" s="9" t="s">
        <v>1855</v>
      </c>
      <c r="C39" s="9" t="s">
        <v>1855</v>
      </c>
      <c r="D39" s="33" t="s">
        <v>504</v>
      </c>
      <c r="E39" s="30">
        <f t="shared" si="0"/>
        <v>1201</v>
      </c>
      <c r="F39" s="20">
        <v>1300</v>
      </c>
      <c r="J39" s="22"/>
      <c r="L39" s="15"/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8EE9-0A76-48F3-84C4-9E5C2CB6A7B8}">
  <sheetPr>
    <tabColor rgb="FFFFFF00"/>
  </sheetPr>
  <dimension ref="A1:L44"/>
  <sheetViews>
    <sheetView workbookViewId="0">
      <selection activeCell="L43" sqref="L43"/>
    </sheetView>
  </sheetViews>
  <sheetFormatPr defaultColWidth="7.85546875" defaultRowHeight="10.5" x14ac:dyDescent="0.15"/>
  <cols>
    <col min="1" max="1" width="10.7109375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2" width="14.5703125" style="9" bestFit="1" customWidth="1"/>
    <col min="13" max="16384" width="7.8554687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81" t="s">
        <v>1802</v>
      </c>
      <c r="F1" s="81" t="s">
        <v>1803</v>
      </c>
      <c r="G1" s="82" t="s">
        <v>584</v>
      </c>
      <c r="H1" s="82" t="s">
        <v>585</v>
      </c>
      <c r="I1" s="83" t="s">
        <v>586</v>
      </c>
      <c r="J1" s="82" t="s">
        <v>587</v>
      </c>
      <c r="K1" s="84" t="s">
        <v>588</v>
      </c>
      <c r="L1" s="109" t="s">
        <v>2348</v>
      </c>
    </row>
    <row r="2" spans="1:12" x14ac:dyDescent="0.15">
      <c r="A2" s="32" t="s">
        <v>320</v>
      </c>
      <c r="B2" s="32" t="s">
        <v>1759</v>
      </c>
      <c r="C2" s="32" t="s">
        <v>1759</v>
      </c>
      <c r="D2" s="32" t="s">
        <v>373</v>
      </c>
      <c r="E2" s="21">
        <v>0</v>
      </c>
      <c r="F2" s="19">
        <v>10</v>
      </c>
      <c r="G2" s="14">
        <v>0.02</v>
      </c>
      <c r="H2" s="14">
        <v>5.0000000000000001E-3</v>
      </c>
      <c r="I2" s="14">
        <v>0.02</v>
      </c>
      <c r="J2" s="17">
        <v>0.3</v>
      </c>
      <c r="K2" s="14">
        <v>0.4</v>
      </c>
      <c r="L2" s="17">
        <v>0.9</v>
      </c>
    </row>
    <row r="3" spans="1:12" x14ac:dyDescent="0.15">
      <c r="A3" s="9" t="s">
        <v>320</v>
      </c>
      <c r="B3" s="9" t="s">
        <v>1759</v>
      </c>
      <c r="C3" s="9" t="s">
        <v>1759</v>
      </c>
      <c r="D3" s="9" t="s">
        <v>374</v>
      </c>
      <c r="E3" s="30">
        <f>F2+1</f>
        <v>11</v>
      </c>
      <c r="F3" s="20">
        <v>30</v>
      </c>
      <c r="J3" s="17"/>
      <c r="L3" s="17"/>
    </row>
    <row r="4" spans="1:12" x14ac:dyDescent="0.15">
      <c r="A4" s="9" t="s">
        <v>320</v>
      </c>
      <c r="B4" s="9" t="s">
        <v>1759</v>
      </c>
      <c r="C4" s="9" t="s">
        <v>1759</v>
      </c>
      <c r="D4" s="9" t="s">
        <v>375</v>
      </c>
      <c r="E4" s="30">
        <f t="shared" ref="E4:E44" si="0">F3+1</f>
        <v>31</v>
      </c>
      <c r="F4" s="20">
        <v>65</v>
      </c>
      <c r="J4" s="17"/>
      <c r="L4" s="17"/>
    </row>
    <row r="5" spans="1:12" x14ac:dyDescent="0.15">
      <c r="A5" s="9" t="s">
        <v>320</v>
      </c>
      <c r="B5" s="9" t="s">
        <v>1759</v>
      </c>
      <c r="C5" s="9" t="s">
        <v>1759</v>
      </c>
      <c r="D5" s="9" t="s">
        <v>414</v>
      </c>
      <c r="E5" s="30">
        <f t="shared" si="0"/>
        <v>66</v>
      </c>
      <c r="F5" s="20">
        <v>100</v>
      </c>
      <c r="J5" s="17"/>
      <c r="L5" s="17"/>
    </row>
    <row r="6" spans="1:12" x14ac:dyDescent="0.15">
      <c r="A6" s="9" t="s">
        <v>320</v>
      </c>
      <c r="B6" s="9" t="s">
        <v>1759</v>
      </c>
      <c r="C6" s="9" t="s">
        <v>1759</v>
      </c>
      <c r="D6" s="9" t="s">
        <v>377</v>
      </c>
      <c r="E6" s="30">
        <f t="shared" si="0"/>
        <v>101</v>
      </c>
      <c r="F6" s="20">
        <v>120</v>
      </c>
      <c r="J6" s="17"/>
      <c r="L6" s="17"/>
    </row>
    <row r="7" spans="1:12" x14ac:dyDescent="0.15">
      <c r="A7" s="9" t="s">
        <v>320</v>
      </c>
      <c r="B7" s="9" t="s">
        <v>1759</v>
      </c>
      <c r="C7" s="9" t="s">
        <v>1759</v>
      </c>
      <c r="D7" s="9" t="s">
        <v>457</v>
      </c>
      <c r="E7" s="30">
        <f t="shared" si="0"/>
        <v>121</v>
      </c>
      <c r="F7" s="20">
        <v>130</v>
      </c>
      <c r="J7" s="17"/>
      <c r="L7" s="17"/>
    </row>
    <row r="8" spans="1:12" x14ac:dyDescent="0.15">
      <c r="A8" s="32" t="s">
        <v>320</v>
      </c>
      <c r="B8" s="32" t="s">
        <v>1861</v>
      </c>
      <c r="C8" s="32" t="s">
        <v>1760</v>
      </c>
      <c r="D8" s="91" t="s">
        <v>380</v>
      </c>
      <c r="E8" s="21">
        <f t="shared" si="0"/>
        <v>131</v>
      </c>
      <c r="F8" s="92">
        <v>170</v>
      </c>
      <c r="G8" s="14">
        <v>0.4</v>
      </c>
      <c r="H8" s="14">
        <v>0.05</v>
      </c>
      <c r="I8" s="14">
        <v>0.2</v>
      </c>
      <c r="J8" s="17">
        <v>0.45</v>
      </c>
      <c r="K8" s="14">
        <v>0.55000000000000004</v>
      </c>
      <c r="L8" s="17">
        <v>0.75</v>
      </c>
    </row>
    <row r="9" spans="1:12" x14ac:dyDescent="0.15">
      <c r="A9" s="9" t="s">
        <v>320</v>
      </c>
      <c r="B9" s="9" t="s">
        <v>1861</v>
      </c>
      <c r="C9" s="9" t="s">
        <v>1760</v>
      </c>
      <c r="D9" s="9" t="s">
        <v>484</v>
      </c>
      <c r="E9" s="30">
        <f t="shared" si="0"/>
        <v>171</v>
      </c>
      <c r="F9" s="20">
        <v>210</v>
      </c>
      <c r="J9" s="17"/>
      <c r="L9" s="17"/>
    </row>
    <row r="10" spans="1:12" x14ac:dyDescent="0.15">
      <c r="A10" s="9" t="s">
        <v>320</v>
      </c>
      <c r="B10" s="9" t="s">
        <v>1861</v>
      </c>
      <c r="C10" s="9" t="s">
        <v>1760</v>
      </c>
      <c r="D10" s="9" t="s">
        <v>485</v>
      </c>
      <c r="E10" s="30">
        <f t="shared" si="0"/>
        <v>211</v>
      </c>
      <c r="F10" s="20">
        <v>250</v>
      </c>
      <c r="J10" s="17"/>
      <c r="L10" s="17"/>
    </row>
    <row r="11" spans="1:12" x14ac:dyDescent="0.15">
      <c r="A11" s="9" t="s">
        <v>320</v>
      </c>
      <c r="B11" s="9" t="s">
        <v>1861</v>
      </c>
      <c r="C11" s="9" t="s">
        <v>1760</v>
      </c>
      <c r="D11" s="9" t="s">
        <v>486</v>
      </c>
      <c r="E11" s="30">
        <f t="shared" si="0"/>
        <v>251</v>
      </c>
      <c r="F11" s="20">
        <v>290</v>
      </c>
      <c r="J11" s="17"/>
      <c r="L11" s="17"/>
    </row>
    <row r="12" spans="1:12" x14ac:dyDescent="0.15">
      <c r="A12" s="9" t="s">
        <v>320</v>
      </c>
      <c r="B12" s="9" t="s">
        <v>1861</v>
      </c>
      <c r="C12" s="9" t="s">
        <v>1760</v>
      </c>
      <c r="D12" s="9" t="s">
        <v>487</v>
      </c>
      <c r="E12" s="30">
        <f t="shared" si="0"/>
        <v>291</v>
      </c>
      <c r="F12" s="20">
        <v>320</v>
      </c>
      <c r="J12" s="17"/>
      <c r="L12" s="17"/>
    </row>
    <row r="13" spans="1:12" x14ac:dyDescent="0.15">
      <c r="A13" s="32" t="s">
        <v>320</v>
      </c>
      <c r="B13" s="32" t="s">
        <v>1857</v>
      </c>
      <c r="C13" s="32" t="s">
        <v>1760</v>
      </c>
      <c r="D13" s="32" t="s">
        <v>488</v>
      </c>
      <c r="E13" s="21">
        <f t="shared" si="0"/>
        <v>321</v>
      </c>
      <c r="F13" s="19">
        <v>365</v>
      </c>
      <c r="G13" s="14">
        <v>0.8</v>
      </c>
      <c r="H13" s="14">
        <v>0.1</v>
      </c>
      <c r="I13" s="14">
        <v>0.4</v>
      </c>
      <c r="J13" s="17">
        <v>0.65</v>
      </c>
      <c r="K13" s="14">
        <v>0.56000000000000005</v>
      </c>
      <c r="L13" s="17">
        <v>0.7</v>
      </c>
    </row>
    <row r="14" spans="1:12" x14ac:dyDescent="0.15">
      <c r="A14" s="9" t="s">
        <v>320</v>
      </c>
      <c r="B14" s="9" t="s">
        <v>1857</v>
      </c>
      <c r="C14" s="9" t="s">
        <v>1760</v>
      </c>
      <c r="D14" s="9" t="s">
        <v>489</v>
      </c>
      <c r="E14" s="30">
        <f t="shared" si="0"/>
        <v>366</v>
      </c>
      <c r="F14" s="20">
        <v>410</v>
      </c>
      <c r="J14" s="17"/>
      <c r="L14" s="17"/>
    </row>
    <row r="15" spans="1:12" x14ac:dyDescent="0.15">
      <c r="A15" s="9" t="s">
        <v>320</v>
      </c>
      <c r="B15" s="9" t="s">
        <v>1857</v>
      </c>
      <c r="C15" s="9" t="s">
        <v>1760</v>
      </c>
      <c r="D15" s="9" t="s">
        <v>638</v>
      </c>
      <c r="E15" s="30">
        <f t="shared" si="0"/>
        <v>411</v>
      </c>
      <c r="F15" s="20">
        <v>450</v>
      </c>
      <c r="J15" s="17"/>
      <c r="L15" s="17"/>
    </row>
    <row r="16" spans="1:12" x14ac:dyDescent="0.15">
      <c r="A16" s="32" t="s">
        <v>320</v>
      </c>
      <c r="B16" s="32" t="s">
        <v>1858</v>
      </c>
      <c r="C16" s="32" t="s">
        <v>1761</v>
      </c>
      <c r="D16" s="32" t="s">
        <v>491</v>
      </c>
      <c r="E16" s="21">
        <f t="shared" si="0"/>
        <v>451</v>
      </c>
      <c r="F16" s="19">
        <v>480</v>
      </c>
      <c r="G16" s="14">
        <v>1</v>
      </c>
      <c r="H16" s="14">
        <v>0.15</v>
      </c>
      <c r="I16" s="14">
        <v>0.8</v>
      </c>
      <c r="J16" s="17">
        <v>1.1000000000000001</v>
      </c>
      <c r="K16" s="14">
        <v>0.57999999999999996</v>
      </c>
      <c r="L16" s="17">
        <v>0.75</v>
      </c>
    </row>
    <row r="17" spans="1:12" x14ac:dyDescent="0.15">
      <c r="A17" s="9" t="s">
        <v>320</v>
      </c>
      <c r="B17" s="9" t="s">
        <v>1858</v>
      </c>
      <c r="C17" s="9" t="s">
        <v>1761</v>
      </c>
      <c r="D17" s="9" t="s">
        <v>492</v>
      </c>
      <c r="E17" s="30">
        <f t="shared" si="0"/>
        <v>481</v>
      </c>
      <c r="F17" s="20">
        <v>515</v>
      </c>
      <c r="J17" s="17"/>
      <c r="L17" s="17"/>
    </row>
    <row r="18" spans="1:12" x14ac:dyDescent="0.15">
      <c r="A18" s="9" t="s">
        <v>320</v>
      </c>
      <c r="B18" s="9" t="s">
        <v>1858</v>
      </c>
      <c r="C18" s="9" t="s">
        <v>1761</v>
      </c>
      <c r="D18" s="9" t="s">
        <v>493</v>
      </c>
      <c r="E18" s="30">
        <f t="shared" si="0"/>
        <v>516</v>
      </c>
      <c r="F18" s="20">
        <v>540</v>
      </c>
      <c r="J18" s="17"/>
      <c r="L18" s="17"/>
    </row>
    <row r="19" spans="1:12" x14ac:dyDescent="0.15">
      <c r="A19" s="9" t="s">
        <v>320</v>
      </c>
      <c r="B19" s="9" t="s">
        <v>1858</v>
      </c>
      <c r="C19" s="9" t="s">
        <v>1761</v>
      </c>
      <c r="D19" s="9" t="s">
        <v>1153</v>
      </c>
      <c r="E19" s="30">
        <f t="shared" si="0"/>
        <v>541</v>
      </c>
      <c r="F19" s="20">
        <v>580</v>
      </c>
      <c r="J19" s="17"/>
      <c r="L19" s="17"/>
    </row>
    <row r="20" spans="1:12" x14ac:dyDescent="0.15">
      <c r="A20" s="32" t="s">
        <v>320</v>
      </c>
      <c r="B20" s="32" t="s">
        <v>1859</v>
      </c>
      <c r="C20" s="32" t="s">
        <v>1761</v>
      </c>
      <c r="D20" s="32" t="s">
        <v>846</v>
      </c>
      <c r="E20" s="21">
        <f t="shared" si="0"/>
        <v>581</v>
      </c>
      <c r="F20" s="19">
        <v>630</v>
      </c>
      <c r="G20" s="14">
        <v>0.9</v>
      </c>
      <c r="H20" s="14">
        <v>0.12</v>
      </c>
      <c r="I20" s="14">
        <v>0.6</v>
      </c>
      <c r="J20" s="17">
        <v>1</v>
      </c>
      <c r="K20" s="14">
        <v>0.57999999999999996</v>
      </c>
      <c r="L20" s="17">
        <v>0.85</v>
      </c>
    </row>
    <row r="21" spans="1:12" x14ac:dyDescent="0.15">
      <c r="A21" s="9" t="s">
        <v>320</v>
      </c>
      <c r="B21" s="9" t="s">
        <v>1859</v>
      </c>
      <c r="C21" s="9" t="s">
        <v>1761</v>
      </c>
      <c r="D21" s="9" t="s">
        <v>496</v>
      </c>
      <c r="E21" s="30">
        <f t="shared" si="0"/>
        <v>631</v>
      </c>
      <c r="F21" s="20">
        <v>670</v>
      </c>
      <c r="J21" s="17"/>
      <c r="L21" s="17"/>
    </row>
    <row r="22" spans="1:12" x14ac:dyDescent="0.15">
      <c r="A22" s="9" t="s">
        <v>320</v>
      </c>
      <c r="B22" s="9" t="s">
        <v>1859</v>
      </c>
      <c r="C22" s="9" t="s">
        <v>1761</v>
      </c>
      <c r="D22" s="9" t="s">
        <v>497</v>
      </c>
      <c r="E22" s="30">
        <f t="shared" si="0"/>
        <v>671</v>
      </c>
      <c r="F22" s="20">
        <v>700</v>
      </c>
      <c r="J22" s="17"/>
      <c r="L22" s="17"/>
    </row>
    <row r="23" spans="1:12" x14ac:dyDescent="0.15">
      <c r="A23" s="9" t="s">
        <v>320</v>
      </c>
      <c r="B23" s="9" t="s">
        <v>1859</v>
      </c>
      <c r="C23" s="9" t="s">
        <v>1761</v>
      </c>
      <c r="D23" s="9" t="s">
        <v>1730</v>
      </c>
      <c r="E23" s="30">
        <f t="shared" si="0"/>
        <v>701</v>
      </c>
      <c r="F23" s="20">
        <v>715</v>
      </c>
      <c r="J23" s="17"/>
      <c r="L23" s="17"/>
    </row>
    <row r="24" spans="1:12" x14ac:dyDescent="0.15">
      <c r="A24" s="9" t="s">
        <v>320</v>
      </c>
      <c r="B24" s="9" t="s">
        <v>1859</v>
      </c>
      <c r="C24" s="9" t="s">
        <v>1761</v>
      </c>
      <c r="D24" s="39" t="s">
        <v>1731</v>
      </c>
      <c r="E24" s="30">
        <f t="shared" si="0"/>
        <v>716</v>
      </c>
      <c r="F24" s="37">
        <v>728</v>
      </c>
      <c r="J24" s="17"/>
      <c r="L24" s="17"/>
    </row>
    <row r="25" spans="1:12" x14ac:dyDescent="0.15">
      <c r="A25" s="9" t="s">
        <v>320</v>
      </c>
      <c r="B25" s="9" t="s">
        <v>1859</v>
      </c>
      <c r="C25" s="9" t="s">
        <v>1761</v>
      </c>
      <c r="D25" s="9" t="s">
        <v>1732</v>
      </c>
      <c r="E25" s="30">
        <f t="shared" si="0"/>
        <v>729</v>
      </c>
      <c r="F25" s="20">
        <v>740</v>
      </c>
      <c r="J25" s="17"/>
      <c r="L25" s="17"/>
    </row>
    <row r="26" spans="1:12" x14ac:dyDescent="0.15">
      <c r="A26" s="32" t="s">
        <v>320</v>
      </c>
      <c r="B26" s="32" t="s">
        <v>1854</v>
      </c>
      <c r="C26" s="32" t="s">
        <v>1761</v>
      </c>
      <c r="D26" s="91" t="s">
        <v>499</v>
      </c>
      <c r="E26" s="21">
        <f t="shared" si="0"/>
        <v>741</v>
      </c>
      <c r="F26" s="19">
        <v>840</v>
      </c>
      <c r="G26" s="14">
        <v>0.6</v>
      </c>
      <c r="H26" s="14">
        <v>0.08</v>
      </c>
      <c r="I26" s="14">
        <v>0.4</v>
      </c>
      <c r="J26" s="17">
        <v>0.75</v>
      </c>
      <c r="K26" s="14">
        <v>0.57999999999999996</v>
      </c>
      <c r="L26" s="17">
        <v>0.6</v>
      </c>
    </row>
    <row r="27" spans="1:12" x14ac:dyDescent="0.15">
      <c r="A27" s="9" t="s">
        <v>320</v>
      </c>
      <c r="B27" s="9" t="s">
        <v>1854</v>
      </c>
      <c r="C27" s="9" t="s">
        <v>1761</v>
      </c>
      <c r="D27" s="9" t="s">
        <v>500</v>
      </c>
      <c r="E27" s="30">
        <f t="shared" si="0"/>
        <v>841</v>
      </c>
      <c r="F27" s="20">
        <v>940</v>
      </c>
      <c r="J27" s="17"/>
      <c r="L27" s="17"/>
    </row>
    <row r="28" spans="1:12" x14ac:dyDescent="0.15">
      <c r="A28" s="9" t="s">
        <v>320</v>
      </c>
      <c r="B28" s="9" t="s">
        <v>1854</v>
      </c>
      <c r="C28" s="9" t="s">
        <v>1761</v>
      </c>
      <c r="D28" s="9" t="s">
        <v>501</v>
      </c>
      <c r="E28" s="30">
        <f t="shared" si="0"/>
        <v>941</v>
      </c>
      <c r="F28" s="20">
        <v>1040</v>
      </c>
      <c r="J28" s="17"/>
      <c r="L28" s="17"/>
    </row>
    <row r="29" spans="1:12" x14ac:dyDescent="0.15">
      <c r="A29" s="9" t="s">
        <v>320</v>
      </c>
      <c r="B29" s="9" t="s">
        <v>1854</v>
      </c>
      <c r="C29" s="9" t="s">
        <v>1761</v>
      </c>
      <c r="D29" s="9" t="s">
        <v>1733</v>
      </c>
      <c r="E29" s="30">
        <f t="shared" si="0"/>
        <v>1041</v>
      </c>
      <c r="F29" s="20">
        <v>1120</v>
      </c>
      <c r="J29" s="17"/>
      <c r="L29" s="17"/>
    </row>
    <row r="30" spans="1:12" x14ac:dyDescent="0.15">
      <c r="A30" s="9" t="s">
        <v>320</v>
      </c>
      <c r="B30" s="9" t="s">
        <v>1854</v>
      </c>
      <c r="C30" s="9" t="s">
        <v>1761</v>
      </c>
      <c r="D30" s="9" t="s">
        <v>1734</v>
      </c>
      <c r="E30" s="30">
        <f t="shared" si="0"/>
        <v>1121</v>
      </c>
      <c r="F30" s="20">
        <v>1200</v>
      </c>
      <c r="J30" s="17"/>
      <c r="L30" s="17"/>
    </row>
    <row r="31" spans="1:12" x14ac:dyDescent="0.15">
      <c r="A31" s="9" t="s">
        <v>320</v>
      </c>
      <c r="B31" s="9" t="s">
        <v>1854</v>
      </c>
      <c r="C31" s="9" t="s">
        <v>1761</v>
      </c>
      <c r="D31" s="9" t="s">
        <v>1735</v>
      </c>
      <c r="E31" s="30">
        <f t="shared" si="0"/>
        <v>1201</v>
      </c>
      <c r="F31" s="20">
        <v>1280</v>
      </c>
      <c r="J31" s="17"/>
      <c r="L31" s="17"/>
    </row>
    <row r="32" spans="1:12" x14ac:dyDescent="0.15">
      <c r="A32" s="9" t="s">
        <v>320</v>
      </c>
      <c r="B32" s="9" t="s">
        <v>1854</v>
      </c>
      <c r="C32" s="9" t="s">
        <v>1761</v>
      </c>
      <c r="D32" s="9" t="s">
        <v>640</v>
      </c>
      <c r="E32" s="30">
        <f t="shared" si="0"/>
        <v>1281</v>
      </c>
      <c r="F32" s="20">
        <v>1300</v>
      </c>
      <c r="J32" s="17"/>
      <c r="L32" s="17"/>
    </row>
    <row r="33" spans="1:12" x14ac:dyDescent="0.15">
      <c r="A33" s="32" t="s">
        <v>320</v>
      </c>
      <c r="B33" s="32" t="s">
        <v>1860</v>
      </c>
      <c r="C33" s="32" t="s">
        <v>1762</v>
      </c>
      <c r="D33" s="32" t="s">
        <v>474</v>
      </c>
      <c r="E33" s="21">
        <f t="shared" si="0"/>
        <v>1301</v>
      </c>
      <c r="F33" s="19">
        <v>1340</v>
      </c>
      <c r="G33" s="14">
        <v>0.2</v>
      </c>
      <c r="H33" s="14">
        <v>0.02</v>
      </c>
      <c r="I33" s="14">
        <v>0.1</v>
      </c>
      <c r="J33" s="17">
        <v>0.45</v>
      </c>
      <c r="K33" s="14">
        <v>0.52</v>
      </c>
      <c r="L33" s="17">
        <v>0.35</v>
      </c>
    </row>
    <row r="34" spans="1:12" x14ac:dyDescent="0.15">
      <c r="A34" s="9" t="s">
        <v>320</v>
      </c>
      <c r="B34" s="9" t="s">
        <v>1860</v>
      </c>
      <c r="C34" s="9" t="s">
        <v>1762</v>
      </c>
      <c r="D34" s="9" t="s">
        <v>475</v>
      </c>
      <c r="E34" s="30">
        <f t="shared" si="0"/>
        <v>1341</v>
      </c>
      <c r="F34" s="20">
        <v>1375</v>
      </c>
      <c r="J34" s="17"/>
      <c r="L34" s="17"/>
    </row>
    <row r="35" spans="1:12" x14ac:dyDescent="0.15">
      <c r="A35" s="9" t="s">
        <v>320</v>
      </c>
      <c r="B35" s="9" t="s">
        <v>1860</v>
      </c>
      <c r="C35" s="9" t="s">
        <v>1762</v>
      </c>
      <c r="D35" s="9" t="s">
        <v>476</v>
      </c>
      <c r="E35" s="30">
        <f t="shared" si="0"/>
        <v>1376</v>
      </c>
      <c r="F35" s="20">
        <v>1410</v>
      </c>
      <c r="J35" s="17"/>
      <c r="L35" s="17"/>
    </row>
    <row r="36" spans="1:12" x14ac:dyDescent="0.15">
      <c r="A36" s="9" t="s">
        <v>320</v>
      </c>
      <c r="B36" s="9" t="s">
        <v>1860</v>
      </c>
      <c r="C36" s="9" t="s">
        <v>1762</v>
      </c>
      <c r="D36" s="9" t="s">
        <v>477</v>
      </c>
      <c r="E36" s="30">
        <f t="shared" si="0"/>
        <v>1411</v>
      </c>
      <c r="F36" s="20">
        <v>1440</v>
      </c>
      <c r="J36" s="17"/>
      <c r="L36" s="17"/>
    </row>
    <row r="37" spans="1:12" x14ac:dyDescent="0.15">
      <c r="A37" s="9" t="s">
        <v>320</v>
      </c>
      <c r="B37" s="9" t="s">
        <v>1860</v>
      </c>
      <c r="C37" s="9" t="s">
        <v>1762</v>
      </c>
      <c r="D37" s="39" t="s">
        <v>478</v>
      </c>
      <c r="E37" s="30">
        <f t="shared" si="0"/>
        <v>1441</v>
      </c>
      <c r="F37" s="37">
        <v>1470</v>
      </c>
      <c r="J37" s="17"/>
      <c r="L37" s="17"/>
    </row>
    <row r="38" spans="1:12" x14ac:dyDescent="0.15">
      <c r="A38" s="9" t="s">
        <v>320</v>
      </c>
      <c r="B38" s="9" t="s">
        <v>1860</v>
      </c>
      <c r="C38" s="9" t="s">
        <v>1762</v>
      </c>
      <c r="D38" s="9" t="s">
        <v>479</v>
      </c>
      <c r="E38" s="30">
        <f t="shared" si="0"/>
        <v>1471</v>
      </c>
      <c r="F38" s="20">
        <v>1500</v>
      </c>
      <c r="J38" s="17"/>
      <c r="L38" s="17"/>
    </row>
    <row r="39" spans="1:12" x14ac:dyDescent="0.15">
      <c r="A39" s="9" t="s">
        <v>320</v>
      </c>
      <c r="B39" s="9" t="s">
        <v>1860</v>
      </c>
      <c r="C39" s="9" t="s">
        <v>1762</v>
      </c>
      <c r="D39" s="9" t="s">
        <v>1736</v>
      </c>
      <c r="E39" s="30">
        <f t="shared" si="0"/>
        <v>1501</v>
      </c>
      <c r="F39" s="20">
        <v>1525</v>
      </c>
      <c r="J39" s="17"/>
      <c r="L39" s="17"/>
    </row>
    <row r="40" spans="1:12" x14ac:dyDescent="0.15">
      <c r="A40" s="9" t="s">
        <v>320</v>
      </c>
      <c r="B40" s="9" t="s">
        <v>1860</v>
      </c>
      <c r="C40" s="9" t="s">
        <v>1762</v>
      </c>
      <c r="D40" s="9" t="s">
        <v>1738</v>
      </c>
      <c r="E40" s="30">
        <f t="shared" si="0"/>
        <v>1526</v>
      </c>
      <c r="F40" s="20">
        <v>1540</v>
      </c>
      <c r="J40" s="17"/>
      <c r="L40" s="17"/>
    </row>
    <row r="41" spans="1:12" x14ac:dyDescent="0.15">
      <c r="A41" s="9" t="s">
        <v>320</v>
      </c>
      <c r="B41" s="9" t="s">
        <v>1860</v>
      </c>
      <c r="C41" s="9" t="s">
        <v>1762</v>
      </c>
      <c r="D41" s="9" t="s">
        <v>1737</v>
      </c>
      <c r="E41" s="30">
        <f t="shared" si="0"/>
        <v>1541</v>
      </c>
      <c r="F41" s="20">
        <v>1550</v>
      </c>
      <c r="J41" s="17"/>
      <c r="L41" s="17"/>
    </row>
    <row r="42" spans="1:12" x14ac:dyDescent="0.15">
      <c r="A42" s="32" t="s">
        <v>320</v>
      </c>
      <c r="B42" s="32" t="s">
        <v>1855</v>
      </c>
      <c r="C42" s="32" t="s">
        <v>1855</v>
      </c>
      <c r="D42" s="32" t="s">
        <v>483</v>
      </c>
      <c r="E42" s="21">
        <f t="shared" si="0"/>
        <v>1551</v>
      </c>
      <c r="F42" s="19">
        <v>1620</v>
      </c>
      <c r="G42" s="14">
        <v>0.05</v>
      </c>
      <c r="H42" s="14">
        <v>5.0000000000000001E-3</v>
      </c>
      <c r="I42" s="14">
        <v>0.02</v>
      </c>
      <c r="J42" s="17">
        <v>0.3</v>
      </c>
      <c r="K42" s="14">
        <v>0.4</v>
      </c>
      <c r="L42" s="17">
        <v>0.15</v>
      </c>
    </row>
    <row r="43" spans="1:12" x14ac:dyDescent="0.15">
      <c r="A43" s="9" t="s">
        <v>320</v>
      </c>
      <c r="B43" s="9" t="s">
        <v>1855</v>
      </c>
      <c r="C43" s="9" t="s">
        <v>1855</v>
      </c>
      <c r="D43" s="9" t="s">
        <v>1739</v>
      </c>
      <c r="E43" s="30">
        <f t="shared" si="0"/>
        <v>1621</v>
      </c>
      <c r="F43" s="20">
        <v>1640</v>
      </c>
      <c r="G43" s="24"/>
      <c r="H43" s="24"/>
      <c r="I43" s="24"/>
      <c r="J43" s="17"/>
      <c r="L43" s="17"/>
    </row>
    <row r="44" spans="1:12" x14ac:dyDescent="0.15">
      <c r="A44" s="9" t="s">
        <v>320</v>
      </c>
      <c r="B44" s="9" t="s">
        <v>1855</v>
      </c>
      <c r="C44" s="9" t="s">
        <v>1855</v>
      </c>
      <c r="D44" s="9" t="s">
        <v>456</v>
      </c>
      <c r="E44" s="30">
        <f t="shared" si="0"/>
        <v>1641</v>
      </c>
      <c r="F44" s="20">
        <v>1650</v>
      </c>
      <c r="J44" s="18"/>
      <c r="L44" s="18"/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C951-7FF2-4EA1-991B-58F76BFAC951}">
  <sheetPr>
    <tabColor rgb="FFFFFF00"/>
  </sheetPr>
  <dimension ref="A1:L44"/>
  <sheetViews>
    <sheetView workbookViewId="0">
      <selection activeCell="D13" sqref="D13"/>
    </sheetView>
  </sheetViews>
  <sheetFormatPr defaultRowHeight="10.5" x14ac:dyDescent="0.15"/>
  <cols>
    <col min="1" max="1" width="12.42578125" style="9" customWidth="1"/>
    <col min="2" max="2" width="30.5703125" style="9" bestFit="1" customWidth="1"/>
    <col min="3" max="3" width="12.7109375" style="9" customWidth="1"/>
    <col min="4" max="4" width="78.5703125" style="9" bestFit="1" customWidth="1"/>
    <col min="5" max="5" width="11.140625" style="10" customWidth="1"/>
    <col min="6" max="6" width="9.85546875" style="10" customWidth="1"/>
    <col min="7" max="9" width="15" style="13" customWidth="1"/>
    <col min="10" max="10" width="16.42578125" style="13" customWidth="1"/>
    <col min="11" max="11" width="12.85546875" style="13" customWidth="1"/>
    <col min="12" max="12" width="14.5703125" style="9" bestFit="1" customWidth="1"/>
    <col min="13" max="16384" width="9.140625" style="9"/>
  </cols>
  <sheetData>
    <row r="1" spans="1:12" x14ac:dyDescent="0.15">
      <c r="A1" s="78" t="s">
        <v>1753</v>
      </c>
      <c r="B1" s="79" t="s">
        <v>1846</v>
      </c>
      <c r="C1" s="79" t="s">
        <v>1758</v>
      </c>
      <c r="D1" s="80" t="s">
        <v>1847</v>
      </c>
      <c r="E1" s="81" t="s">
        <v>1802</v>
      </c>
      <c r="F1" s="81" t="s">
        <v>1803</v>
      </c>
      <c r="G1" s="82" t="s">
        <v>584</v>
      </c>
      <c r="H1" s="82" t="s">
        <v>585</v>
      </c>
      <c r="I1" s="83" t="s">
        <v>586</v>
      </c>
      <c r="J1" s="82" t="s">
        <v>587</v>
      </c>
      <c r="K1" s="84" t="s">
        <v>588</v>
      </c>
      <c r="L1" s="82" t="s">
        <v>2348</v>
      </c>
    </row>
    <row r="2" spans="1:12" x14ac:dyDescent="0.15">
      <c r="A2" s="77" t="s">
        <v>696</v>
      </c>
      <c r="B2" s="23" t="s">
        <v>1759</v>
      </c>
      <c r="C2" s="38" t="s">
        <v>1759</v>
      </c>
      <c r="D2" s="74" t="s">
        <v>373</v>
      </c>
      <c r="E2" s="21">
        <v>0</v>
      </c>
      <c r="F2" s="19">
        <v>10</v>
      </c>
      <c r="G2" s="15">
        <v>0.05</v>
      </c>
      <c r="H2" s="14">
        <v>0.01</v>
      </c>
      <c r="I2" s="14">
        <v>0.05</v>
      </c>
      <c r="J2" s="17">
        <v>0.28000000000000003</v>
      </c>
      <c r="K2" s="14">
        <v>0.4</v>
      </c>
      <c r="L2" s="17">
        <v>0.9</v>
      </c>
    </row>
    <row r="3" spans="1:12" x14ac:dyDescent="0.15">
      <c r="A3" s="25" t="s">
        <v>696</v>
      </c>
      <c r="B3" s="73" t="s">
        <v>1759</v>
      </c>
      <c r="C3" s="27" t="s">
        <v>1759</v>
      </c>
      <c r="D3" s="75" t="s">
        <v>374</v>
      </c>
      <c r="E3" s="30">
        <f>F2+1</f>
        <v>11</v>
      </c>
      <c r="F3" s="20">
        <v>40</v>
      </c>
      <c r="G3" s="16"/>
      <c r="J3" s="22"/>
      <c r="L3" s="17"/>
    </row>
    <row r="4" spans="1:12" x14ac:dyDescent="0.15">
      <c r="A4" s="25" t="s">
        <v>696</v>
      </c>
      <c r="B4" s="73" t="s">
        <v>1759</v>
      </c>
      <c r="C4" s="27" t="s">
        <v>1759</v>
      </c>
      <c r="D4" s="75" t="s">
        <v>375</v>
      </c>
      <c r="E4" s="30">
        <f t="shared" ref="E4:E44" si="0">F3+1</f>
        <v>41</v>
      </c>
      <c r="F4" s="20">
        <v>70</v>
      </c>
      <c r="G4" s="16"/>
      <c r="J4" s="22"/>
      <c r="L4" s="17"/>
    </row>
    <row r="5" spans="1:12" x14ac:dyDescent="0.15">
      <c r="A5" s="25" t="s">
        <v>696</v>
      </c>
      <c r="B5" s="73" t="s">
        <v>1759</v>
      </c>
      <c r="C5" s="27" t="s">
        <v>1759</v>
      </c>
      <c r="D5" s="75" t="s">
        <v>376</v>
      </c>
      <c r="E5" s="30">
        <f t="shared" si="0"/>
        <v>71</v>
      </c>
      <c r="F5" s="20">
        <v>95</v>
      </c>
      <c r="G5" s="16"/>
      <c r="J5" s="22"/>
      <c r="L5" s="17"/>
    </row>
    <row r="6" spans="1:12" x14ac:dyDescent="0.15">
      <c r="A6" s="25" t="s">
        <v>696</v>
      </c>
      <c r="B6" s="73" t="s">
        <v>1759</v>
      </c>
      <c r="C6" s="27" t="s">
        <v>1759</v>
      </c>
      <c r="D6" s="75" t="s">
        <v>377</v>
      </c>
      <c r="E6" s="30">
        <f t="shared" si="0"/>
        <v>96</v>
      </c>
      <c r="F6" s="20">
        <v>110</v>
      </c>
      <c r="G6" s="16"/>
      <c r="J6" s="22"/>
      <c r="L6" s="17"/>
    </row>
    <row r="7" spans="1:12" x14ac:dyDescent="0.15">
      <c r="A7" s="25" t="s">
        <v>696</v>
      </c>
      <c r="B7" s="73" t="s">
        <v>1759</v>
      </c>
      <c r="C7" s="27" t="s">
        <v>1759</v>
      </c>
      <c r="D7" s="75" t="s">
        <v>378</v>
      </c>
      <c r="E7" s="30">
        <f t="shared" si="0"/>
        <v>111</v>
      </c>
      <c r="F7" s="20">
        <v>120</v>
      </c>
      <c r="G7" s="16"/>
      <c r="J7" s="22"/>
      <c r="L7" s="17"/>
    </row>
    <row r="8" spans="1:12" x14ac:dyDescent="0.15">
      <c r="A8" s="25" t="s">
        <v>696</v>
      </c>
      <c r="B8" s="73" t="s">
        <v>1759</v>
      </c>
      <c r="C8" s="27" t="s">
        <v>1759</v>
      </c>
      <c r="D8" s="75" t="s">
        <v>379</v>
      </c>
      <c r="E8" s="30">
        <f t="shared" si="0"/>
        <v>121</v>
      </c>
      <c r="F8" s="20">
        <v>150</v>
      </c>
      <c r="G8" s="16"/>
      <c r="J8" s="22"/>
      <c r="L8" s="17"/>
    </row>
    <row r="9" spans="1:12" x14ac:dyDescent="0.15">
      <c r="A9" s="77" t="s">
        <v>696</v>
      </c>
      <c r="B9" s="23" t="s">
        <v>1848</v>
      </c>
      <c r="C9" s="38" t="s">
        <v>1760</v>
      </c>
      <c r="D9" s="74" t="s">
        <v>380</v>
      </c>
      <c r="E9" s="21">
        <f t="shared" si="0"/>
        <v>151</v>
      </c>
      <c r="F9" s="19">
        <v>165</v>
      </c>
      <c r="G9" s="15">
        <v>0.55000000000000004</v>
      </c>
      <c r="H9" s="14">
        <v>0.08</v>
      </c>
      <c r="I9" s="14">
        <v>0.65</v>
      </c>
      <c r="J9" s="17">
        <v>0.55000000000000004</v>
      </c>
      <c r="K9" s="14">
        <v>0.5</v>
      </c>
      <c r="L9" s="17">
        <v>1</v>
      </c>
    </row>
    <row r="10" spans="1:12" x14ac:dyDescent="0.15">
      <c r="A10" s="25" t="s">
        <v>696</v>
      </c>
      <c r="B10" s="73" t="s">
        <v>1848</v>
      </c>
      <c r="C10" s="27" t="s">
        <v>1760</v>
      </c>
      <c r="D10" s="75" t="s">
        <v>381</v>
      </c>
      <c r="E10" s="30">
        <f t="shared" si="0"/>
        <v>166</v>
      </c>
      <c r="F10" s="20">
        <v>240</v>
      </c>
      <c r="G10" s="16"/>
      <c r="J10" s="22"/>
      <c r="L10" s="17"/>
    </row>
    <row r="11" spans="1:12" x14ac:dyDescent="0.15">
      <c r="A11" s="25" t="s">
        <v>696</v>
      </c>
      <c r="B11" s="73" t="s">
        <v>1848</v>
      </c>
      <c r="C11" s="27" t="s">
        <v>1760</v>
      </c>
      <c r="D11" s="75" t="s">
        <v>382</v>
      </c>
      <c r="E11" s="30">
        <f t="shared" si="0"/>
        <v>241</v>
      </c>
      <c r="F11" s="20">
        <v>315</v>
      </c>
      <c r="G11" s="16"/>
      <c r="J11" s="22"/>
      <c r="L11" s="17"/>
    </row>
    <row r="12" spans="1:12" x14ac:dyDescent="0.15">
      <c r="A12" s="25" t="s">
        <v>696</v>
      </c>
      <c r="B12" s="73" t="s">
        <v>1848</v>
      </c>
      <c r="C12" s="27" t="s">
        <v>1760</v>
      </c>
      <c r="D12" s="76" t="s">
        <v>383</v>
      </c>
      <c r="E12" s="30">
        <f t="shared" si="0"/>
        <v>316</v>
      </c>
      <c r="F12" s="20">
        <v>390</v>
      </c>
      <c r="G12" s="16"/>
      <c r="J12" s="22"/>
      <c r="L12" s="17"/>
    </row>
    <row r="13" spans="1:12" x14ac:dyDescent="0.15">
      <c r="A13" s="25" t="s">
        <v>696</v>
      </c>
      <c r="B13" s="73" t="s">
        <v>1848</v>
      </c>
      <c r="C13" s="27" t="s">
        <v>1760</v>
      </c>
      <c r="D13" s="75" t="s">
        <v>384</v>
      </c>
      <c r="E13" s="30">
        <f t="shared" si="0"/>
        <v>391</v>
      </c>
      <c r="F13" s="20">
        <v>620</v>
      </c>
      <c r="G13" s="16"/>
      <c r="J13" s="22"/>
      <c r="L13" s="17"/>
    </row>
    <row r="14" spans="1:12" x14ac:dyDescent="0.15">
      <c r="A14" s="77" t="s">
        <v>696</v>
      </c>
      <c r="B14" s="23" t="s">
        <v>1849</v>
      </c>
      <c r="C14" s="38" t="s">
        <v>1760</v>
      </c>
      <c r="D14" s="74" t="s">
        <v>385</v>
      </c>
      <c r="E14" s="21">
        <f t="shared" si="0"/>
        <v>621</v>
      </c>
      <c r="F14" s="19">
        <v>660</v>
      </c>
      <c r="G14" s="15">
        <v>1</v>
      </c>
      <c r="H14" s="14">
        <v>0.18</v>
      </c>
      <c r="I14" s="14">
        <v>1.1499999999999999</v>
      </c>
      <c r="J14" s="17">
        <v>0.75</v>
      </c>
      <c r="K14" s="14">
        <v>0.57999999999999996</v>
      </c>
      <c r="L14" s="17">
        <v>0.8</v>
      </c>
    </row>
    <row r="15" spans="1:12" x14ac:dyDescent="0.15">
      <c r="A15" s="25" t="s">
        <v>696</v>
      </c>
      <c r="B15" s="73" t="s">
        <v>1849</v>
      </c>
      <c r="C15" s="27" t="s">
        <v>1760</v>
      </c>
      <c r="D15" s="75" t="s">
        <v>386</v>
      </c>
      <c r="E15" s="30">
        <f t="shared" si="0"/>
        <v>661</v>
      </c>
      <c r="F15" s="20">
        <v>700</v>
      </c>
      <c r="G15" s="16"/>
      <c r="J15" s="22"/>
      <c r="L15" s="17"/>
    </row>
    <row r="16" spans="1:12" x14ac:dyDescent="0.15">
      <c r="A16" s="25" t="s">
        <v>696</v>
      </c>
      <c r="B16" s="73" t="s">
        <v>1849</v>
      </c>
      <c r="C16" s="27" t="s">
        <v>1760</v>
      </c>
      <c r="D16" s="75" t="s">
        <v>387</v>
      </c>
      <c r="E16" s="30">
        <f t="shared" si="0"/>
        <v>701</v>
      </c>
      <c r="F16" s="20">
        <v>740</v>
      </c>
      <c r="G16" s="16"/>
      <c r="J16" s="22"/>
      <c r="L16" s="17"/>
    </row>
    <row r="17" spans="1:12" x14ac:dyDescent="0.15">
      <c r="A17" s="25" t="s">
        <v>696</v>
      </c>
      <c r="B17" s="73" t="s">
        <v>1849</v>
      </c>
      <c r="C17" s="27" t="s">
        <v>1760</v>
      </c>
      <c r="D17" s="75" t="s">
        <v>388</v>
      </c>
      <c r="E17" s="30">
        <f t="shared" si="0"/>
        <v>741</v>
      </c>
      <c r="F17" s="20">
        <v>780</v>
      </c>
      <c r="G17" s="16"/>
      <c r="J17" s="22"/>
      <c r="L17" s="17"/>
    </row>
    <row r="18" spans="1:12" x14ac:dyDescent="0.15">
      <c r="A18" s="25" t="s">
        <v>696</v>
      </c>
      <c r="B18" s="73" t="s">
        <v>1849</v>
      </c>
      <c r="C18" s="27" t="s">
        <v>1760</v>
      </c>
      <c r="D18" s="75" t="s">
        <v>389</v>
      </c>
      <c r="E18" s="30">
        <f t="shared" si="0"/>
        <v>781</v>
      </c>
      <c r="F18" s="20">
        <v>800</v>
      </c>
      <c r="G18" s="16"/>
      <c r="J18" s="22"/>
      <c r="L18" s="17"/>
    </row>
    <row r="19" spans="1:12" x14ac:dyDescent="0.15">
      <c r="A19" s="77" t="s">
        <v>696</v>
      </c>
      <c r="B19" s="23" t="s">
        <v>1850</v>
      </c>
      <c r="C19" s="38" t="s">
        <v>1760</v>
      </c>
      <c r="D19" s="74" t="s">
        <v>1856</v>
      </c>
      <c r="E19" s="21">
        <f t="shared" si="0"/>
        <v>801</v>
      </c>
      <c r="F19" s="19">
        <v>830</v>
      </c>
      <c r="G19" s="15">
        <v>1.65</v>
      </c>
      <c r="H19" s="14">
        <v>0.3</v>
      </c>
      <c r="I19" s="14">
        <v>2.0499999999999998</v>
      </c>
      <c r="J19" s="17">
        <v>0.95</v>
      </c>
      <c r="K19" s="14">
        <v>0.6</v>
      </c>
      <c r="L19" s="17">
        <v>0.7</v>
      </c>
    </row>
    <row r="20" spans="1:12" x14ac:dyDescent="0.15">
      <c r="A20" s="25" t="s">
        <v>696</v>
      </c>
      <c r="B20" s="73" t="s">
        <v>1850</v>
      </c>
      <c r="C20" s="27" t="s">
        <v>1760</v>
      </c>
      <c r="D20" s="75" t="s">
        <v>390</v>
      </c>
      <c r="E20" s="30">
        <f t="shared" si="0"/>
        <v>831</v>
      </c>
      <c r="F20" s="20">
        <v>870</v>
      </c>
      <c r="G20" s="16"/>
      <c r="J20" s="22"/>
      <c r="L20" s="17"/>
    </row>
    <row r="21" spans="1:12" x14ac:dyDescent="0.15">
      <c r="A21" s="25" t="s">
        <v>696</v>
      </c>
      <c r="B21" s="73" t="s">
        <v>1850</v>
      </c>
      <c r="C21" s="27" t="s">
        <v>1760</v>
      </c>
      <c r="D21" s="75" t="s">
        <v>391</v>
      </c>
      <c r="E21" s="30">
        <f t="shared" si="0"/>
        <v>871</v>
      </c>
      <c r="F21" s="20">
        <v>910</v>
      </c>
      <c r="G21" s="16"/>
      <c r="J21" s="22"/>
      <c r="L21" s="17"/>
    </row>
    <row r="22" spans="1:12" x14ac:dyDescent="0.15">
      <c r="A22" s="25" t="s">
        <v>696</v>
      </c>
      <c r="B22" s="73" t="s">
        <v>1850</v>
      </c>
      <c r="C22" s="27" t="s">
        <v>1760</v>
      </c>
      <c r="D22" s="75" t="s">
        <v>392</v>
      </c>
      <c r="E22" s="30">
        <f t="shared" si="0"/>
        <v>911</v>
      </c>
      <c r="F22" s="20">
        <v>940</v>
      </c>
      <c r="G22" s="16"/>
      <c r="J22" s="22"/>
      <c r="L22" s="17"/>
    </row>
    <row r="23" spans="1:12" x14ac:dyDescent="0.15">
      <c r="A23" s="25" t="s">
        <v>696</v>
      </c>
      <c r="B23" s="73" t="s">
        <v>1850</v>
      </c>
      <c r="C23" s="27" t="s">
        <v>1760</v>
      </c>
      <c r="D23" s="75" t="s">
        <v>393</v>
      </c>
      <c r="E23" s="30">
        <f t="shared" si="0"/>
        <v>941</v>
      </c>
      <c r="F23" s="20">
        <v>960</v>
      </c>
      <c r="G23" s="16"/>
      <c r="J23" s="22"/>
      <c r="L23" s="17"/>
    </row>
    <row r="24" spans="1:12" x14ac:dyDescent="0.15">
      <c r="A24" s="25" t="s">
        <v>696</v>
      </c>
      <c r="B24" s="73" t="s">
        <v>1850</v>
      </c>
      <c r="C24" s="27" t="s">
        <v>1760</v>
      </c>
      <c r="D24" s="75" t="s">
        <v>394</v>
      </c>
      <c r="E24" s="30">
        <f t="shared" si="0"/>
        <v>961</v>
      </c>
      <c r="F24" s="20">
        <v>980</v>
      </c>
      <c r="G24" s="16"/>
      <c r="J24" s="22"/>
      <c r="L24" s="17"/>
    </row>
    <row r="25" spans="1:12" x14ac:dyDescent="0.15">
      <c r="A25" s="77" t="s">
        <v>696</v>
      </c>
      <c r="B25" s="23" t="s">
        <v>1851</v>
      </c>
      <c r="C25" s="38" t="s">
        <v>1760</v>
      </c>
      <c r="D25" s="74" t="s">
        <v>395</v>
      </c>
      <c r="E25" s="21">
        <f t="shared" si="0"/>
        <v>981</v>
      </c>
      <c r="F25" s="19">
        <v>1010</v>
      </c>
      <c r="G25" s="15">
        <v>1.95</v>
      </c>
      <c r="H25" s="14">
        <v>0.4</v>
      </c>
      <c r="I25" s="14">
        <v>2.4</v>
      </c>
      <c r="J25" s="17">
        <v>1</v>
      </c>
      <c r="K25" s="14">
        <v>0.6</v>
      </c>
      <c r="L25" s="17">
        <v>0.8</v>
      </c>
    </row>
    <row r="26" spans="1:12" x14ac:dyDescent="0.15">
      <c r="A26" s="25" t="s">
        <v>696</v>
      </c>
      <c r="B26" s="73" t="s">
        <v>1851</v>
      </c>
      <c r="C26" s="27" t="s">
        <v>1760</v>
      </c>
      <c r="D26" s="75" t="s">
        <v>396</v>
      </c>
      <c r="E26" s="30">
        <f t="shared" si="0"/>
        <v>1011</v>
      </c>
      <c r="F26" s="20">
        <v>1040</v>
      </c>
      <c r="G26" s="16"/>
      <c r="J26" s="22"/>
      <c r="L26" s="17"/>
    </row>
    <row r="27" spans="1:12" x14ac:dyDescent="0.15">
      <c r="A27" s="25" t="s">
        <v>696</v>
      </c>
      <c r="B27" s="73" t="s">
        <v>1851</v>
      </c>
      <c r="C27" s="27" t="s">
        <v>1760</v>
      </c>
      <c r="D27" s="75" t="s">
        <v>397</v>
      </c>
      <c r="E27" s="30">
        <f t="shared" si="0"/>
        <v>1041</v>
      </c>
      <c r="F27" s="20">
        <v>1060</v>
      </c>
      <c r="G27" s="16"/>
      <c r="J27" s="22"/>
      <c r="L27" s="17"/>
    </row>
    <row r="28" spans="1:12" x14ac:dyDescent="0.15">
      <c r="A28" s="77" t="s">
        <v>696</v>
      </c>
      <c r="B28" s="23" t="s">
        <v>1852</v>
      </c>
      <c r="C28" s="38" t="s">
        <v>1761</v>
      </c>
      <c r="D28" s="74" t="s">
        <v>398</v>
      </c>
      <c r="E28" s="21">
        <f t="shared" si="0"/>
        <v>1061</v>
      </c>
      <c r="F28" s="19">
        <v>1110</v>
      </c>
      <c r="G28" s="15">
        <v>1.85</v>
      </c>
      <c r="H28" s="14">
        <v>0.36</v>
      </c>
      <c r="I28" s="14">
        <v>2.2000000000000002</v>
      </c>
      <c r="J28" s="17">
        <v>1.05</v>
      </c>
      <c r="K28" s="14">
        <v>0.57999999999999996</v>
      </c>
      <c r="L28" s="17">
        <v>1</v>
      </c>
    </row>
    <row r="29" spans="1:12" x14ac:dyDescent="0.15">
      <c r="A29" s="25" t="s">
        <v>696</v>
      </c>
      <c r="B29" s="73" t="s">
        <v>1852</v>
      </c>
      <c r="C29" s="27" t="s">
        <v>1761</v>
      </c>
      <c r="D29" s="75" t="s">
        <v>399</v>
      </c>
      <c r="E29" s="30">
        <f t="shared" si="0"/>
        <v>1111</v>
      </c>
      <c r="F29" s="20">
        <v>1140</v>
      </c>
      <c r="G29" s="16"/>
      <c r="J29" s="22"/>
      <c r="L29" s="17"/>
    </row>
    <row r="30" spans="1:12" x14ac:dyDescent="0.15">
      <c r="A30" s="25" t="s">
        <v>696</v>
      </c>
      <c r="B30" s="73" t="s">
        <v>1852</v>
      </c>
      <c r="C30" s="27" t="s">
        <v>1761</v>
      </c>
      <c r="D30" s="75" t="s">
        <v>400</v>
      </c>
      <c r="E30" s="30">
        <f t="shared" si="0"/>
        <v>1141</v>
      </c>
      <c r="F30" s="20">
        <v>1160</v>
      </c>
      <c r="G30" s="16"/>
      <c r="J30" s="22"/>
      <c r="L30" s="17"/>
    </row>
    <row r="31" spans="1:12" x14ac:dyDescent="0.15">
      <c r="A31" s="77" t="s">
        <v>696</v>
      </c>
      <c r="B31" s="23" t="s">
        <v>1853</v>
      </c>
      <c r="C31" s="38" t="s">
        <v>1761</v>
      </c>
      <c r="D31" s="74" t="s">
        <v>401</v>
      </c>
      <c r="E31" s="21">
        <f t="shared" si="0"/>
        <v>1161</v>
      </c>
      <c r="F31" s="19">
        <v>1210</v>
      </c>
      <c r="G31" s="15">
        <v>1.55</v>
      </c>
      <c r="H31" s="14">
        <v>0.3</v>
      </c>
      <c r="I31" s="14">
        <v>1.9</v>
      </c>
      <c r="J31" s="17">
        <v>1.1000000000000001</v>
      </c>
      <c r="K31" s="14">
        <v>0.56000000000000005</v>
      </c>
      <c r="L31" s="17">
        <v>1</v>
      </c>
    </row>
    <row r="32" spans="1:12" x14ac:dyDescent="0.15">
      <c r="A32" s="25" t="s">
        <v>696</v>
      </c>
      <c r="B32" s="73" t="s">
        <v>1853</v>
      </c>
      <c r="C32" s="27" t="s">
        <v>1761</v>
      </c>
      <c r="D32" s="76" t="s">
        <v>402</v>
      </c>
      <c r="E32" s="30">
        <f t="shared" si="0"/>
        <v>1211</v>
      </c>
      <c r="F32" s="20">
        <v>1240</v>
      </c>
      <c r="G32" s="16"/>
      <c r="J32" s="22"/>
      <c r="L32" s="17"/>
    </row>
    <row r="33" spans="1:12" x14ac:dyDescent="0.15">
      <c r="A33" s="25" t="s">
        <v>696</v>
      </c>
      <c r="B33" s="73" t="s">
        <v>1853</v>
      </c>
      <c r="C33" s="27" t="s">
        <v>1761</v>
      </c>
      <c r="D33" s="75" t="s">
        <v>403</v>
      </c>
      <c r="E33" s="30">
        <f t="shared" si="0"/>
        <v>1241</v>
      </c>
      <c r="F33" s="20">
        <v>1260</v>
      </c>
      <c r="G33" s="16"/>
      <c r="J33" s="22"/>
      <c r="L33" s="17"/>
    </row>
    <row r="34" spans="1:12" x14ac:dyDescent="0.15">
      <c r="A34" s="77" t="s">
        <v>696</v>
      </c>
      <c r="B34" s="23" t="s">
        <v>1854</v>
      </c>
      <c r="C34" s="38" t="s">
        <v>1761</v>
      </c>
      <c r="D34" s="74" t="s">
        <v>404</v>
      </c>
      <c r="E34" s="21">
        <f t="shared" si="0"/>
        <v>1261</v>
      </c>
      <c r="F34" s="19">
        <v>1320</v>
      </c>
      <c r="G34" s="15">
        <v>1.1000000000000001</v>
      </c>
      <c r="H34" s="14">
        <v>0.16</v>
      </c>
      <c r="I34" s="14">
        <v>1.2</v>
      </c>
      <c r="J34" s="17">
        <v>0.9</v>
      </c>
      <c r="K34" s="14">
        <v>0.5</v>
      </c>
      <c r="L34" s="17">
        <v>0.9</v>
      </c>
    </row>
    <row r="35" spans="1:12" x14ac:dyDescent="0.15">
      <c r="A35" s="25" t="s">
        <v>696</v>
      </c>
      <c r="B35" s="73" t="s">
        <v>1854</v>
      </c>
      <c r="C35" s="27" t="s">
        <v>1761</v>
      </c>
      <c r="D35" s="75" t="s">
        <v>405</v>
      </c>
      <c r="E35" s="30">
        <f t="shared" si="0"/>
        <v>1321</v>
      </c>
      <c r="F35" s="20">
        <v>1380</v>
      </c>
      <c r="G35" s="16"/>
      <c r="J35" s="22"/>
      <c r="L35" s="17"/>
    </row>
    <row r="36" spans="1:12" x14ac:dyDescent="0.15">
      <c r="A36" s="25" t="s">
        <v>696</v>
      </c>
      <c r="B36" s="73" t="s">
        <v>1854</v>
      </c>
      <c r="C36" s="27" t="s">
        <v>1761</v>
      </c>
      <c r="D36" s="75" t="s">
        <v>406</v>
      </c>
      <c r="E36" s="30">
        <f t="shared" si="0"/>
        <v>1381</v>
      </c>
      <c r="F36" s="20">
        <v>1420</v>
      </c>
      <c r="G36" s="16"/>
      <c r="J36" s="22"/>
      <c r="L36" s="17"/>
    </row>
    <row r="37" spans="1:12" x14ac:dyDescent="0.15">
      <c r="A37" s="25" t="s">
        <v>696</v>
      </c>
      <c r="B37" s="73" t="s">
        <v>1854</v>
      </c>
      <c r="C37" s="27" t="s">
        <v>1761</v>
      </c>
      <c r="D37" s="75" t="s">
        <v>407</v>
      </c>
      <c r="E37" s="30">
        <f t="shared" si="0"/>
        <v>1421</v>
      </c>
      <c r="F37" s="20">
        <v>1460</v>
      </c>
      <c r="G37" s="16"/>
      <c r="J37" s="22"/>
      <c r="L37" s="17"/>
    </row>
    <row r="38" spans="1:12" x14ac:dyDescent="0.15">
      <c r="A38" s="25" t="s">
        <v>696</v>
      </c>
      <c r="B38" s="73" t="s">
        <v>1854</v>
      </c>
      <c r="C38" s="27" t="s">
        <v>1761</v>
      </c>
      <c r="D38" s="75" t="s">
        <v>408</v>
      </c>
      <c r="E38" s="30">
        <f t="shared" si="0"/>
        <v>1461</v>
      </c>
      <c r="F38" s="20">
        <v>1500</v>
      </c>
      <c r="G38" s="16"/>
      <c r="J38" s="22"/>
      <c r="L38" s="17"/>
    </row>
    <row r="39" spans="1:12" x14ac:dyDescent="0.15">
      <c r="A39" s="77" t="s">
        <v>696</v>
      </c>
      <c r="B39" s="23" t="s">
        <v>1762</v>
      </c>
      <c r="C39" s="38" t="s">
        <v>1762</v>
      </c>
      <c r="D39" s="74" t="s">
        <v>409</v>
      </c>
      <c r="E39" s="21">
        <f t="shared" si="0"/>
        <v>1501</v>
      </c>
      <c r="F39" s="19">
        <v>1560</v>
      </c>
      <c r="G39" s="15">
        <v>0.4</v>
      </c>
      <c r="H39" s="14">
        <v>0.05</v>
      </c>
      <c r="I39" s="14">
        <v>0.4</v>
      </c>
      <c r="J39" s="17">
        <v>0.65</v>
      </c>
      <c r="K39" s="14">
        <v>0.48</v>
      </c>
      <c r="L39" s="17">
        <v>0.4</v>
      </c>
    </row>
    <row r="40" spans="1:12" x14ac:dyDescent="0.15">
      <c r="A40" s="25" t="s">
        <v>696</v>
      </c>
      <c r="B40" s="73" t="s">
        <v>1762</v>
      </c>
      <c r="C40" s="27" t="s">
        <v>1762</v>
      </c>
      <c r="D40" s="75" t="s">
        <v>410</v>
      </c>
      <c r="E40" s="30">
        <f t="shared" si="0"/>
        <v>1561</v>
      </c>
      <c r="F40" s="20">
        <v>1620</v>
      </c>
      <c r="G40" s="16"/>
      <c r="J40" s="22"/>
      <c r="L40" s="17"/>
    </row>
    <row r="41" spans="1:12" x14ac:dyDescent="0.15">
      <c r="A41" s="25" t="s">
        <v>696</v>
      </c>
      <c r="B41" s="73" t="s">
        <v>1762</v>
      </c>
      <c r="C41" s="27" t="s">
        <v>1762</v>
      </c>
      <c r="D41" s="76" t="s">
        <v>411</v>
      </c>
      <c r="E41" s="30">
        <f t="shared" si="0"/>
        <v>1621</v>
      </c>
      <c r="F41" s="20">
        <v>1670</v>
      </c>
      <c r="G41" s="16"/>
      <c r="J41" s="22"/>
      <c r="L41" s="17"/>
    </row>
    <row r="42" spans="1:12" x14ac:dyDescent="0.15">
      <c r="A42" s="25" t="s">
        <v>696</v>
      </c>
      <c r="B42" s="73" t="s">
        <v>1762</v>
      </c>
      <c r="C42" s="27" t="s">
        <v>1762</v>
      </c>
      <c r="D42" s="75" t="s">
        <v>412</v>
      </c>
      <c r="E42" s="30">
        <f t="shared" si="0"/>
        <v>1671</v>
      </c>
      <c r="F42" s="20">
        <v>1700</v>
      </c>
      <c r="G42" s="16"/>
      <c r="J42" s="22"/>
      <c r="L42" s="17"/>
    </row>
    <row r="43" spans="1:12" x14ac:dyDescent="0.15">
      <c r="A43" s="77" t="s">
        <v>696</v>
      </c>
      <c r="B43" s="23" t="s">
        <v>1855</v>
      </c>
      <c r="C43" s="38" t="s">
        <v>1855</v>
      </c>
      <c r="D43" s="74" t="s">
        <v>1756</v>
      </c>
      <c r="E43" s="21">
        <f t="shared" si="0"/>
        <v>1701</v>
      </c>
      <c r="F43" s="19">
        <v>1850</v>
      </c>
      <c r="G43" s="15">
        <v>0.08</v>
      </c>
      <c r="H43" s="14">
        <v>0.02</v>
      </c>
      <c r="I43" s="14">
        <v>0.08</v>
      </c>
      <c r="J43" s="17">
        <v>0.4</v>
      </c>
      <c r="K43" s="14">
        <v>0.38</v>
      </c>
      <c r="L43" s="17">
        <v>0.2</v>
      </c>
    </row>
    <row r="44" spans="1:12" x14ac:dyDescent="0.15">
      <c r="A44" s="25" t="s">
        <v>696</v>
      </c>
      <c r="B44" s="73" t="s">
        <v>1855</v>
      </c>
      <c r="C44" s="27" t="s">
        <v>1855</v>
      </c>
      <c r="D44" s="75" t="s">
        <v>1757</v>
      </c>
      <c r="E44" s="30">
        <f t="shared" si="0"/>
        <v>1851</v>
      </c>
      <c r="F44" s="20">
        <v>2000</v>
      </c>
      <c r="G44" s="16"/>
      <c r="J44" s="22"/>
      <c r="L44" s="17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5723-1438-4395-A3C3-3026DCD8015C}">
  <sheetPr>
    <tabColor rgb="FF92D050"/>
  </sheetPr>
  <dimension ref="A1:L28"/>
  <sheetViews>
    <sheetView workbookViewId="0">
      <selection activeCell="L1" sqref="L1"/>
    </sheetView>
  </sheetViews>
  <sheetFormatPr defaultRowHeight="10.5" x14ac:dyDescent="0.15"/>
  <cols>
    <col min="1" max="1" width="12.42578125" style="9" customWidth="1"/>
    <col min="2" max="2" width="29.28515625" style="9" bestFit="1" customWidth="1"/>
    <col min="3" max="3" width="13.28515625" style="9" bestFit="1" customWidth="1"/>
    <col min="4" max="4" width="52.28515625" style="9" bestFit="1" customWidth="1"/>
    <col min="5" max="5" width="11.7109375" style="9" customWidth="1"/>
    <col min="6" max="6" width="10.42578125" style="9" customWidth="1"/>
    <col min="7" max="9" width="15" style="10" customWidth="1"/>
    <col min="10" max="10" width="16.42578125" style="10" customWidth="1"/>
    <col min="11" max="11" width="12.85546875" style="10" customWidth="1"/>
    <col min="12" max="12" width="16.5703125" style="10" customWidth="1"/>
    <col min="13" max="16384" width="9.140625" style="9"/>
  </cols>
  <sheetData>
    <row r="1" spans="1:12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09" t="s">
        <v>586</v>
      </c>
      <c r="J1" s="109" t="s">
        <v>587</v>
      </c>
      <c r="K1" s="109" t="s">
        <v>588</v>
      </c>
      <c r="L1" s="109" t="s">
        <v>2348</v>
      </c>
    </row>
    <row r="2" spans="1:12" s="32" customFormat="1" x14ac:dyDescent="0.15">
      <c r="A2" s="191" t="s">
        <v>1186</v>
      </c>
      <c r="B2" s="32" t="s">
        <v>1995</v>
      </c>
      <c r="C2" s="32" t="s">
        <v>1759</v>
      </c>
      <c r="D2" s="212" t="s">
        <v>1187</v>
      </c>
      <c r="E2" s="21">
        <v>0</v>
      </c>
      <c r="F2" s="19">
        <v>100</v>
      </c>
      <c r="G2" s="15">
        <v>0.8</v>
      </c>
      <c r="H2" s="14">
        <v>0.1</v>
      </c>
      <c r="I2" s="190">
        <v>1</v>
      </c>
      <c r="J2" s="17">
        <v>0.4</v>
      </c>
      <c r="K2" s="17">
        <v>0.45</v>
      </c>
      <c r="L2" s="17">
        <v>0.7</v>
      </c>
    </row>
    <row r="3" spans="1:12" x14ac:dyDescent="0.15">
      <c r="A3" s="192" t="s">
        <v>1186</v>
      </c>
      <c r="B3" s="9" t="s">
        <v>1995</v>
      </c>
      <c r="C3" s="9" t="s">
        <v>1759</v>
      </c>
      <c r="D3" s="213" t="s">
        <v>1188</v>
      </c>
      <c r="E3" s="30">
        <f>F2+1</f>
        <v>101</v>
      </c>
      <c r="F3" s="20">
        <v>200</v>
      </c>
      <c r="G3" s="16"/>
      <c r="H3" s="13"/>
      <c r="I3" s="228"/>
      <c r="J3" s="22"/>
      <c r="K3" s="22"/>
      <c r="L3" s="22"/>
    </row>
    <row r="4" spans="1:12" x14ac:dyDescent="0.15">
      <c r="A4" s="192" t="s">
        <v>1186</v>
      </c>
      <c r="B4" s="9" t="s">
        <v>1995</v>
      </c>
      <c r="C4" s="9" t="s">
        <v>1759</v>
      </c>
      <c r="D4" s="213" t="s">
        <v>1189</v>
      </c>
      <c r="E4" s="30">
        <f t="shared" ref="E4:E28" si="0">F3+1</f>
        <v>201</v>
      </c>
      <c r="F4" s="20">
        <v>300</v>
      </c>
      <c r="G4" s="16"/>
      <c r="H4" s="13"/>
      <c r="I4" s="228"/>
      <c r="J4" s="22"/>
      <c r="K4" s="22"/>
      <c r="L4" s="22"/>
    </row>
    <row r="5" spans="1:12" s="32" customFormat="1" x14ac:dyDescent="0.15">
      <c r="A5" s="191" t="s">
        <v>1186</v>
      </c>
      <c r="B5" s="32" t="s">
        <v>1861</v>
      </c>
      <c r="C5" s="32" t="s">
        <v>1760</v>
      </c>
      <c r="D5" s="77" t="s">
        <v>1190</v>
      </c>
      <c r="E5" s="21">
        <f t="shared" si="0"/>
        <v>301</v>
      </c>
      <c r="F5" s="19">
        <v>400</v>
      </c>
      <c r="G5" s="15">
        <v>2</v>
      </c>
      <c r="H5" s="14">
        <v>0.25</v>
      </c>
      <c r="I5" s="190">
        <v>3</v>
      </c>
      <c r="J5" s="17">
        <v>0.8</v>
      </c>
      <c r="K5" s="17">
        <v>0.55000000000000004</v>
      </c>
      <c r="L5" s="17">
        <v>0.65</v>
      </c>
    </row>
    <row r="6" spans="1:12" x14ac:dyDescent="0.15">
      <c r="A6" s="192" t="s">
        <v>1186</v>
      </c>
      <c r="B6" s="9" t="s">
        <v>1861</v>
      </c>
      <c r="C6" s="9" t="s">
        <v>1760</v>
      </c>
      <c r="D6" s="25" t="s">
        <v>1191</v>
      </c>
      <c r="E6" s="30">
        <f t="shared" si="0"/>
        <v>401</v>
      </c>
      <c r="F6" s="20">
        <v>500</v>
      </c>
      <c r="G6" s="16"/>
      <c r="H6" s="13"/>
      <c r="I6" s="228"/>
      <c r="J6" s="22"/>
      <c r="K6" s="22"/>
      <c r="L6" s="22"/>
    </row>
    <row r="7" spans="1:12" x14ac:dyDescent="0.15">
      <c r="A7" s="192" t="s">
        <v>1186</v>
      </c>
      <c r="B7" s="9" t="s">
        <v>1861</v>
      </c>
      <c r="C7" s="9" t="s">
        <v>1760</v>
      </c>
      <c r="D7" s="25" t="s">
        <v>1192</v>
      </c>
      <c r="E7" s="30">
        <f t="shared" si="0"/>
        <v>501</v>
      </c>
      <c r="F7" s="20">
        <v>800</v>
      </c>
      <c r="G7" s="16"/>
      <c r="H7" s="13"/>
      <c r="I7" s="228"/>
      <c r="J7" s="22"/>
      <c r="K7" s="22"/>
      <c r="L7" s="22"/>
    </row>
    <row r="8" spans="1:12" x14ac:dyDescent="0.15">
      <c r="A8" s="192" t="s">
        <v>1186</v>
      </c>
      <c r="B8" s="9" t="s">
        <v>1861</v>
      </c>
      <c r="C8" s="9" t="s">
        <v>1760</v>
      </c>
      <c r="D8" s="25" t="s">
        <v>1193</v>
      </c>
      <c r="E8" s="30">
        <f t="shared" si="0"/>
        <v>801</v>
      </c>
      <c r="F8" s="20">
        <v>1200</v>
      </c>
      <c r="G8" s="16"/>
      <c r="H8" s="13"/>
      <c r="I8" s="228"/>
      <c r="J8" s="22"/>
      <c r="K8" s="22"/>
      <c r="L8" s="22"/>
    </row>
    <row r="9" spans="1:12" s="32" customFormat="1" x14ac:dyDescent="0.15">
      <c r="A9" s="191" t="s">
        <v>1186</v>
      </c>
      <c r="B9" s="32" t="s">
        <v>1996</v>
      </c>
      <c r="C9" s="32" t="s">
        <v>1760</v>
      </c>
      <c r="D9" s="77" t="s">
        <v>1194</v>
      </c>
      <c r="E9" s="21">
        <f t="shared" si="0"/>
        <v>1201</v>
      </c>
      <c r="F9" s="19">
        <v>2500</v>
      </c>
      <c r="G9" s="15">
        <v>3</v>
      </c>
      <c r="H9" s="14">
        <v>0.35</v>
      </c>
      <c r="I9" s="190">
        <v>4.5</v>
      </c>
      <c r="J9" s="17">
        <v>1.1000000000000001</v>
      </c>
      <c r="K9" s="17">
        <v>0.65</v>
      </c>
      <c r="L9" s="17">
        <v>0.75</v>
      </c>
    </row>
    <row r="10" spans="1:12" x14ac:dyDescent="0.15">
      <c r="A10" s="192" t="s">
        <v>1186</v>
      </c>
      <c r="B10" s="9" t="s">
        <v>1996</v>
      </c>
      <c r="C10" s="9" t="s">
        <v>1760</v>
      </c>
      <c r="D10" s="25" t="s">
        <v>1195</v>
      </c>
      <c r="E10" s="30">
        <f t="shared" si="0"/>
        <v>2501</v>
      </c>
      <c r="F10" s="20">
        <v>1600</v>
      </c>
      <c r="G10" s="16"/>
      <c r="H10" s="13"/>
      <c r="I10" s="228"/>
      <c r="J10" s="22"/>
      <c r="K10" s="22"/>
      <c r="L10" s="22"/>
    </row>
    <row r="11" spans="1:12" x14ac:dyDescent="0.15">
      <c r="A11" s="192" t="s">
        <v>1186</v>
      </c>
      <c r="B11" s="9" t="s">
        <v>1996</v>
      </c>
      <c r="C11" s="9" t="s">
        <v>1760</v>
      </c>
      <c r="D11" s="25" t="s">
        <v>1196</v>
      </c>
      <c r="E11" s="30">
        <f t="shared" si="0"/>
        <v>1601</v>
      </c>
      <c r="F11" s="20">
        <v>2100</v>
      </c>
      <c r="G11" s="16"/>
      <c r="H11" s="13"/>
      <c r="I11" s="228"/>
      <c r="J11" s="22"/>
      <c r="K11" s="22"/>
      <c r="L11" s="22"/>
    </row>
    <row r="12" spans="1:12" x14ac:dyDescent="0.15">
      <c r="A12" s="192" t="s">
        <v>1186</v>
      </c>
      <c r="B12" s="9" t="s">
        <v>1996</v>
      </c>
      <c r="C12" s="9" t="s">
        <v>1760</v>
      </c>
      <c r="D12" s="25" t="s">
        <v>1197</v>
      </c>
      <c r="E12" s="30">
        <f t="shared" si="0"/>
        <v>2101</v>
      </c>
      <c r="F12" s="20">
        <v>2500</v>
      </c>
      <c r="G12" s="16"/>
      <c r="H12" s="13"/>
      <c r="I12" s="228"/>
      <c r="J12" s="22"/>
      <c r="K12" s="22"/>
      <c r="L12" s="22"/>
    </row>
    <row r="13" spans="1:12" s="32" customFormat="1" x14ac:dyDescent="0.15">
      <c r="A13" s="191" t="s">
        <v>1186</v>
      </c>
      <c r="B13" s="32" t="s">
        <v>1997</v>
      </c>
      <c r="C13" s="32" t="s">
        <v>1761</v>
      </c>
      <c r="D13" s="77" t="s">
        <v>1198</v>
      </c>
      <c r="E13" s="21">
        <f t="shared" si="0"/>
        <v>2501</v>
      </c>
      <c r="F13" s="19">
        <v>2700</v>
      </c>
      <c r="G13" s="15">
        <v>2.8</v>
      </c>
      <c r="H13" s="14">
        <v>0.32</v>
      </c>
      <c r="I13" s="190">
        <v>4.2</v>
      </c>
      <c r="J13" s="17">
        <v>1.1499999999999999</v>
      </c>
      <c r="K13" s="17">
        <v>0.7</v>
      </c>
      <c r="L13" s="17">
        <v>0.85</v>
      </c>
    </row>
    <row r="14" spans="1:12" x14ac:dyDescent="0.15">
      <c r="A14" s="192" t="s">
        <v>1186</v>
      </c>
      <c r="B14" s="9" t="s">
        <v>1997</v>
      </c>
      <c r="C14" s="9" t="s">
        <v>1761</v>
      </c>
      <c r="D14" s="25" t="s">
        <v>1199</v>
      </c>
      <c r="E14" s="30">
        <f t="shared" si="0"/>
        <v>2701</v>
      </c>
      <c r="F14" s="20">
        <v>3100</v>
      </c>
      <c r="G14" s="16"/>
      <c r="H14" s="13"/>
      <c r="I14" s="228"/>
      <c r="J14" s="22"/>
      <c r="K14" s="22"/>
      <c r="L14" s="22"/>
    </row>
    <row r="15" spans="1:12" x14ac:dyDescent="0.15">
      <c r="A15" s="192" t="s">
        <v>1186</v>
      </c>
      <c r="B15" s="9" t="s">
        <v>1997</v>
      </c>
      <c r="C15" s="9" t="s">
        <v>1761</v>
      </c>
      <c r="D15" s="25" t="s">
        <v>1200</v>
      </c>
      <c r="E15" s="30">
        <f t="shared" si="0"/>
        <v>3101</v>
      </c>
      <c r="F15" s="20">
        <v>3200</v>
      </c>
      <c r="G15" s="16"/>
      <c r="H15" s="13"/>
      <c r="I15" s="228"/>
      <c r="J15" s="22"/>
      <c r="K15" s="22"/>
      <c r="L15" s="22"/>
    </row>
    <row r="16" spans="1:12" s="32" customFormat="1" x14ac:dyDescent="0.15">
      <c r="A16" s="191" t="s">
        <v>1186</v>
      </c>
      <c r="B16" s="32" t="s">
        <v>1859</v>
      </c>
      <c r="C16" s="32" t="s">
        <v>1761</v>
      </c>
      <c r="D16" s="77" t="s">
        <v>1201</v>
      </c>
      <c r="E16" s="21">
        <f t="shared" si="0"/>
        <v>3201</v>
      </c>
      <c r="F16" s="19">
        <v>3300</v>
      </c>
      <c r="G16" s="15">
        <v>2.6</v>
      </c>
      <c r="H16" s="14">
        <v>0.3</v>
      </c>
      <c r="I16" s="190">
        <v>4</v>
      </c>
      <c r="J16" s="17">
        <v>1.2</v>
      </c>
      <c r="K16" s="17">
        <v>0.72</v>
      </c>
      <c r="L16" s="17">
        <v>0.9</v>
      </c>
    </row>
    <row r="17" spans="1:12" x14ac:dyDescent="0.15">
      <c r="A17" s="192" t="s">
        <v>1186</v>
      </c>
      <c r="B17" s="9" t="s">
        <v>1859</v>
      </c>
      <c r="C17" s="9" t="s">
        <v>1761</v>
      </c>
      <c r="D17" s="25" t="s">
        <v>1202</v>
      </c>
      <c r="E17" s="30">
        <f t="shared" si="0"/>
        <v>3301</v>
      </c>
      <c r="F17" s="20">
        <v>3400</v>
      </c>
      <c r="G17" s="16"/>
      <c r="H17" s="13"/>
      <c r="I17" s="228"/>
      <c r="J17" s="22"/>
      <c r="K17" s="22"/>
      <c r="L17" s="22"/>
    </row>
    <row r="18" spans="1:12" x14ac:dyDescent="0.15">
      <c r="A18" s="192" t="s">
        <v>1186</v>
      </c>
      <c r="B18" s="9" t="s">
        <v>1859</v>
      </c>
      <c r="C18" s="9" t="s">
        <v>1761</v>
      </c>
      <c r="D18" s="25" t="s">
        <v>1203</v>
      </c>
      <c r="E18" s="30">
        <f t="shared" si="0"/>
        <v>3401</v>
      </c>
      <c r="F18" s="20">
        <v>3500</v>
      </c>
      <c r="G18" s="16"/>
      <c r="H18" s="13"/>
      <c r="I18" s="228"/>
      <c r="J18" s="22"/>
      <c r="K18" s="22"/>
      <c r="L18" s="22"/>
    </row>
    <row r="19" spans="1:12" x14ac:dyDescent="0.15">
      <c r="A19" s="192" t="s">
        <v>1186</v>
      </c>
      <c r="B19" s="9" t="s">
        <v>1859</v>
      </c>
      <c r="C19" s="9" t="s">
        <v>1761</v>
      </c>
      <c r="D19" s="25" t="s">
        <v>1204</v>
      </c>
      <c r="E19" s="30">
        <f t="shared" si="0"/>
        <v>3501</v>
      </c>
      <c r="F19" s="20">
        <v>3600</v>
      </c>
      <c r="G19" s="16"/>
      <c r="H19" s="13"/>
      <c r="I19" s="228"/>
      <c r="J19" s="22"/>
      <c r="K19" s="22"/>
      <c r="L19" s="22"/>
    </row>
    <row r="20" spans="1:12" s="32" customFormat="1" x14ac:dyDescent="0.15">
      <c r="A20" s="191" t="s">
        <v>1186</v>
      </c>
      <c r="B20" s="32" t="s">
        <v>1854</v>
      </c>
      <c r="C20" s="32" t="s">
        <v>1761</v>
      </c>
      <c r="D20" s="77" t="s">
        <v>1205</v>
      </c>
      <c r="E20" s="21">
        <f t="shared" si="0"/>
        <v>3601</v>
      </c>
      <c r="F20" s="19">
        <v>3800</v>
      </c>
      <c r="G20" s="15">
        <v>2.4</v>
      </c>
      <c r="H20" s="14">
        <v>0.28000000000000003</v>
      </c>
      <c r="I20" s="190">
        <v>3.8</v>
      </c>
      <c r="J20" s="17">
        <v>1.1499999999999999</v>
      </c>
      <c r="K20" s="17">
        <v>0.7</v>
      </c>
      <c r="L20" s="17">
        <v>0.8</v>
      </c>
    </row>
    <row r="21" spans="1:12" x14ac:dyDescent="0.15">
      <c r="A21" s="192" t="s">
        <v>1186</v>
      </c>
      <c r="B21" s="9" t="s">
        <v>1854</v>
      </c>
      <c r="C21" s="9" t="s">
        <v>1761</v>
      </c>
      <c r="D21" s="25" t="s">
        <v>1206</v>
      </c>
      <c r="E21" s="30">
        <f t="shared" si="0"/>
        <v>3801</v>
      </c>
      <c r="F21" s="20">
        <v>4200</v>
      </c>
      <c r="G21" s="16"/>
      <c r="H21" s="13"/>
      <c r="I21" s="228"/>
      <c r="J21" s="22"/>
      <c r="K21" s="22"/>
      <c r="L21" s="22"/>
    </row>
    <row r="22" spans="1:12" x14ac:dyDescent="0.15">
      <c r="A22" s="192" t="s">
        <v>1186</v>
      </c>
      <c r="B22" s="9" t="s">
        <v>1854</v>
      </c>
      <c r="C22" s="9" t="s">
        <v>1761</v>
      </c>
      <c r="D22" s="25" t="s">
        <v>1207</v>
      </c>
      <c r="E22" s="30">
        <f t="shared" si="0"/>
        <v>4201</v>
      </c>
      <c r="F22" s="20">
        <v>4500</v>
      </c>
      <c r="G22" s="16"/>
      <c r="H22" s="13"/>
      <c r="I22" s="228"/>
      <c r="J22" s="22"/>
      <c r="K22" s="22"/>
      <c r="L22" s="22"/>
    </row>
    <row r="23" spans="1:12" s="32" customFormat="1" x14ac:dyDescent="0.15">
      <c r="A23" s="191" t="s">
        <v>1186</v>
      </c>
      <c r="B23" s="32" t="s">
        <v>1762</v>
      </c>
      <c r="C23" s="32" t="s">
        <v>1762</v>
      </c>
      <c r="D23" s="77" t="s">
        <v>1208</v>
      </c>
      <c r="E23" s="21">
        <f t="shared" si="0"/>
        <v>4501</v>
      </c>
      <c r="F23" s="19">
        <v>4800</v>
      </c>
      <c r="G23" s="15">
        <v>1.2</v>
      </c>
      <c r="H23" s="14">
        <v>0.15</v>
      </c>
      <c r="I23" s="190">
        <v>2</v>
      </c>
      <c r="J23" s="17">
        <v>0.9</v>
      </c>
      <c r="K23" s="17">
        <v>0.6</v>
      </c>
      <c r="L23" s="17">
        <v>0.55000000000000004</v>
      </c>
    </row>
    <row r="24" spans="1:12" x14ac:dyDescent="0.15">
      <c r="A24" s="192" t="s">
        <v>1186</v>
      </c>
      <c r="B24" s="9" t="s">
        <v>1762</v>
      </c>
      <c r="C24" s="9" t="s">
        <v>1762</v>
      </c>
      <c r="D24" s="25" t="s">
        <v>1209</v>
      </c>
      <c r="E24" s="30">
        <f t="shared" si="0"/>
        <v>4801</v>
      </c>
      <c r="F24" s="20">
        <v>5200</v>
      </c>
      <c r="G24" s="16"/>
      <c r="H24" s="13"/>
      <c r="I24" s="228"/>
      <c r="J24" s="22"/>
      <c r="K24" s="22"/>
      <c r="L24" s="22"/>
    </row>
    <row r="25" spans="1:12" x14ac:dyDescent="0.15">
      <c r="A25" s="192" t="s">
        <v>1186</v>
      </c>
      <c r="B25" s="9" t="s">
        <v>1762</v>
      </c>
      <c r="C25" s="9" t="s">
        <v>1762</v>
      </c>
      <c r="D25" s="25" t="s">
        <v>1210</v>
      </c>
      <c r="E25" s="30">
        <f t="shared" si="0"/>
        <v>5201</v>
      </c>
      <c r="F25" s="20">
        <v>5500</v>
      </c>
      <c r="G25" s="16"/>
      <c r="H25" s="13"/>
      <c r="I25" s="228"/>
      <c r="J25" s="22"/>
      <c r="K25" s="22"/>
      <c r="L25" s="22"/>
    </row>
    <row r="26" spans="1:12" s="32" customFormat="1" x14ac:dyDescent="0.15">
      <c r="A26" s="191" t="s">
        <v>1186</v>
      </c>
      <c r="B26" s="32" t="s">
        <v>1998</v>
      </c>
      <c r="C26" s="32" t="s">
        <v>1998</v>
      </c>
      <c r="D26" s="77" t="s">
        <v>1211</v>
      </c>
      <c r="E26" s="21">
        <f t="shared" si="0"/>
        <v>5501</v>
      </c>
      <c r="F26" s="19">
        <v>5600</v>
      </c>
      <c r="G26" s="15">
        <v>0.4</v>
      </c>
      <c r="H26" s="14">
        <v>0.05</v>
      </c>
      <c r="I26" s="190">
        <v>0.6</v>
      </c>
      <c r="J26" s="17">
        <v>0.4</v>
      </c>
      <c r="K26" s="17">
        <v>0.45</v>
      </c>
      <c r="L26" s="17">
        <v>0.3</v>
      </c>
    </row>
    <row r="27" spans="1:12" x14ac:dyDescent="0.15">
      <c r="A27" s="192" t="s">
        <v>1186</v>
      </c>
      <c r="B27" s="9" t="s">
        <v>1998</v>
      </c>
      <c r="C27" s="9" t="s">
        <v>1998</v>
      </c>
      <c r="D27" s="25" t="s">
        <v>1212</v>
      </c>
      <c r="E27" s="30">
        <f t="shared" si="0"/>
        <v>5601</v>
      </c>
      <c r="F27" s="20">
        <v>5800</v>
      </c>
      <c r="G27" s="16"/>
      <c r="H27" s="13"/>
      <c r="I27" s="228"/>
      <c r="J27" s="22"/>
      <c r="K27" s="22"/>
      <c r="L27" s="22"/>
    </row>
    <row r="28" spans="1:12" x14ac:dyDescent="0.15">
      <c r="A28" s="180" t="s">
        <v>1186</v>
      </c>
      <c r="B28" s="181" t="s">
        <v>1998</v>
      </c>
      <c r="C28" s="181" t="s">
        <v>1998</v>
      </c>
      <c r="D28" s="182" t="s">
        <v>1213</v>
      </c>
      <c r="E28" s="171">
        <f t="shared" si="0"/>
        <v>5801</v>
      </c>
      <c r="F28" s="172">
        <v>6000</v>
      </c>
      <c r="G28" s="247"/>
      <c r="H28" s="248"/>
      <c r="I28" s="249"/>
      <c r="J28" s="169"/>
      <c r="K28" s="169"/>
      <c r="L28" s="169"/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87D7-06A0-4C22-B748-6CC4D89F0AF3}">
  <dimension ref="A1:K27"/>
  <sheetViews>
    <sheetView workbookViewId="0">
      <selection activeCell="G2" sqref="G2:K5"/>
    </sheetView>
  </sheetViews>
  <sheetFormatPr defaultRowHeight="10.5" x14ac:dyDescent="0.15"/>
  <cols>
    <col min="1" max="1" width="10.28515625" style="9" bestFit="1" customWidth="1"/>
    <col min="2" max="2" width="30.28515625" style="9" bestFit="1" customWidth="1"/>
    <col min="3" max="3" width="11.85546875" style="9" bestFit="1" customWidth="1"/>
    <col min="4" max="4" width="32.42578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1214</v>
      </c>
      <c r="B2" s="32" t="s">
        <v>1999</v>
      </c>
      <c r="C2" s="32" t="s">
        <v>1759</v>
      </c>
      <c r="D2" s="34" t="s">
        <v>1215</v>
      </c>
      <c r="E2" s="11">
        <v>0</v>
      </c>
      <c r="F2" s="11">
        <v>0</v>
      </c>
      <c r="G2" s="14"/>
      <c r="H2" s="14"/>
      <c r="I2" s="14"/>
      <c r="J2" s="14"/>
      <c r="K2" s="14"/>
    </row>
    <row r="3" spans="1:11" x14ac:dyDescent="0.15">
      <c r="A3" s="9" t="s">
        <v>1214</v>
      </c>
      <c r="B3" s="9" t="s">
        <v>1999</v>
      </c>
      <c r="C3" s="9" t="s">
        <v>1759</v>
      </c>
      <c r="D3" s="33" t="s">
        <v>1216</v>
      </c>
      <c r="E3" s="10">
        <f>F2+1</f>
        <v>1</v>
      </c>
      <c r="F3" s="10">
        <v>100</v>
      </c>
      <c r="G3" s="13"/>
      <c r="H3" s="13"/>
      <c r="I3" s="13"/>
      <c r="J3" s="13"/>
      <c r="K3" s="13"/>
    </row>
    <row r="4" spans="1:11" x14ac:dyDescent="0.15">
      <c r="A4" s="9" t="s">
        <v>1214</v>
      </c>
      <c r="B4" s="9" t="s">
        <v>1999</v>
      </c>
      <c r="C4" s="9" t="s">
        <v>1759</v>
      </c>
      <c r="D4" s="33" t="s">
        <v>1217</v>
      </c>
      <c r="E4" s="10">
        <f t="shared" ref="E4:E27" si="0">F3+1</f>
        <v>101</v>
      </c>
      <c r="F4" s="10">
        <v>250</v>
      </c>
      <c r="G4" s="13"/>
      <c r="H4" s="13"/>
      <c r="I4" s="13"/>
      <c r="J4" s="13"/>
      <c r="K4" s="13"/>
    </row>
    <row r="5" spans="1:11" s="32" customFormat="1" x14ac:dyDescent="0.15">
      <c r="A5" s="32" t="s">
        <v>1214</v>
      </c>
      <c r="B5" s="32" t="s">
        <v>1861</v>
      </c>
      <c r="C5" s="32" t="s">
        <v>1760</v>
      </c>
      <c r="D5" s="34" t="s">
        <v>1218</v>
      </c>
      <c r="E5" s="11">
        <f t="shared" si="0"/>
        <v>251</v>
      </c>
      <c r="F5" s="11">
        <v>400</v>
      </c>
      <c r="G5" s="14"/>
      <c r="H5" s="14"/>
      <c r="I5" s="14"/>
      <c r="J5" s="14"/>
      <c r="K5" s="14"/>
    </row>
    <row r="6" spans="1:11" x14ac:dyDescent="0.15">
      <c r="A6" s="9" t="s">
        <v>1214</v>
      </c>
      <c r="B6" s="9" t="s">
        <v>1861</v>
      </c>
      <c r="C6" s="9" t="s">
        <v>1760</v>
      </c>
      <c r="D6" s="33" t="s">
        <v>1219</v>
      </c>
      <c r="E6" s="10">
        <f t="shared" si="0"/>
        <v>401</v>
      </c>
      <c r="F6" s="10">
        <v>600</v>
      </c>
      <c r="G6" s="13"/>
      <c r="H6" s="13"/>
      <c r="I6" s="13"/>
      <c r="J6" s="13"/>
      <c r="K6" s="13"/>
    </row>
    <row r="7" spans="1:11" x14ac:dyDescent="0.15">
      <c r="A7" s="9" t="s">
        <v>1214</v>
      </c>
      <c r="B7" s="9" t="s">
        <v>1861</v>
      </c>
      <c r="C7" s="9" t="s">
        <v>1760</v>
      </c>
      <c r="D7" s="33" t="s">
        <v>1220</v>
      </c>
      <c r="E7" s="10">
        <f t="shared" si="0"/>
        <v>601</v>
      </c>
      <c r="F7" s="10">
        <v>1000</v>
      </c>
      <c r="G7" s="13"/>
      <c r="H7" s="13"/>
      <c r="I7" s="13"/>
      <c r="J7" s="13"/>
      <c r="K7" s="13"/>
    </row>
    <row r="8" spans="1:11" x14ac:dyDescent="0.15">
      <c r="A8" s="9" t="s">
        <v>1214</v>
      </c>
      <c r="B8" s="9" t="s">
        <v>1861</v>
      </c>
      <c r="C8" s="9" t="s">
        <v>1760</v>
      </c>
      <c r="D8" s="33" t="s">
        <v>1221</v>
      </c>
      <c r="E8" s="10">
        <f t="shared" si="0"/>
        <v>1001</v>
      </c>
      <c r="F8" s="10">
        <v>1500</v>
      </c>
      <c r="G8" s="13"/>
      <c r="H8" s="13"/>
      <c r="I8" s="13"/>
      <c r="J8" s="13"/>
      <c r="K8" s="13"/>
    </row>
    <row r="9" spans="1:11" s="32" customFormat="1" x14ac:dyDescent="0.15">
      <c r="A9" s="32" t="s">
        <v>1214</v>
      </c>
      <c r="B9" s="32" t="s">
        <v>1850</v>
      </c>
      <c r="C9" s="32" t="s">
        <v>1760</v>
      </c>
      <c r="D9" s="34" t="s">
        <v>1222</v>
      </c>
      <c r="E9" s="11">
        <f t="shared" si="0"/>
        <v>1501</v>
      </c>
      <c r="F9" s="11">
        <v>2000</v>
      </c>
      <c r="G9" s="14"/>
      <c r="H9" s="14"/>
      <c r="I9" s="14"/>
      <c r="J9" s="14"/>
      <c r="K9" s="14"/>
    </row>
    <row r="10" spans="1:11" x14ac:dyDescent="0.15">
      <c r="A10" s="9" t="s">
        <v>1214</v>
      </c>
      <c r="B10" s="9" t="s">
        <v>1850</v>
      </c>
      <c r="C10" s="9" t="s">
        <v>1760</v>
      </c>
      <c r="D10" s="33" t="s">
        <v>1223</v>
      </c>
      <c r="E10" s="10">
        <f t="shared" si="0"/>
        <v>2001</v>
      </c>
      <c r="F10" s="10">
        <v>2400</v>
      </c>
      <c r="G10" s="13"/>
      <c r="H10" s="13"/>
      <c r="I10" s="13"/>
      <c r="J10" s="13"/>
      <c r="K10" s="13"/>
    </row>
    <row r="11" spans="1:11" x14ac:dyDescent="0.15">
      <c r="A11" s="9" t="s">
        <v>1214</v>
      </c>
      <c r="B11" s="9" t="s">
        <v>1850</v>
      </c>
      <c r="C11" s="9" t="s">
        <v>1760</v>
      </c>
      <c r="D11" s="33" t="s">
        <v>1224</v>
      </c>
      <c r="E11" s="10">
        <f t="shared" si="0"/>
        <v>2401</v>
      </c>
      <c r="F11" s="10">
        <v>3000</v>
      </c>
      <c r="G11" s="13"/>
      <c r="H11" s="13"/>
      <c r="I11" s="13"/>
      <c r="J11" s="13"/>
      <c r="K11" s="13"/>
    </row>
    <row r="12" spans="1:11" s="32" customFormat="1" x14ac:dyDescent="0.15">
      <c r="A12" s="32" t="s">
        <v>1214</v>
      </c>
      <c r="B12" s="32" t="s">
        <v>2000</v>
      </c>
      <c r="C12" s="32" t="s">
        <v>1760</v>
      </c>
      <c r="D12" s="34" t="s">
        <v>1225</v>
      </c>
      <c r="E12" s="11">
        <f t="shared" si="0"/>
        <v>3001</v>
      </c>
      <c r="F12" s="11">
        <v>2200</v>
      </c>
      <c r="G12" s="14"/>
      <c r="H12" s="14"/>
      <c r="I12" s="14"/>
      <c r="J12" s="14"/>
      <c r="K12" s="14"/>
    </row>
    <row r="13" spans="1:11" x14ac:dyDescent="0.15">
      <c r="A13" s="9" t="s">
        <v>1214</v>
      </c>
      <c r="B13" s="9" t="s">
        <v>2000</v>
      </c>
      <c r="C13" s="9" t="s">
        <v>1760</v>
      </c>
      <c r="D13" s="33" t="s">
        <v>1226</v>
      </c>
      <c r="E13" s="10">
        <f t="shared" si="0"/>
        <v>2201</v>
      </c>
      <c r="F13" s="10">
        <v>3000</v>
      </c>
      <c r="G13" s="13"/>
      <c r="H13" s="13"/>
      <c r="I13" s="13"/>
      <c r="J13" s="13"/>
      <c r="K13" s="13"/>
    </row>
    <row r="14" spans="1:11" x14ac:dyDescent="0.15">
      <c r="A14" s="9" t="s">
        <v>1214</v>
      </c>
      <c r="B14" s="9" t="s">
        <v>2000</v>
      </c>
      <c r="C14" s="9" t="s">
        <v>1760</v>
      </c>
      <c r="D14" s="33" t="s">
        <v>1227</v>
      </c>
      <c r="E14" s="10">
        <f t="shared" si="0"/>
        <v>3001</v>
      </c>
      <c r="F14" s="10">
        <v>4000</v>
      </c>
      <c r="G14" s="13"/>
      <c r="H14" s="13"/>
      <c r="I14" s="13"/>
      <c r="J14" s="13"/>
      <c r="K14" s="13"/>
    </row>
    <row r="15" spans="1:11" s="32" customFormat="1" x14ac:dyDescent="0.15">
      <c r="A15" s="32" t="s">
        <v>1214</v>
      </c>
      <c r="B15" s="32" t="s">
        <v>1997</v>
      </c>
      <c r="C15" s="32" t="s">
        <v>1761</v>
      </c>
      <c r="D15" s="34" t="s">
        <v>1228</v>
      </c>
      <c r="E15" s="11">
        <f t="shared" si="0"/>
        <v>4001</v>
      </c>
      <c r="F15" s="11">
        <v>4300</v>
      </c>
      <c r="G15" s="14"/>
      <c r="H15" s="14"/>
      <c r="I15" s="14"/>
      <c r="J15" s="14"/>
      <c r="K15" s="14"/>
    </row>
    <row r="16" spans="1:11" x14ac:dyDescent="0.15">
      <c r="A16" s="9" t="s">
        <v>1214</v>
      </c>
      <c r="B16" s="9" t="s">
        <v>1997</v>
      </c>
      <c r="C16" s="9" t="s">
        <v>1761</v>
      </c>
      <c r="D16" s="33" t="s">
        <v>1229</v>
      </c>
      <c r="E16" s="10">
        <f t="shared" si="0"/>
        <v>4301</v>
      </c>
      <c r="F16" s="10">
        <v>4500</v>
      </c>
      <c r="G16" s="13"/>
      <c r="H16" s="13"/>
      <c r="I16" s="13"/>
      <c r="J16" s="13"/>
      <c r="K16" s="13"/>
    </row>
    <row r="17" spans="1:11" s="32" customFormat="1" x14ac:dyDescent="0.15">
      <c r="A17" s="32" t="s">
        <v>1214</v>
      </c>
      <c r="B17" s="32" t="s">
        <v>1859</v>
      </c>
      <c r="C17" s="32" t="s">
        <v>1761</v>
      </c>
      <c r="D17" s="34" t="s">
        <v>1230</v>
      </c>
      <c r="E17" s="11">
        <f t="shared" si="0"/>
        <v>4501</v>
      </c>
      <c r="F17" s="11">
        <v>4700</v>
      </c>
      <c r="G17" s="14"/>
      <c r="H17" s="14"/>
      <c r="I17" s="14"/>
      <c r="J17" s="14"/>
      <c r="K17" s="14"/>
    </row>
    <row r="18" spans="1:11" x14ac:dyDescent="0.15">
      <c r="A18" s="9" t="s">
        <v>1214</v>
      </c>
      <c r="B18" s="9" t="s">
        <v>1859</v>
      </c>
      <c r="C18" s="9" t="s">
        <v>1761</v>
      </c>
      <c r="D18" s="33" t="s">
        <v>961</v>
      </c>
      <c r="E18" s="10">
        <f t="shared" si="0"/>
        <v>4701</v>
      </c>
      <c r="F18" s="10">
        <v>4900</v>
      </c>
      <c r="G18" s="13"/>
      <c r="H18" s="13"/>
      <c r="I18" s="13"/>
      <c r="J18" s="13"/>
      <c r="K18" s="13"/>
    </row>
    <row r="19" spans="1:11" x14ac:dyDescent="0.15">
      <c r="A19" s="9" t="s">
        <v>1214</v>
      </c>
      <c r="B19" s="9" t="s">
        <v>1859</v>
      </c>
      <c r="C19" s="9" t="s">
        <v>1761</v>
      </c>
      <c r="D19" s="33" t="s">
        <v>521</v>
      </c>
      <c r="E19" s="10">
        <f t="shared" si="0"/>
        <v>4901</v>
      </c>
      <c r="F19" s="10">
        <v>5000</v>
      </c>
      <c r="G19" s="13"/>
      <c r="H19" s="13"/>
      <c r="I19" s="13"/>
      <c r="J19" s="13"/>
      <c r="K19" s="13"/>
    </row>
    <row r="20" spans="1:11" s="32" customFormat="1" x14ac:dyDescent="0.15">
      <c r="A20" s="32" t="s">
        <v>1214</v>
      </c>
      <c r="B20" s="32" t="s">
        <v>2001</v>
      </c>
      <c r="C20" s="32" t="s">
        <v>1761</v>
      </c>
      <c r="D20" s="34" t="s">
        <v>1231</v>
      </c>
      <c r="E20" s="11">
        <f t="shared" si="0"/>
        <v>5001</v>
      </c>
      <c r="F20" s="11">
        <v>3500</v>
      </c>
      <c r="G20" s="14"/>
      <c r="H20" s="14"/>
      <c r="I20" s="14"/>
      <c r="J20" s="14"/>
      <c r="K20" s="14"/>
    </row>
    <row r="21" spans="1:11" x14ac:dyDescent="0.15">
      <c r="A21" s="9" t="s">
        <v>1214</v>
      </c>
      <c r="B21" s="9" t="s">
        <v>2001</v>
      </c>
      <c r="C21" s="9" t="s">
        <v>1761</v>
      </c>
      <c r="D21" s="33" t="s">
        <v>1232</v>
      </c>
      <c r="E21" s="10">
        <f t="shared" si="0"/>
        <v>3501</v>
      </c>
      <c r="F21" s="10">
        <v>4800</v>
      </c>
      <c r="G21" s="13"/>
      <c r="H21" s="13"/>
      <c r="I21" s="13"/>
      <c r="J21" s="13"/>
      <c r="K21" s="13"/>
    </row>
    <row r="22" spans="1:11" x14ac:dyDescent="0.15">
      <c r="A22" s="9" t="s">
        <v>1214</v>
      </c>
      <c r="B22" s="9" t="s">
        <v>2001</v>
      </c>
      <c r="C22" s="9" t="s">
        <v>1761</v>
      </c>
      <c r="D22" s="33" t="s">
        <v>1233</v>
      </c>
      <c r="E22" s="10">
        <f t="shared" si="0"/>
        <v>4801</v>
      </c>
      <c r="F22" s="10">
        <v>6000</v>
      </c>
      <c r="G22" s="13"/>
      <c r="H22" s="13"/>
      <c r="I22" s="13"/>
      <c r="J22" s="13"/>
      <c r="K22" s="13"/>
    </row>
    <row r="23" spans="1:11" s="32" customFormat="1" x14ac:dyDescent="0.15">
      <c r="A23" s="32" t="s">
        <v>1214</v>
      </c>
      <c r="B23" s="32" t="s">
        <v>1762</v>
      </c>
      <c r="C23" s="32" t="s">
        <v>1762</v>
      </c>
      <c r="D23" s="34" t="s">
        <v>1234</v>
      </c>
      <c r="E23" s="11">
        <f t="shared" si="0"/>
        <v>6001</v>
      </c>
      <c r="F23" s="11">
        <v>6500</v>
      </c>
      <c r="G23" s="14"/>
      <c r="H23" s="14"/>
      <c r="I23" s="14"/>
      <c r="J23" s="14"/>
      <c r="K23" s="14"/>
    </row>
    <row r="24" spans="1:11" x14ac:dyDescent="0.15">
      <c r="A24" s="9" t="s">
        <v>1214</v>
      </c>
      <c r="B24" s="9" t="s">
        <v>1762</v>
      </c>
      <c r="C24" s="9" t="s">
        <v>1762</v>
      </c>
      <c r="D24" s="33" t="s">
        <v>1235</v>
      </c>
      <c r="E24" s="10">
        <f t="shared" si="0"/>
        <v>6501</v>
      </c>
      <c r="F24" s="10">
        <v>7000</v>
      </c>
      <c r="G24" s="13"/>
      <c r="H24" s="13"/>
      <c r="I24" s="13"/>
      <c r="J24" s="13"/>
      <c r="K24" s="13"/>
    </row>
    <row r="25" spans="1:11" s="32" customFormat="1" x14ac:dyDescent="0.15">
      <c r="A25" s="32" t="s">
        <v>1214</v>
      </c>
      <c r="B25" s="32" t="s">
        <v>1855</v>
      </c>
      <c r="C25" s="32" t="s">
        <v>1855</v>
      </c>
      <c r="D25" s="34" t="s">
        <v>1236</v>
      </c>
      <c r="E25" s="11">
        <f t="shared" si="0"/>
        <v>7001</v>
      </c>
      <c r="F25" s="11">
        <v>7500</v>
      </c>
      <c r="G25" s="14"/>
      <c r="H25" s="14"/>
      <c r="I25" s="14"/>
      <c r="J25" s="14"/>
      <c r="K25" s="14"/>
    </row>
    <row r="26" spans="1:11" x14ac:dyDescent="0.15">
      <c r="A26" s="9" t="s">
        <v>1214</v>
      </c>
      <c r="B26" s="9" t="s">
        <v>1855</v>
      </c>
      <c r="C26" s="9" t="s">
        <v>1855</v>
      </c>
      <c r="D26" s="33" t="s">
        <v>1237</v>
      </c>
      <c r="E26" s="10">
        <f t="shared" si="0"/>
        <v>7501</v>
      </c>
      <c r="F26" s="10">
        <v>8000</v>
      </c>
      <c r="G26" s="13"/>
      <c r="H26" s="13"/>
      <c r="I26" s="13"/>
      <c r="J26" s="13"/>
      <c r="K26" s="13"/>
    </row>
    <row r="27" spans="1:11" x14ac:dyDescent="0.15">
      <c r="A27" s="9" t="s">
        <v>1214</v>
      </c>
      <c r="B27" s="9" t="s">
        <v>1855</v>
      </c>
      <c r="C27" s="9" t="s">
        <v>1855</v>
      </c>
      <c r="D27" s="33" t="s">
        <v>1238</v>
      </c>
      <c r="E27" s="10">
        <f t="shared" si="0"/>
        <v>8001</v>
      </c>
      <c r="F27" s="10">
        <v>8500</v>
      </c>
      <c r="G27" s="13"/>
      <c r="H27" s="13"/>
      <c r="I27" s="13"/>
      <c r="J27" s="13"/>
      <c r="K27" s="1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258-30C0-4000-8C68-517BDB54A294}">
  <dimension ref="A1:K3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5703125" style="9" bestFit="1" customWidth="1"/>
    <col min="3" max="3" width="11.85546875" style="9" bestFit="1" customWidth="1"/>
    <col min="4" max="4" width="60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2002</v>
      </c>
      <c r="B2" s="32" t="s">
        <v>2003</v>
      </c>
      <c r="C2" s="32" t="s">
        <v>1759</v>
      </c>
      <c r="D2" s="32" t="s">
        <v>1240</v>
      </c>
      <c r="E2" s="11">
        <v>0</v>
      </c>
      <c r="F2" s="11">
        <v>0</v>
      </c>
    </row>
    <row r="3" spans="1:11" x14ac:dyDescent="0.15">
      <c r="A3" s="9" t="s">
        <v>2002</v>
      </c>
      <c r="B3" s="9" t="s">
        <v>2003</v>
      </c>
      <c r="C3" s="9" t="s">
        <v>1759</v>
      </c>
      <c r="D3" s="9" t="s">
        <v>1241</v>
      </c>
      <c r="E3" s="10">
        <f>F2+1</f>
        <v>1</v>
      </c>
      <c r="F3" s="10">
        <v>100</v>
      </c>
    </row>
    <row r="4" spans="1:11" x14ac:dyDescent="0.15">
      <c r="A4" s="9" t="s">
        <v>2002</v>
      </c>
      <c r="B4" s="9" t="s">
        <v>2003</v>
      </c>
      <c r="C4" s="9" t="s">
        <v>1759</v>
      </c>
      <c r="D4" s="9" t="s">
        <v>1242</v>
      </c>
      <c r="E4" s="10">
        <f t="shared" ref="E4:E36" si="0">F3+1</f>
        <v>101</v>
      </c>
      <c r="F4" s="10">
        <v>200</v>
      </c>
    </row>
    <row r="5" spans="1:11" x14ac:dyDescent="0.15">
      <c r="A5" s="9" t="s">
        <v>2002</v>
      </c>
      <c r="B5" s="9" t="s">
        <v>2003</v>
      </c>
      <c r="C5" s="9" t="s">
        <v>1759</v>
      </c>
      <c r="D5" s="9" t="s">
        <v>1243</v>
      </c>
      <c r="E5" s="10">
        <f t="shared" si="0"/>
        <v>201</v>
      </c>
      <c r="F5" s="10">
        <v>250</v>
      </c>
    </row>
    <row r="6" spans="1:11" x14ac:dyDescent="0.15">
      <c r="A6" s="9" t="s">
        <v>2002</v>
      </c>
      <c r="B6" s="9" t="s">
        <v>2003</v>
      </c>
      <c r="C6" s="9" t="s">
        <v>1759</v>
      </c>
      <c r="D6" s="9" t="s">
        <v>1244</v>
      </c>
      <c r="E6" s="10">
        <f t="shared" si="0"/>
        <v>251</v>
      </c>
      <c r="F6" s="10">
        <v>300</v>
      </c>
    </row>
    <row r="7" spans="1:11" s="32" customFormat="1" x14ac:dyDescent="0.15">
      <c r="A7" s="32" t="s">
        <v>2002</v>
      </c>
      <c r="B7" s="32" t="s">
        <v>1861</v>
      </c>
      <c r="C7" s="32" t="s">
        <v>1760</v>
      </c>
      <c r="D7" s="32" t="s">
        <v>1245</v>
      </c>
      <c r="E7" s="11">
        <f t="shared" si="0"/>
        <v>301</v>
      </c>
      <c r="F7" s="11">
        <v>400</v>
      </c>
    </row>
    <row r="8" spans="1:11" x14ac:dyDescent="0.15">
      <c r="A8" s="9" t="s">
        <v>2002</v>
      </c>
      <c r="B8" s="9" t="s">
        <v>1861</v>
      </c>
      <c r="C8" s="9" t="s">
        <v>1760</v>
      </c>
      <c r="D8" s="9" t="s">
        <v>1246</v>
      </c>
      <c r="E8" s="10">
        <f t="shared" si="0"/>
        <v>401</v>
      </c>
      <c r="F8" s="10">
        <v>500</v>
      </c>
    </row>
    <row r="9" spans="1:11" x14ac:dyDescent="0.15">
      <c r="A9" s="9" t="s">
        <v>2002</v>
      </c>
      <c r="B9" s="9" t="s">
        <v>1861</v>
      </c>
      <c r="C9" s="9" t="s">
        <v>1760</v>
      </c>
      <c r="D9" s="9" t="s">
        <v>1247</v>
      </c>
      <c r="E9" s="10">
        <f t="shared" si="0"/>
        <v>501</v>
      </c>
      <c r="F9" s="10">
        <v>650</v>
      </c>
    </row>
    <row r="10" spans="1:11" x14ac:dyDescent="0.15">
      <c r="A10" s="9" t="s">
        <v>2002</v>
      </c>
      <c r="B10" s="9" t="s">
        <v>1861</v>
      </c>
      <c r="C10" s="9" t="s">
        <v>1760</v>
      </c>
      <c r="D10" s="9" t="s">
        <v>1248</v>
      </c>
      <c r="E10" s="10">
        <f t="shared" si="0"/>
        <v>651</v>
      </c>
      <c r="F10" s="10">
        <v>800</v>
      </c>
    </row>
    <row r="11" spans="1:11" s="32" customFormat="1" x14ac:dyDescent="0.15">
      <c r="A11" s="32" t="s">
        <v>2002</v>
      </c>
      <c r="B11" s="32" t="s">
        <v>2006</v>
      </c>
      <c r="C11" s="32" t="s">
        <v>1760</v>
      </c>
      <c r="D11" s="32" t="s">
        <v>1249</v>
      </c>
      <c r="E11" s="11">
        <f t="shared" si="0"/>
        <v>801</v>
      </c>
      <c r="F11" s="11">
        <v>1000</v>
      </c>
    </row>
    <row r="12" spans="1:11" x14ac:dyDescent="0.15">
      <c r="A12" s="9" t="s">
        <v>2002</v>
      </c>
      <c r="B12" s="9" t="s">
        <v>2006</v>
      </c>
      <c r="C12" s="9" t="s">
        <v>1760</v>
      </c>
      <c r="D12" s="9" t="s">
        <v>1250</v>
      </c>
      <c r="E12" s="10">
        <f t="shared" si="0"/>
        <v>1001</v>
      </c>
      <c r="F12" s="10">
        <v>1200</v>
      </c>
    </row>
    <row r="13" spans="1:11" x14ac:dyDescent="0.15">
      <c r="A13" s="9" t="s">
        <v>2002</v>
      </c>
      <c r="B13" s="9" t="s">
        <v>2006</v>
      </c>
      <c r="C13" s="9" t="s">
        <v>1760</v>
      </c>
      <c r="D13" s="9" t="s">
        <v>1251</v>
      </c>
      <c r="E13" s="10">
        <f t="shared" si="0"/>
        <v>1201</v>
      </c>
      <c r="F13" s="10">
        <v>1500</v>
      </c>
    </row>
    <row r="14" spans="1:11" s="32" customFormat="1" x14ac:dyDescent="0.15">
      <c r="A14" s="32" t="s">
        <v>2002</v>
      </c>
      <c r="B14" s="32" t="s">
        <v>1858</v>
      </c>
      <c r="C14" s="32" t="s">
        <v>1761</v>
      </c>
      <c r="D14" s="32" t="s">
        <v>1252</v>
      </c>
      <c r="E14" s="11">
        <f t="shared" si="0"/>
        <v>1501</v>
      </c>
      <c r="F14" s="11">
        <v>1600</v>
      </c>
    </row>
    <row r="15" spans="1:11" x14ac:dyDescent="0.15">
      <c r="A15" s="9" t="s">
        <v>2002</v>
      </c>
      <c r="B15" s="9" t="s">
        <v>1858</v>
      </c>
      <c r="C15" s="9" t="s">
        <v>1761</v>
      </c>
      <c r="D15" s="9" t="s">
        <v>1253</v>
      </c>
      <c r="E15" s="10">
        <f t="shared" si="0"/>
        <v>1601</v>
      </c>
      <c r="F15" s="10">
        <v>1700</v>
      </c>
    </row>
    <row r="16" spans="1:11" x14ac:dyDescent="0.15">
      <c r="A16" s="9" t="s">
        <v>2002</v>
      </c>
      <c r="B16" s="9" t="s">
        <v>1858</v>
      </c>
      <c r="C16" s="9" t="s">
        <v>1761</v>
      </c>
      <c r="D16" s="9" t="s">
        <v>1254</v>
      </c>
      <c r="E16" s="10">
        <f t="shared" si="0"/>
        <v>1701</v>
      </c>
      <c r="F16" s="10">
        <v>1850</v>
      </c>
    </row>
    <row r="17" spans="1:6" x14ac:dyDescent="0.15">
      <c r="A17" s="9" t="s">
        <v>2002</v>
      </c>
      <c r="B17" s="9" t="s">
        <v>1858</v>
      </c>
      <c r="C17" s="9" t="s">
        <v>1761</v>
      </c>
      <c r="D17" s="9" t="s">
        <v>1255</v>
      </c>
      <c r="E17" s="10">
        <f t="shared" si="0"/>
        <v>1851</v>
      </c>
      <c r="F17" s="10">
        <v>1900</v>
      </c>
    </row>
    <row r="18" spans="1:6" x14ac:dyDescent="0.15">
      <c r="A18" s="9" t="s">
        <v>2002</v>
      </c>
      <c r="B18" s="9" t="s">
        <v>1858</v>
      </c>
      <c r="C18" s="9" t="s">
        <v>1761</v>
      </c>
      <c r="D18" s="9" t="s">
        <v>1256</v>
      </c>
      <c r="E18" s="10">
        <f t="shared" si="0"/>
        <v>1901</v>
      </c>
      <c r="F18" s="10">
        <v>1950</v>
      </c>
    </row>
    <row r="19" spans="1:6" x14ac:dyDescent="0.15">
      <c r="A19" s="9" t="s">
        <v>2002</v>
      </c>
      <c r="B19" s="9" t="s">
        <v>1858</v>
      </c>
      <c r="C19" s="9" t="s">
        <v>1761</v>
      </c>
      <c r="D19" s="9" t="s">
        <v>1257</v>
      </c>
      <c r="E19" s="10">
        <f t="shared" si="0"/>
        <v>1951</v>
      </c>
      <c r="F19" s="10">
        <v>2000</v>
      </c>
    </row>
    <row r="20" spans="1:6" s="32" customFormat="1" x14ac:dyDescent="0.15">
      <c r="A20" s="32" t="s">
        <v>2002</v>
      </c>
      <c r="B20" s="32" t="s">
        <v>1859</v>
      </c>
      <c r="C20" s="32" t="s">
        <v>1761</v>
      </c>
      <c r="D20" s="32" t="s">
        <v>611</v>
      </c>
      <c r="E20" s="11">
        <f t="shared" si="0"/>
        <v>2001</v>
      </c>
      <c r="F20" s="11">
        <v>2100</v>
      </c>
    </row>
    <row r="21" spans="1:6" x14ac:dyDescent="0.15">
      <c r="A21" s="9" t="s">
        <v>2002</v>
      </c>
      <c r="B21" s="9" t="s">
        <v>1859</v>
      </c>
      <c r="C21" s="9" t="s">
        <v>1761</v>
      </c>
      <c r="D21" s="9" t="s">
        <v>1258</v>
      </c>
      <c r="E21" s="10">
        <f t="shared" si="0"/>
        <v>2101</v>
      </c>
      <c r="F21" s="10">
        <v>2200</v>
      </c>
    </row>
    <row r="22" spans="1:6" x14ac:dyDescent="0.15">
      <c r="A22" s="9" t="s">
        <v>2002</v>
      </c>
      <c r="B22" s="9" t="s">
        <v>1859</v>
      </c>
      <c r="C22" s="9" t="s">
        <v>1761</v>
      </c>
      <c r="D22" s="9" t="s">
        <v>1259</v>
      </c>
      <c r="E22" s="10">
        <f t="shared" si="0"/>
        <v>2201</v>
      </c>
      <c r="F22" s="10">
        <v>2400</v>
      </c>
    </row>
    <row r="23" spans="1:6" x14ac:dyDescent="0.15">
      <c r="A23" s="9" t="s">
        <v>2002</v>
      </c>
      <c r="B23" s="9" t="s">
        <v>1859</v>
      </c>
      <c r="C23" s="9" t="s">
        <v>1761</v>
      </c>
      <c r="D23" s="9" t="s">
        <v>1260</v>
      </c>
      <c r="E23" s="10">
        <f t="shared" si="0"/>
        <v>2401</v>
      </c>
      <c r="F23" s="10">
        <v>2450</v>
      </c>
    </row>
    <row r="24" spans="1:6" x14ac:dyDescent="0.15">
      <c r="A24" s="9" t="s">
        <v>2002</v>
      </c>
      <c r="B24" s="9" t="s">
        <v>1859</v>
      </c>
      <c r="C24" s="9" t="s">
        <v>1761</v>
      </c>
      <c r="D24" s="9" t="s">
        <v>1261</v>
      </c>
      <c r="E24" s="10">
        <f t="shared" si="0"/>
        <v>2451</v>
      </c>
      <c r="F24" s="10">
        <v>2500</v>
      </c>
    </row>
    <row r="25" spans="1:6" s="32" customFormat="1" x14ac:dyDescent="0.15">
      <c r="A25" s="32" t="s">
        <v>2002</v>
      </c>
      <c r="B25" s="32" t="s">
        <v>1854</v>
      </c>
      <c r="C25" s="32" t="s">
        <v>1761</v>
      </c>
      <c r="D25" s="32" t="s">
        <v>1262</v>
      </c>
      <c r="E25" s="11">
        <f t="shared" si="0"/>
        <v>2501</v>
      </c>
      <c r="F25" s="11">
        <v>2800</v>
      </c>
    </row>
    <row r="26" spans="1:6" x14ac:dyDescent="0.15">
      <c r="A26" s="9" t="s">
        <v>2002</v>
      </c>
      <c r="B26" s="9" t="s">
        <v>1854</v>
      </c>
      <c r="C26" s="9" t="s">
        <v>1761</v>
      </c>
      <c r="D26" s="9" t="s">
        <v>1263</v>
      </c>
      <c r="E26" s="10">
        <f t="shared" si="0"/>
        <v>2801</v>
      </c>
      <c r="F26" s="10">
        <v>3100</v>
      </c>
    </row>
    <row r="27" spans="1:6" x14ac:dyDescent="0.15">
      <c r="A27" s="9" t="s">
        <v>2002</v>
      </c>
      <c r="B27" s="9" t="s">
        <v>1854</v>
      </c>
      <c r="C27" s="9" t="s">
        <v>1761</v>
      </c>
      <c r="D27" s="9" t="s">
        <v>1264</v>
      </c>
      <c r="E27" s="10">
        <f t="shared" si="0"/>
        <v>3101</v>
      </c>
      <c r="F27" s="10">
        <v>3400</v>
      </c>
    </row>
    <row r="28" spans="1:6" x14ac:dyDescent="0.15">
      <c r="A28" s="9" t="s">
        <v>2002</v>
      </c>
      <c r="B28" s="9" t="s">
        <v>1854</v>
      </c>
      <c r="C28" s="9" t="s">
        <v>1761</v>
      </c>
      <c r="D28" s="9" t="s">
        <v>1265</v>
      </c>
      <c r="E28" s="10">
        <f t="shared" si="0"/>
        <v>3401</v>
      </c>
      <c r="F28" s="10">
        <v>3700</v>
      </c>
    </row>
    <row r="29" spans="1:6" x14ac:dyDescent="0.15">
      <c r="A29" s="9" t="s">
        <v>2002</v>
      </c>
      <c r="B29" s="9" t="s">
        <v>1854</v>
      </c>
      <c r="C29" s="9" t="s">
        <v>1761</v>
      </c>
      <c r="D29" s="9" t="s">
        <v>1266</v>
      </c>
      <c r="E29" s="10">
        <f t="shared" si="0"/>
        <v>3701</v>
      </c>
      <c r="F29" s="10">
        <v>4000</v>
      </c>
    </row>
    <row r="30" spans="1:6" s="32" customFormat="1" x14ac:dyDescent="0.15">
      <c r="A30" s="32" t="s">
        <v>2002</v>
      </c>
      <c r="B30" s="32" t="s">
        <v>2004</v>
      </c>
      <c r="C30" s="32" t="s">
        <v>1762</v>
      </c>
      <c r="D30" s="32" t="s">
        <v>1267</v>
      </c>
      <c r="E30" s="11">
        <f t="shared" si="0"/>
        <v>4001</v>
      </c>
      <c r="F30" s="11">
        <v>4500</v>
      </c>
    </row>
    <row r="31" spans="1:6" x14ac:dyDescent="0.15">
      <c r="A31" s="9" t="s">
        <v>2002</v>
      </c>
      <c r="B31" s="9" t="s">
        <v>2004</v>
      </c>
      <c r="C31" s="9" t="s">
        <v>1762</v>
      </c>
      <c r="D31" s="9" t="s">
        <v>1268</v>
      </c>
      <c r="E31" s="10">
        <f t="shared" si="0"/>
        <v>4501</v>
      </c>
      <c r="F31" s="10">
        <v>5000</v>
      </c>
    </row>
    <row r="32" spans="1:6" x14ac:dyDescent="0.15">
      <c r="A32" s="9" t="s">
        <v>2002</v>
      </c>
      <c r="B32" s="9" t="s">
        <v>2004</v>
      </c>
      <c r="C32" s="9" t="s">
        <v>1762</v>
      </c>
      <c r="D32" s="9" t="s">
        <v>1269</v>
      </c>
      <c r="E32" s="10">
        <f t="shared" si="0"/>
        <v>5001</v>
      </c>
      <c r="F32" s="10">
        <v>5300</v>
      </c>
    </row>
    <row r="33" spans="1:6" x14ac:dyDescent="0.15">
      <c r="A33" s="9" t="s">
        <v>2002</v>
      </c>
      <c r="B33" s="9" t="s">
        <v>2004</v>
      </c>
      <c r="C33" s="9" t="s">
        <v>1762</v>
      </c>
      <c r="D33" s="9" t="s">
        <v>1270</v>
      </c>
      <c r="E33" s="10">
        <f t="shared" si="0"/>
        <v>5301</v>
      </c>
      <c r="F33" s="10">
        <v>5500</v>
      </c>
    </row>
    <row r="34" spans="1:6" s="32" customFormat="1" x14ac:dyDescent="0.15">
      <c r="A34" s="32" t="s">
        <v>2002</v>
      </c>
      <c r="B34" s="32" t="s">
        <v>2005</v>
      </c>
      <c r="C34" s="32" t="s">
        <v>1855</v>
      </c>
      <c r="D34" s="32" t="s">
        <v>1271</v>
      </c>
      <c r="E34" s="11">
        <f t="shared" si="0"/>
        <v>5501</v>
      </c>
      <c r="F34" s="11">
        <v>5700</v>
      </c>
    </row>
    <row r="35" spans="1:6" x14ac:dyDescent="0.15">
      <c r="A35" s="9" t="s">
        <v>2002</v>
      </c>
      <c r="B35" s="9" t="s">
        <v>2005</v>
      </c>
      <c r="C35" s="9" t="s">
        <v>1855</v>
      </c>
      <c r="D35" s="9" t="s">
        <v>1272</v>
      </c>
      <c r="E35" s="10">
        <f t="shared" si="0"/>
        <v>5701</v>
      </c>
      <c r="F35" s="10">
        <v>5900</v>
      </c>
    </row>
    <row r="36" spans="1:6" x14ac:dyDescent="0.15">
      <c r="A36" s="9" t="s">
        <v>2002</v>
      </c>
      <c r="B36" s="9" t="s">
        <v>2005</v>
      </c>
      <c r="C36" s="9" t="s">
        <v>1855</v>
      </c>
      <c r="D36" s="9" t="s">
        <v>1273</v>
      </c>
      <c r="E36" s="10">
        <f t="shared" si="0"/>
        <v>5901</v>
      </c>
      <c r="F36" s="10">
        <v>6000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ABF7-3690-4A0E-9771-66221E7E527C}">
  <dimension ref="A1:K3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.42578125" style="9" bestFit="1" customWidth="1"/>
    <col min="3" max="3" width="11.85546875" style="9" bestFit="1" customWidth="1"/>
    <col min="4" max="4" width="49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2007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0</v>
      </c>
    </row>
    <row r="3" spans="1:11" x14ac:dyDescent="0.15">
      <c r="A3" s="9" t="s">
        <v>2007</v>
      </c>
      <c r="B3" s="9" t="s">
        <v>1759</v>
      </c>
      <c r="C3" s="9" t="s">
        <v>1759</v>
      </c>
      <c r="D3" s="9" t="s">
        <v>374</v>
      </c>
      <c r="E3" s="10">
        <f>F2+1</f>
        <v>1</v>
      </c>
      <c r="F3" s="10">
        <v>40</v>
      </c>
    </row>
    <row r="4" spans="1:11" x14ac:dyDescent="0.15">
      <c r="A4" s="9" t="s">
        <v>2007</v>
      </c>
      <c r="B4" s="9" t="s">
        <v>1759</v>
      </c>
      <c r="C4" s="9" t="s">
        <v>1759</v>
      </c>
      <c r="D4" s="9" t="s">
        <v>375</v>
      </c>
      <c r="E4" s="10">
        <f t="shared" ref="E4:E36" si="0">F3+1</f>
        <v>41</v>
      </c>
      <c r="F4" s="10">
        <v>60</v>
      </c>
    </row>
    <row r="5" spans="1:11" x14ac:dyDescent="0.15">
      <c r="A5" s="9" t="s">
        <v>2007</v>
      </c>
      <c r="B5" s="9" t="s">
        <v>1759</v>
      </c>
      <c r="C5" s="9" t="s">
        <v>1759</v>
      </c>
      <c r="D5" s="9" t="s">
        <v>414</v>
      </c>
      <c r="E5" s="10">
        <f t="shared" si="0"/>
        <v>61</v>
      </c>
      <c r="F5" s="10">
        <v>80</v>
      </c>
    </row>
    <row r="6" spans="1:11" x14ac:dyDescent="0.15">
      <c r="A6" s="9" t="s">
        <v>2007</v>
      </c>
      <c r="B6" s="9" t="s">
        <v>1759</v>
      </c>
      <c r="C6" s="9" t="s">
        <v>1759</v>
      </c>
      <c r="D6" s="9" t="s">
        <v>415</v>
      </c>
      <c r="E6" s="10">
        <f t="shared" si="0"/>
        <v>81</v>
      </c>
      <c r="F6" s="10">
        <v>100</v>
      </c>
    </row>
    <row r="7" spans="1:11" x14ac:dyDescent="0.15">
      <c r="A7" s="9" t="s">
        <v>2007</v>
      </c>
      <c r="B7" s="9" t="s">
        <v>1759</v>
      </c>
      <c r="C7" s="9" t="s">
        <v>1759</v>
      </c>
      <c r="D7" s="9" t="s">
        <v>416</v>
      </c>
      <c r="E7" s="10">
        <f t="shared" si="0"/>
        <v>101</v>
      </c>
      <c r="F7" s="10">
        <v>120</v>
      </c>
    </row>
    <row r="8" spans="1:11" x14ac:dyDescent="0.15">
      <c r="A8" s="9" t="s">
        <v>2007</v>
      </c>
      <c r="B8" s="9" t="s">
        <v>1759</v>
      </c>
      <c r="C8" s="9" t="s">
        <v>1759</v>
      </c>
      <c r="D8" s="9" t="s">
        <v>1274</v>
      </c>
      <c r="E8" s="10">
        <f t="shared" si="0"/>
        <v>121</v>
      </c>
      <c r="F8" s="10">
        <v>150</v>
      </c>
    </row>
    <row r="9" spans="1:11" s="32" customFormat="1" x14ac:dyDescent="0.15">
      <c r="A9" s="32" t="s">
        <v>2007</v>
      </c>
      <c r="B9" s="32" t="s">
        <v>1861</v>
      </c>
      <c r="C9" s="32" t="s">
        <v>1760</v>
      </c>
      <c r="D9" s="32" t="s">
        <v>380</v>
      </c>
      <c r="E9" s="11">
        <f t="shared" si="0"/>
        <v>151</v>
      </c>
      <c r="F9" s="11">
        <v>180</v>
      </c>
    </row>
    <row r="10" spans="1:11" x14ac:dyDescent="0.15">
      <c r="A10" s="9" t="s">
        <v>2007</v>
      </c>
      <c r="B10" s="9" t="s">
        <v>1861</v>
      </c>
      <c r="C10" s="9" t="s">
        <v>1760</v>
      </c>
      <c r="D10" s="9" t="s">
        <v>1275</v>
      </c>
      <c r="E10" s="10">
        <f t="shared" si="0"/>
        <v>181</v>
      </c>
      <c r="F10" s="10">
        <v>220</v>
      </c>
    </row>
    <row r="11" spans="1:11" x14ac:dyDescent="0.15">
      <c r="A11" s="9" t="s">
        <v>2007</v>
      </c>
      <c r="B11" s="9" t="s">
        <v>1861</v>
      </c>
      <c r="C11" s="9" t="s">
        <v>1760</v>
      </c>
      <c r="D11" s="9" t="s">
        <v>1276</v>
      </c>
      <c r="E11" s="10">
        <f t="shared" si="0"/>
        <v>221</v>
      </c>
      <c r="F11" s="10">
        <v>260</v>
      </c>
    </row>
    <row r="12" spans="1:11" x14ac:dyDescent="0.15">
      <c r="A12" s="9" t="s">
        <v>2007</v>
      </c>
      <c r="B12" s="9" t="s">
        <v>1861</v>
      </c>
      <c r="C12" s="9" t="s">
        <v>1760</v>
      </c>
      <c r="D12" s="9" t="s">
        <v>1277</v>
      </c>
      <c r="E12" s="10">
        <f t="shared" si="0"/>
        <v>261</v>
      </c>
      <c r="F12" s="10">
        <v>400</v>
      </c>
    </row>
    <row r="13" spans="1:11" s="32" customFormat="1" x14ac:dyDescent="0.15">
      <c r="A13" s="32" t="s">
        <v>2007</v>
      </c>
      <c r="B13" s="32" t="s">
        <v>1857</v>
      </c>
      <c r="C13" s="32" t="s">
        <v>1760</v>
      </c>
      <c r="D13" s="32" t="s">
        <v>421</v>
      </c>
      <c r="E13" s="11">
        <f t="shared" si="0"/>
        <v>401</v>
      </c>
      <c r="F13" s="11">
        <f>F17</f>
        <v>650</v>
      </c>
    </row>
    <row r="14" spans="1:11" x14ac:dyDescent="0.15">
      <c r="A14" s="9" t="s">
        <v>2007</v>
      </c>
      <c r="B14" s="9" t="s">
        <v>1857</v>
      </c>
      <c r="C14" s="9" t="s">
        <v>1760</v>
      </c>
      <c r="D14" s="9" t="s">
        <v>422</v>
      </c>
      <c r="E14" s="10">
        <f t="shared" si="0"/>
        <v>651</v>
      </c>
      <c r="F14" s="10">
        <v>450</v>
      </c>
    </row>
    <row r="15" spans="1:11" x14ac:dyDescent="0.15">
      <c r="A15" s="9" t="s">
        <v>2007</v>
      </c>
      <c r="B15" s="9" t="s">
        <v>1857</v>
      </c>
      <c r="C15" s="9" t="s">
        <v>1760</v>
      </c>
      <c r="D15" s="9" t="s">
        <v>1278</v>
      </c>
      <c r="E15" s="10">
        <f t="shared" si="0"/>
        <v>451</v>
      </c>
      <c r="F15" s="10">
        <v>500</v>
      </c>
    </row>
    <row r="16" spans="1:11" x14ac:dyDescent="0.15">
      <c r="A16" s="9" t="s">
        <v>2007</v>
      </c>
      <c r="B16" s="9" t="s">
        <v>1857</v>
      </c>
      <c r="C16" s="9" t="s">
        <v>1760</v>
      </c>
      <c r="D16" s="9" t="s">
        <v>1279</v>
      </c>
      <c r="E16" s="10">
        <f t="shared" si="0"/>
        <v>501</v>
      </c>
      <c r="F16" s="10">
        <v>550</v>
      </c>
    </row>
    <row r="17" spans="1:6" x14ac:dyDescent="0.15">
      <c r="A17" s="9" t="s">
        <v>2007</v>
      </c>
      <c r="B17" s="9" t="s">
        <v>1857</v>
      </c>
      <c r="C17" s="9" t="s">
        <v>1760</v>
      </c>
      <c r="D17" s="9" t="s">
        <v>1280</v>
      </c>
      <c r="E17" s="10">
        <f t="shared" si="0"/>
        <v>551</v>
      </c>
      <c r="F17" s="10">
        <v>650</v>
      </c>
    </row>
    <row r="18" spans="1:6" s="32" customFormat="1" x14ac:dyDescent="0.15">
      <c r="A18" s="32" t="s">
        <v>2007</v>
      </c>
      <c r="B18" s="32" t="s">
        <v>1858</v>
      </c>
      <c r="C18" s="32" t="s">
        <v>1761</v>
      </c>
      <c r="D18" s="32" t="s">
        <v>425</v>
      </c>
      <c r="E18" s="11">
        <f t="shared" si="0"/>
        <v>651</v>
      </c>
      <c r="F18" s="11">
        <v>750</v>
      </c>
    </row>
    <row r="19" spans="1:6" x14ac:dyDescent="0.15">
      <c r="A19" s="9" t="s">
        <v>2007</v>
      </c>
      <c r="B19" s="9" t="s">
        <v>1858</v>
      </c>
      <c r="C19" s="9" t="s">
        <v>1761</v>
      </c>
      <c r="D19" s="9" t="s">
        <v>426</v>
      </c>
      <c r="E19" s="10">
        <f t="shared" si="0"/>
        <v>751</v>
      </c>
      <c r="F19" s="10">
        <v>820</v>
      </c>
    </row>
    <row r="20" spans="1:6" x14ac:dyDescent="0.15">
      <c r="A20" s="9" t="s">
        <v>2007</v>
      </c>
      <c r="B20" s="9" t="s">
        <v>1858</v>
      </c>
      <c r="C20" s="9" t="s">
        <v>1761</v>
      </c>
      <c r="D20" s="9" t="s">
        <v>427</v>
      </c>
      <c r="E20" s="10">
        <f t="shared" si="0"/>
        <v>821</v>
      </c>
      <c r="F20" s="10">
        <v>900</v>
      </c>
    </row>
    <row r="21" spans="1:6" s="32" customFormat="1" x14ac:dyDescent="0.15">
      <c r="A21" s="32" t="s">
        <v>2007</v>
      </c>
      <c r="B21" s="32" t="s">
        <v>1859</v>
      </c>
      <c r="C21" s="32" t="s">
        <v>1761</v>
      </c>
      <c r="D21" s="32" t="s">
        <v>429</v>
      </c>
      <c r="E21" s="11">
        <f t="shared" si="0"/>
        <v>901</v>
      </c>
      <c r="F21" s="11">
        <v>930</v>
      </c>
    </row>
    <row r="22" spans="1:6" x14ac:dyDescent="0.15">
      <c r="A22" s="9" t="s">
        <v>2007</v>
      </c>
      <c r="B22" s="9" t="s">
        <v>1859</v>
      </c>
      <c r="C22" s="9" t="s">
        <v>1761</v>
      </c>
      <c r="D22" s="9" t="s">
        <v>430</v>
      </c>
      <c r="E22" s="10">
        <f t="shared" si="0"/>
        <v>931</v>
      </c>
      <c r="F22" s="10">
        <v>960</v>
      </c>
    </row>
    <row r="23" spans="1:6" x14ac:dyDescent="0.15">
      <c r="A23" s="9" t="s">
        <v>2007</v>
      </c>
      <c r="B23" s="9" t="s">
        <v>1859</v>
      </c>
      <c r="C23" s="9" t="s">
        <v>1761</v>
      </c>
      <c r="D23" s="9" t="s">
        <v>431</v>
      </c>
      <c r="E23" s="10">
        <f t="shared" si="0"/>
        <v>961</v>
      </c>
      <c r="F23" s="10">
        <v>990</v>
      </c>
    </row>
    <row r="24" spans="1:6" x14ac:dyDescent="0.15">
      <c r="A24" s="9" t="s">
        <v>2007</v>
      </c>
      <c r="B24" s="9" t="s">
        <v>1859</v>
      </c>
      <c r="C24" s="9" t="s">
        <v>1761</v>
      </c>
      <c r="D24" s="9" t="s">
        <v>432</v>
      </c>
      <c r="E24" s="10">
        <f t="shared" si="0"/>
        <v>991</v>
      </c>
      <c r="F24" s="10">
        <v>1020</v>
      </c>
    </row>
    <row r="25" spans="1:6" x14ac:dyDescent="0.15">
      <c r="A25" s="9" t="s">
        <v>2007</v>
      </c>
      <c r="B25" s="9" t="s">
        <v>1859</v>
      </c>
      <c r="C25" s="9" t="s">
        <v>1761</v>
      </c>
      <c r="D25" s="9" t="s">
        <v>433</v>
      </c>
      <c r="E25" s="10">
        <f t="shared" si="0"/>
        <v>1021</v>
      </c>
      <c r="F25" s="10">
        <v>1050</v>
      </c>
    </row>
    <row r="26" spans="1:6" x14ac:dyDescent="0.15">
      <c r="A26" s="9" t="s">
        <v>2007</v>
      </c>
      <c r="B26" s="9" t="s">
        <v>1859</v>
      </c>
      <c r="C26" s="9" t="s">
        <v>1761</v>
      </c>
      <c r="D26" s="9" t="s">
        <v>434</v>
      </c>
      <c r="E26" s="10">
        <f t="shared" si="0"/>
        <v>1051</v>
      </c>
      <c r="F26" s="10">
        <v>1100</v>
      </c>
    </row>
    <row r="27" spans="1:6" x14ac:dyDescent="0.15">
      <c r="A27" s="9" t="s">
        <v>2007</v>
      </c>
      <c r="B27" s="9" t="s">
        <v>1859</v>
      </c>
      <c r="C27" s="9" t="s">
        <v>1761</v>
      </c>
      <c r="D27" s="9" t="s">
        <v>435</v>
      </c>
      <c r="E27" s="10">
        <f t="shared" si="0"/>
        <v>1101</v>
      </c>
      <c r="F27" s="10">
        <v>1150</v>
      </c>
    </row>
    <row r="28" spans="1:6" x14ac:dyDescent="0.15">
      <c r="A28" s="9" t="s">
        <v>2007</v>
      </c>
      <c r="B28" s="9" t="s">
        <v>1859</v>
      </c>
      <c r="C28" s="9" t="s">
        <v>1761</v>
      </c>
      <c r="D28" s="9" t="s">
        <v>436</v>
      </c>
      <c r="E28" s="10">
        <f t="shared" si="0"/>
        <v>1151</v>
      </c>
      <c r="F28" s="10">
        <v>1200</v>
      </c>
    </row>
    <row r="29" spans="1:6" s="32" customFormat="1" x14ac:dyDescent="0.15">
      <c r="A29" s="32" t="s">
        <v>2007</v>
      </c>
      <c r="B29" s="32" t="s">
        <v>1854</v>
      </c>
      <c r="C29" s="32" t="s">
        <v>1761</v>
      </c>
      <c r="D29" s="32" t="s">
        <v>437</v>
      </c>
      <c r="E29" s="11">
        <f t="shared" si="0"/>
        <v>1201</v>
      </c>
      <c r="F29" s="11">
        <v>1225</v>
      </c>
    </row>
    <row r="30" spans="1:6" x14ac:dyDescent="0.15">
      <c r="A30" s="9" t="s">
        <v>2007</v>
      </c>
      <c r="B30" s="9" t="s">
        <v>1854</v>
      </c>
      <c r="C30" s="9" t="s">
        <v>1761</v>
      </c>
      <c r="D30" s="9" t="s">
        <v>441</v>
      </c>
      <c r="E30" s="10">
        <f t="shared" si="0"/>
        <v>1226</v>
      </c>
      <c r="F30" s="10">
        <v>1285</v>
      </c>
    </row>
    <row r="31" spans="1:6" x14ac:dyDescent="0.15">
      <c r="A31" s="9" t="s">
        <v>2007</v>
      </c>
      <c r="B31" s="9" t="s">
        <v>1854</v>
      </c>
      <c r="C31" s="9" t="s">
        <v>1761</v>
      </c>
      <c r="D31" s="9" t="s">
        <v>445</v>
      </c>
      <c r="E31" s="10">
        <f t="shared" si="0"/>
        <v>1286</v>
      </c>
      <c r="F31" s="10">
        <v>1400</v>
      </c>
    </row>
    <row r="32" spans="1:6" s="32" customFormat="1" x14ac:dyDescent="0.15">
      <c r="A32" s="32" t="s">
        <v>2007</v>
      </c>
      <c r="B32" s="32" t="s">
        <v>1904</v>
      </c>
      <c r="C32" s="32" t="s">
        <v>1762</v>
      </c>
      <c r="D32" s="32" t="s">
        <v>446</v>
      </c>
      <c r="E32" s="11">
        <f t="shared" si="0"/>
        <v>1401</v>
      </c>
      <c r="F32" s="11">
        <v>1440</v>
      </c>
    </row>
    <row r="33" spans="1:6" x14ac:dyDescent="0.15">
      <c r="A33" s="9" t="s">
        <v>2007</v>
      </c>
      <c r="B33" s="9" t="s">
        <v>1904</v>
      </c>
      <c r="C33" s="9" t="s">
        <v>1762</v>
      </c>
      <c r="D33" s="9" t="s">
        <v>450</v>
      </c>
      <c r="E33" s="10">
        <f t="shared" si="0"/>
        <v>1441</v>
      </c>
      <c r="F33" s="10">
        <v>1500</v>
      </c>
    </row>
    <row r="34" spans="1:6" x14ac:dyDescent="0.15">
      <c r="A34" s="9" t="s">
        <v>2007</v>
      </c>
      <c r="B34" s="9" t="s">
        <v>1904</v>
      </c>
      <c r="C34" s="9" t="s">
        <v>1762</v>
      </c>
      <c r="D34" s="9" t="s">
        <v>454</v>
      </c>
      <c r="E34" s="10">
        <f t="shared" si="0"/>
        <v>1501</v>
      </c>
      <c r="F34" s="10">
        <v>1600</v>
      </c>
    </row>
    <row r="35" spans="1:6" x14ac:dyDescent="0.15">
      <c r="A35" s="9" t="s">
        <v>2007</v>
      </c>
      <c r="B35" s="9" t="s">
        <v>1903</v>
      </c>
      <c r="C35" s="9" t="s">
        <v>1903</v>
      </c>
      <c r="D35" s="9" t="s">
        <v>455</v>
      </c>
      <c r="E35" s="10">
        <f t="shared" si="0"/>
        <v>1601</v>
      </c>
      <c r="F35" s="10">
        <v>1700</v>
      </c>
    </row>
    <row r="36" spans="1:6" x14ac:dyDescent="0.15">
      <c r="A36" s="9" t="s">
        <v>2007</v>
      </c>
      <c r="B36" s="9" t="s">
        <v>1903</v>
      </c>
      <c r="C36" s="9" t="s">
        <v>1903</v>
      </c>
      <c r="D36" s="9" t="s">
        <v>456</v>
      </c>
      <c r="E36" s="10">
        <f t="shared" si="0"/>
        <v>1701</v>
      </c>
      <c r="F36" s="10">
        <v>1800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75FC-480E-4FC0-AAF5-4DBBF4C16FB4}">
  <dimension ref="A1:K38"/>
  <sheetViews>
    <sheetView workbookViewId="0">
      <selection sqref="A1:K1"/>
    </sheetView>
  </sheetViews>
  <sheetFormatPr defaultRowHeight="10.5" x14ac:dyDescent="0.15"/>
  <cols>
    <col min="1" max="1" width="11" style="9" bestFit="1" customWidth="1"/>
    <col min="2" max="2" width="30.5703125" style="9" bestFit="1" customWidth="1"/>
    <col min="3" max="3" width="11.85546875" style="9" bestFit="1" customWidth="1"/>
    <col min="4" max="4" width="43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2008</v>
      </c>
      <c r="B2" s="32" t="s">
        <v>2009</v>
      </c>
      <c r="C2" s="32" t="s">
        <v>1759</v>
      </c>
      <c r="D2" s="32" t="s">
        <v>1282</v>
      </c>
      <c r="E2" s="11">
        <v>0</v>
      </c>
      <c r="F2" s="11">
        <v>0</v>
      </c>
    </row>
    <row r="3" spans="1:11" x14ac:dyDescent="0.15">
      <c r="A3" s="9" t="s">
        <v>2008</v>
      </c>
      <c r="B3" s="9" t="s">
        <v>2009</v>
      </c>
      <c r="C3" s="9" t="s">
        <v>1759</v>
      </c>
      <c r="D3" s="9" t="s">
        <v>1283</v>
      </c>
      <c r="E3" s="10">
        <f>F2+1</f>
        <v>1</v>
      </c>
      <c r="F3" s="10">
        <v>60</v>
      </c>
    </row>
    <row r="4" spans="1:11" x14ac:dyDescent="0.15">
      <c r="A4" s="9" t="s">
        <v>2008</v>
      </c>
      <c r="B4" s="9" t="s">
        <v>2009</v>
      </c>
      <c r="C4" s="9" t="s">
        <v>1759</v>
      </c>
      <c r="D4" s="9" t="s">
        <v>1284</v>
      </c>
      <c r="E4" s="10">
        <f t="shared" ref="E4:E38" si="0">F3+1</f>
        <v>61</v>
      </c>
      <c r="F4" s="10">
        <v>110</v>
      </c>
    </row>
    <row r="5" spans="1:11" x14ac:dyDescent="0.15">
      <c r="A5" s="9" t="s">
        <v>2008</v>
      </c>
      <c r="B5" s="9" t="s">
        <v>2009</v>
      </c>
      <c r="C5" s="9" t="s">
        <v>1759</v>
      </c>
      <c r="D5" s="9" t="s">
        <v>1285</v>
      </c>
      <c r="E5" s="10">
        <f t="shared" si="0"/>
        <v>111</v>
      </c>
      <c r="F5" s="10">
        <v>140</v>
      </c>
    </row>
    <row r="6" spans="1:11" x14ac:dyDescent="0.15">
      <c r="A6" s="9" t="s">
        <v>2008</v>
      </c>
      <c r="B6" s="9" t="s">
        <v>2009</v>
      </c>
      <c r="C6" s="9" t="s">
        <v>1759</v>
      </c>
      <c r="D6" s="9" t="s">
        <v>1286</v>
      </c>
      <c r="E6" s="10">
        <f t="shared" si="0"/>
        <v>141</v>
      </c>
      <c r="F6" s="10">
        <v>170</v>
      </c>
    </row>
    <row r="7" spans="1:11" s="32" customFormat="1" x14ac:dyDescent="0.15">
      <c r="A7" s="32" t="s">
        <v>2008</v>
      </c>
      <c r="B7" s="32" t="s">
        <v>1861</v>
      </c>
      <c r="C7" s="32" t="s">
        <v>1760</v>
      </c>
      <c r="D7" s="32" t="s">
        <v>1287</v>
      </c>
      <c r="E7" s="11">
        <f t="shared" si="0"/>
        <v>171</v>
      </c>
      <c r="F7" s="11">
        <v>220</v>
      </c>
    </row>
    <row r="8" spans="1:11" x14ac:dyDescent="0.15">
      <c r="A8" s="9" t="s">
        <v>2008</v>
      </c>
      <c r="B8" s="9" t="s">
        <v>1861</v>
      </c>
      <c r="C8" s="9" t="s">
        <v>1760</v>
      </c>
      <c r="D8" s="9" t="s">
        <v>536</v>
      </c>
      <c r="E8" s="10">
        <f t="shared" si="0"/>
        <v>221</v>
      </c>
      <c r="F8" s="10">
        <v>260</v>
      </c>
    </row>
    <row r="9" spans="1:11" x14ac:dyDescent="0.15">
      <c r="A9" s="9" t="s">
        <v>2008</v>
      </c>
      <c r="B9" s="9" t="s">
        <v>1861</v>
      </c>
      <c r="C9" s="9" t="s">
        <v>1760</v>
      </c>
      <c r="D9" s="9" t="s">
        <v>537</v>
      </c>
      <c r="E9" s="10">
        <f t="shared" si="0"/>
        <v>261</v>
      </c>
      <c r="F9" s="10">
        <v>300</v>
      </c>
    </row>
    <row r="10" spans="1:11" x14ac:dyDescent="0.15">
      <c r="A10" s="9" t="s">
        <v>2008</v>
      </c>
      <c r="B10" s="9" t="s">
        <v>1861</v>
      </c>
      <c r="C10" s="9" t="s">
        <v>1760</v>
      </c>
      <c r="D10" s="9" t="s">
        <v>867</v>
      </c>
      <c r="E10" s="10">
        <f t="shared" si="0"/>
        <v>301</v>
      </c>
      <c r="F10" s="10">
        <v>360</v>
      </c>
    </row>
    <row r="11" spans="1:11" x14ac:dyDescent="0.15">
      <c r="A11" s="9" t="s">
        <v>2008</v>
      </c>
      <c r="B11" s="9" t="s">
        <v>1861</v>
      </c>
      <c r="C11" s="9" t="s">
        <v>1760</v>
      </c>
      <c r="D11" s="9" t="s">
        <v>1288</v>
      </c>
      <c r="E11" s="10">
        <f t="shared" si="0"/>
        <v>361</v>
      </c>
      <c r="F11" s="10">
        <v>420</v>
      </c>
    </row>
    <row r="12" spans="1:11" s="32" customFormat="1" x14ac:dyDescent="0.15">
      <c r="A12" s="32" t="s">
        <v>2008</v>
      </c>
      <c r="B12" s="32" t="s">
        <v>1849</v>
      </c>
      <c r="C12" s="32" t="s">
        <v>1760</v>
      </c>
      <c r="D12" s="32" t="s">
        <v>1289</v>
      </c>
      <c r="E12" s="11">
        <f t="shared" si="0"/>
        <v>421</v>
      </c>
      <c r="F12" s="11">
        <v>520</v>
      </c>
    </row>
    <row r="13" spans="1:11" x14ac:dyDescent="0.15">
      <c r="A13" s="9" t="s">
        <v>2008</v>
      </c>
      <c r="B13" s="9" t="s">
        <v>1849</v>
      </c>
      <c r="C13" s="9" t="s">
        <v>1760</v>
      </c>
      <c r="D13" s="9" t="s">
        <v>1290</v>
      </c>
      <c r="E13" s="10">
        <f t="shared" si="0"/>
        <v>521</v>
      </c>
      <c r="F13" s="10">
        <v>600</v>
      </c>
    </row>
    <row r="14" spans="1:11" x14ac:dyDescent="0.15">
      <c r="A14" s="9" t="s">
        <v>2008</v>
      </c>
      <c r="B14" s="9" t="s">
        <v>1849</v>
      </c>
      <c r="C14" s="9" t="s">
        <v>1760</v>
      </c>
      <c r="D14" s="9" t="s">
        <v>1291</v>
      </c>
      <c r="E14" s="10">
        <f t="shared" si="0"/>
        <v>601</v>
      </c>
      <c r="F14" s="10">
        <v>680</v>
      </c>
    </row>
    <row r="15" spans="1:11" x14ac:dyDescent="0.15">
      <c r="A15" s="9" t="s">
        <v>2008</v>
      </c>
      <c r="B15" s="9" t="s">
        <v>1849</v>
      </c>
      <c r="C15" s="9" t="s">
        <v>1760</v>
      </c>
      <c r="D15" s="9" t="s">
        <v>1292</v>
      </c>
      <c r="E15" s="10">
        <f t="shared" si="0"/>
        <v>681</v>
      </c>
      <c r="F15" s="10">
        <v>800</v>
      </c>
    </row>
    <row r="16" spans="1:11" s="32" customFormat="1" x14ac:dyDescent="0.15">
      <c r="A16" s="32" t="s">
        <v>2008</v>
      </c>
      <c r="B16" s="32" t="s">
        <v>2010</v>
      </c>
      <c r="C16" s="32" t="s">
        <v>1760</v>
      </c>
      <c r="D16" s="32" t="s">
        <v>1293</v>
      </c>
      <c r="E16" s="11">
        <f t="shared" si="0"/>
        <v>801</v>
      </c>
      <c r="F16" s="11">
        <v>950</v>
      </c>
    </row>
    <row r="17" spans="1:6" x14ac:dyDescent="0.15">
      <c r="A17" s="9" t="s">
        <v>2008</v>
      </c>
      <c r="B17" s="9" t="s">
        <v>2010</v>
      </c>
      <c r="C17" s="9" t="s">
        <v>1760</v>
      </c>
      <c r="D17" s="9" t="s">
        <v>1294</v>
      </c>
      <c r="E17" s="10">
        <f t="shared" si="0"/>
        <v>951</v>
      </c>
      <c r="F17" s="10">
        <v>1150</v>
      </c>
    </row>
    <row r="18" spans="1:6" x14ac:dyDescent="0.15">
      <c r="A18" s="9" t="s">
        <v>2008</v>
      </c>
      <c r="B18" s="9" t="s">
        <v>2010</v>
      </c>
      <c r="C18" s="9" t="s">
        <v>1760</v>
      </c>
      <c r="D18" s="9" t="s">
        <v>1295</v>
      </c>
      <c r="E18" s="10">
        <f t="shared" si="0"/>
        <v>1151</v>
      </c>
      <c r="F18" s="10">
        <v>1350</v>
      </c>
    </row>
    <row r="19" spans="1:6" x14ac:dyDescent="0.15">
      <c r="A19" s="9" t="s">
        <v>2008</v>
      </c>
      <c r="B19" s="9" t="s">
        <v>2010</v>
      </c>
      <c r="C19" s="9" t="s">
        <v>1760</v>
      </c>
      <c r="D19" s="9" t="s">
        <v>1296</v>
      </c>
      <c r="E19" s="10">
        <f t="shared" si="0"/>
        <v>1351</v>
      </c>
      <c r="F19" s="10">
        <v>1500</v>
      </c>
    </row>
    <row r="20" spans="1:6" x14ac:dyDescent="0.15">
      <c r="A20" s="9" t="s">
        <v>2008</v>
      </c>
      <c r="B20" s="9" t="s">
        <v>2010</v>
      </c>
      <c r="C20" s="9" t="s">
        <v>1760</v>
      </c>
      <c r="D20" s="9" t="s">
        <v>1297</v>
      </c>
      <c r="E20" s="10">
        <f t="shared" si="0"/>
        <v>1501</v>
      </c>
      <c r="F20" s="10">
        <v>1600</v>
      </c>
    </row>
    <row r="21" spans="1:6" s="32" customFormat="1" x14ac:dyDescent="0.15">
      <c r="A21" s="32" t="s">
        <v>2008</v>
      </c>
      <c r="B21" s="32" t="s">
        <v>1851</v>
      </c>
      <c r="C21" s="32" t="s">
        <v>1760</v>
      </c>
      <c r="D21" s="32" t="s">
        <v>1298</v>
      </c>
      <c r="E21" s="11">
        <f t="shared" si="0"/>
        <v>1601</v>
      </c>
      <c r="F21" s="11">
        <v>1700</v>
      </c>
    </row>
    <row r="22" spans="1:6" x14ac:dyDescent="0.15">
      <c r="A22" s="9" t="s">
        <v>2008</v>
      </c>
      <c r="B22" s="9" t="s">
        <v>1851</v>
      </c>
      <c r="C22" s="9" t="s">
        <v>1760</v>
      </c>
      <c r="D22" s="9" t="s">
        <v>1299</v>
      </c>
      <c r="E22" s="10">
        <f t="shared" si="0"/>
        <v>1701</v>
      </c>
      <c r="F22" s="10">
        <v>1820</v>
      </c>
    </row>
    <row r="23" spans="1:6" x14ac:dyDescent="0.15">
      <c r="A23" s="9" t="s">
        <v>2008</v>
      </c>
      <c r="B23" s="9" t="s">
        <v>1851</v>
      </c>
      <c r="C23" s="9" t="s">
        <v>1760</v>
      </c>
      <c r="D23" s="9" t="s">
        <v>1300</v>
      </c>
      <c r="E23" s="10">
        <f t="shared" si="0"/>
        <v>1821</v>
      </c>
      <c r="F23" s="10">
        <v>1900</v>
      </c>
    </row>
    <row r="24" spans="1:6" s="32" customFormat="1" x14ac:dyDescent="0.15">
      <c r="A24" s="32" t="s">
        <v>2008</v>
      </c>
      <c r="B24" s="32" t="s">
        <v>2011</v>
      </c>
      <c r="C24" s="32" t="s">
        <v>1761</v>
      </c>
      <c r="D24" s="32" t="s">
        <v>1301</v>
      </c>
      <c r="E24" s="11">
        <f t="shared" si="0"/>
        <v>1901</v>
      </c>
      <c r="F24" s="11">
        <v>2000</v>
      </c>
    </row>
    <row r="25" spans="1:6" x14ac:dyDescent="0.15">
      <c r="A25" s="9" t="s">
        <v>2008</v>
      </c>
      <c r="B25" s="9" t="s">
        <v>2011</v>
      </c>
      <c r="C25" s="9" t="s">
        <v>1761</v>
      </c>
      <c r="D25" s="9" t="s">
        <v>1302</v>
      </c>
      <c r="E25" s="10">
        <f t="shared" si="0"/>
        <v>2001</v>
      </c>
      <c r="F25" s="10">
        <v>2100</v>
      </c>
    </row>
    <row r="26" spans="1:6" x14ac:dyDescent="0.15">
      <c r="A26" s="9" t="s">
        <v>2008</v>
      </c>
      <c r="B26" s="9" t="s">
        <v>2011</v>
      </c>
      <c r="C26" s="9" t="s">
        <v>1761</v>
      </c>
      <c r="D26" s="9" t="s">
        <v>1303</v>
      </c>
      <c r="E26" s="10">
        <f t="shared" si="0"/>
        <v>2101</v>
      </c>
      <c r="F26" s="10">
        <v>2200</v>
      </c>
    </row>
    <row r="27" spans="1:6" s="32" customFormat="1" x14ac:dyDescent="0.15">
      <c r="A27" s="32" t="s">
        <v>2008</v>
      </c>
      <c r="B27" s="32" t="s">
        <v>2012</v>
      </c>
      <c r="C27" s="32" t="s">
        <v>1761</v>
      </c>
      <c r="D27" s="32" t="s">
        <v>1304</v>
      </c>
      <c r="E27" s="11">
        <f t="shared" si="0"/>
        <v>2201</v>
      </c>
      <c r="F27" s="11">
        <v>2320</v>
      </c>
    </row>
    <row r="28" spans="1:6" x14ac:dyDescent="0.15">
      <c r="A28" s="9" t="s">
        <v>2008</v>
      </c>
      <c r="B28" s="9" t="s">
        <v>2012</v>
      </c>
      <c r="C28" s="9" t="s">
        <v>1761</v>
      </c>
      <c r="D28" s="9" t="s">
        <v>1305</v>
      </c>
      <c r="E28" s="10">
        <f t="shared" si="0"/>
        <v>2321</v>
      </c>
      <c r="F28" s="10">
        <v>2420</v>
      </c>
    </row>
    <row r="29" spans="1:6" x14ac:dyDescent="0.15">
      <c r="A29" s="9" t="s">
        <v>2008</v>
      </c>
      <c r="B29" s="9" t="s">
        <v>2012</v>
      </c>
      <c r="C29" s="9" t="s">
        <v>1761</v>
      </c>
      <c r="D29" s="9" t="s">
        <v>521</v>
      </c>
      <c r="E29" s="10">
        <f t="shared" si="0"/>
        <v>2421</v>
      </c>
      <c r="F29" s="10">
        <v>2500</v>
      </c>
    </row>
    <row r="30" spans="1:6" s="32" customFormat="1" x14ac:dyDescent="0.15">
      <c r="A30" s="32" t="s">
        <v>2008</v>
      </c>
      <c r="B30" s="32" t="s">
        <v>1886</v>
      </c>
      <c r="C30" s="32" t="s">
        <v>1761</v>
      </c>
      <c r="D30" s="32" t="s">
        <v>1306</v>
      </c>
      <c r="E30" s="11">
        <f t="shared" si="0"/>
        <v>2501</v>
      </c>
      <c r="F30" s="11">
        <v>2620</v>
      </c>
    </row>
    <row r="31" spans="1:6" x14ac:dyDescent="0.15">
      <c r="A31" s="9" t="s">
        <v>2008</v>
      </c>
      <c r="B31" s="9" t="s">
        <v>1886</v>
      </c>
      <c r="C31" s="9" t="s">
        <v>1761</v>
      </c>
      <c r="D31" s="9" t="s">
        <v>1307</v>
      </c>
      <c r="E31" s="10">
        <f t="shared" si="0"/>
        <v>2621</v>
      </c>
      <c r="F31" s="10">
        <v>2760</v>
      </c>
    </row>
    <row r="32" spans="1:6" x14ac:dyDescent="0.15">
      <c r="A32" s="9" t="s">
        <v>2008</v>
      </c>
      <c r="B32" s="9" t="s">
        <v>1886</v>
      </c>
      <c r="C32" s="9" t="s">
        <v>1761</v>
      </c>
      <c r="D32" s="9" t="s">
        <v>1308</v>
      </c>
      <c r="E32" s="10">
        <f t="shared" si="0"/>
        <v>2761</v>
      </c>
      <c r="F32" s="10">
        <v>2900</v>
      </c>
    </row>
    <row r="33" spans="1:6" s="32" customFormat="1" x14ac:dyDescent="0.15">
      <c r="A33" s="32" t="s">
        <v>2008</v>
      </c>
      <c r="B33" s="32" t="s">
        <v>1762</v>
      </c>
      <c r="C33" s="32" t="s">
        <v>1762</v>
      </c>
      <c r="D33" s="32" t="s">
        <v>1309</v>
      </c>
      <c r="E33" s="11">
        <f t="shared" si="0"/>
        <v>2901</v>
      </c>
      <c r="F33" s="11">
        <v>3050</v>
      </c>
    </row>
    <row r="34" spans="1:6" x14ac:dyDescent="0.15">
      <c r="A34" s="9" t="s">
        <v>2008</v>
      </c>
      <c r="B34" s="9" t="s">
        <v>1762</v>
      </c>
      <c r="C34" s="9" t="s">
        <v>1762</v>
      </c>
      <c r="D34" s="9" t="s">
        <v>1310</v>
      </c>
      <c r="E34" s="10">
        <f t="shared" si="0"/>
        <v>3051</v>
      </c>
      <c r="F34" s="10">
        <v>3150</v>
      </c>
    </row>
    <row r="35" spans="1:6" x14ac:dyDescent="0.15">
      <c r="A35" s="9" t="s">
        <v>2008</v>
      </c>
      <c r="B35" s="9" t="s">
        <v>1762</v>
      </c>
      <c r="C35" s="9" t="s">
        <v>1762</v>
      </c>
      <c r="D35" s="9" t="s">
        <v>1311</v>
      </c>
      <c r="E35" s="10">
        <f t="shared" si="0"/>
        <v>3151</v>
      </c>
      <c r="F35" s="10">
        <v>3300</v>
      </c>
    </row>
    <row r="36" spans="1:6" s="32" customFormat="1" x14ac:dyDescent="0.15">
      <c r="A36" s="32" t="s">
        <v>2008</v>
      </c>
      <c r="B36" s="32" t="s">
        <v>1855</v>
      </c>
      <c r="C36" s="32" t="s">
        <v>1855</v>
      </c>
      <c r="D36" s="32" t="s">
        <v>1312</v>
      </c>
      <c r="E36" s="11">
        <f t="shared" si="0"/>
        <v>3301</v>
      </c>
      <c r="F36" s="11">
        <v>3400</v>
      </c>
    </row>
    <row r="37" spans="1:6" x14ac:dyDescent="0.15">
      <c r="A37" s="9" t="s">
        <v>2008</v>
      </c>
      <c r="B37" s="9" t="s">
        <v>1855</v>
      </c>
      <c r="C37" s="9" t="s">
        <v>1855</v>
      </c>
      <c r="D37" s="9" t="s">
        <v>1313</v>
      </c>
      <c r="E37" s="10">
        <f t="shared" si="0"/>
        <v>3401</v>
      </c>
      <c r="F37" s="10">
        <v>3500</v>
      </c>
    </row>
    <row r="38" spans="1:6" x14ac:dyDescent="0.15">
      <c r="A38" s="9" t="s">
        <v>2008</v>
      </c>
      <c r="B38" s="9" t="s">
        <v>1855</v>
      </c>
      <c r="C38" s="9" t="s">
        <v>1855</v>
      </c>
      <c r="D38" s="9" t="s">
        <v>1314</v>
      </c>
      <c r="E38" s="10">
        <f t="shared" si="0"/>
        <v>3501</v>
      </c>
      <c r="F38" s="10">
        <v>3600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7D00-96CE-461C-8621-5554A8BB70F5}">
  <dimension ref="A1:K39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5.7109375" style="9" bestFit="1" customWidth="1"/>
    <col min="3" max="3" width="11.85546875" style="9" bestFit="1" customWidth="1"/>
    <col min="4" max="4" width="52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2013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0</v>
      </c>
    </row>
    <row r="3" spans="1:11" x14ac:dyDescent="0.15">
      <c r="A3" s="9" t="s">
        <v>2013</v>
      </c>
      <c r="B3" s="9" t="s">
        <v>1759</v>
      </c>
      <c r="C3" s="9" t="s">
        <v>1759</v>
      </c>
      <c r="D3" s="9" t="s">
        <v>374</v>
      </c>
      <c r="E3" s="10">
        <f>F2+1</f>
        <v>1</v>
      </c>
      <c r="F3" s="10">
        <v>30</v>
      </c>
    </row>
    <row r="4" spans="1:11" x14ac:dyDescent="0.15">
      <c r="A4" s="9" t="s">
        <v>2013</v>
      </c>
      <c r="B4" s="9" t="s">
        <v>1759</v>
      </c>
      <c r="C4" s="9" t="s">
        <v>1759</v>
      </c>
      <c r="D4" s="9" t="s">
        <v>1316</v>
      </c>
      <c r="E4" s="10">
        <f t="shared" ref="E4:E39" si="0">F3+1</f>
        <v>31</v>
      </c>
      <c r="F4" s="10">
        <v>60</v>
      </c>
    </row>
    <row r="5" spans="1:11" x14ac:dyDescent="0.15">
      <c r="A5" s="9" t="s">
        <v>2013</v>
      </c>
      <c r="B5" s="9" t="s">
        <v>1759</v>
      </c>
      <c r="C5" s="9" t="s">
        <v>1759</v>
      </c>
      <c r="D5" s="9" t="s">
        <v>414</v>
      </c>
      <c r="E5" s="10">
        <f t="shared" si="0"/>
        <v>61</v>
      </c>
      <c r="F5" s="10">
        <v>80</v>
      </c>
    </row>
    <row r="6" spans="1:11" x14ac:dyDescent="0.15">
      <c r="A6" s="9" t="s">
        <v>2013</v>
      </c>
      <c r="B6" s="9" t="s">
        <v>1759</v>
      </c>
      <c r="C6" s="9" t="s">
        <v>1759</v>
      </c>
      <c r="D6" s="9" t="s">
        <v>415</v>
      </c>
      <c r="E6" s="10">
        <f t="shared" si="0"/>
        <v>81</v>
      </c>
      <c r="F6" s="10">
        <v>95</v>
      </c>
    </row>
    <row r="7" spans="1:11" x14ac:dyDescent="0.15">
      <c r="A7" s="9" t="s">
        <v>2013</v>
      </c>
      <c r="B7" s="9" t="s">
        <v>1759</v>
      </c>
      <c r="C7" s="9" t="s">
        <v>1759</v>
      </c>
      <c r="D7" s="9" t="s">
        <v>1317</v>
      </c>
      <c r="E7" s="10">
        <f t="shared" si="0"/>
        <v>96</v>
      </c>
      <c r="F7" s="10">
        <v>110</v>
      </c>
    </row>
    <row r="8" spans="1:11" x14ac:dyDescent="0.15">
      <c r="A8" s="9" t="s">
        <v>2013</v>
      </c>
      <c r="B8" s="9" t="s">
        <v>1759</v>
      </c>
      <c r="C8" s="9" t="s">
        <v>1759</v>
      </c>
      <c r="D8" s="9" t="s">
        <v>1318</v>
      </c>
      <c r="E8" s="10">
        <f t="shared" si="0"/>
        <v>111</v>
      </c>
      <c r="F8" s="10">
        <v>130</v>
      </c>
    </row>
    <row r="9" spans="1:11" s="32" customFormat="1" x14ac:dyDescent="0.15">
      <c r="A9" s="32" t="s">
        <v>2013</v>
      </c>
      <c r="B9" s="32" t="s">
        <v>1861</v>
      </c>
      <c r="C9" s="32" t="s">
        <v>1760</v>
      </c>
      <c r="D9" s="32" t="s">
        <v>380</v>
      </c>
      <c r="E9" s="11">
        <f t="shared" si="0"/>
        <v>131</v>
      </c>
      <c r="F9" s="11">
        <v>160</v>
      </c>
    </row>
    <row r="10" spans="1:11" x14ac:dyDescent="0.15">
      <c r="A10" s="9" t="s">
        <v>2013</v>
      </c>
      <c r="B10" s="9" t="s">
        <v>1861</v>
      </c>
      <c r="C10" s="9" t="s">
        <v>1760</v>
      </c>
      <c r="D10" s="9" t="s">
        <v>418</v>
      </c>
      <c r="E10" s="10">
        <f t="shared" si="0"/>
        <v>161</v>
      </c>
      <c r="F10" s="10">
        <v>200</v>
      </c>
    </row>
    <row r="11" spans="1:11" x14ac:dyDescent="0.15">
      <c r="A11" s="9" t="s">
        <v>2013</v>
      </c>
      <c r="B11" s="9" t="s">
        <v>1861</v>
      </c>
      <c r="C11" s="9" t="s">
        <v>1760</v>
      </c>
      <c r="D11" s="9" t="s">
        <v>419</v>
      </c>
      <c r="E11" s="10">
        <f t="shared" si="0"/>
        <v>201</v>
      </c>
      <c r="F11" s="10">
        <v>240</v>
      </c>
    </row>
    <row r="12" spans="1:11" x14ac:dyDescent="0.15">
      <c r="A12" s="9" t="s">
        <v>2013</v>
      </c>
      <c r="B12" s="9" t="s">
        <v>1861</v>
      </c>
      <c r="C12" s="9" t="s">
        <v>1760</v>
      </c>
      <c r="D12" s="9" t="s">
        <v>1319</v>
      </c>
      <c r="E12" s="10">
        <f t="shared" si="0"/>
        <v>241</v>
      </c>
      <c r="F12" s="10">
        <v>320</v>
      </c>
    </row>
    <row r="13" spans="1:11" s="32" customFormat="1" x14ac:dyDescent="0.15">
      <c r="A13" s="32" t="s">
        <v>2013</v>
      </c>
      <c r="B13" s="32" t="s">
        <v>1857</v>
      </c>
      <c r="C13" s="32" t="s">
        <v>1760</v>
      </c>
      <c r="D13" s="32" t="s">
        <v>422</v>
      </c>
      <c r="E13" s="11">
        <f t="shared" si="0"/>
        <v>321</v>
      </c>
      <c r="F13" s="11">
        <v>360</v>
      </c>
    </row>
    <row r="14" spans="1:11" x14ac:dyDescent="0.15">
      <c r="A14" s="9" t="s">
        <v>2013</v>
      </c>
      <c r="B14" s="9" t="s">
        <v>1857</v>
      </c>
      <c r="C14" s="9" t="s">
        <v>1760</v>
      </c>
      <c r="D14" s="9" t="s">
        <v>423</v>
      </c>
      <c r="E14" s="10">
        <f t="shared" si="0"/>
        <v>361</v>
      </c>
      <c r="F14" s="10">
        <v>390</v>
      </c>
    </row>
    <row r="15" spans="1:11" x14ac:dyDescent="0.15">
      <c r="A15" s="9" t="s">
        <v>2013</v>
      </c>
      <c r="B15" s="9" t="s">
        <v>1857</v>
      </c>
      <c r="C15" s="9" t="s">
        <v>1760</v>
      </c>
      <c r="D15" s="9" t="s">
        <v>424</v>
      </c>
      <c r="E15" s="10">
        <f t="shared" si="0"/>
        <v>391</v>
      </c>
      <c r="F15" s="10">
        <v>410</v>
      </c>
    </row>
    <row r="16" spans="1:11" x14ac:dyDescent="0.15">
      <c r="A16" s="9" t="s">
        <v>2013</v>
      </c>
      <c r="B16" s="9" t="s">
        <v>1857</v>
      </c>
      <c r="C16" s="9" t="s">
        <v>1760</v>
      </c>
      <c r="D16" s="9" t="s">
        <v>651</v>
      </c>
      <c r="E16" s="10">
        <f t="shared" si="0"/>
        <v>411</v>
      </c>
      <c r="F16" s="10">
        <v>420</v>
      </c>
    </row>
    <row r="17" spans="1:6" s="32" customFormat="1" x14ac:dyDescent="0.15">
      <c r="A17" s="32" t="s">
        <v>2013</v>
      </c>
      <c r="B17" s="32" t="s">
        <v>2014</v>
      </c>
      <c r="C17" s="32" t="s">
        <v>1760</v>
      </c>
      <c r="D17" s="32" t="s">
        <v>1320</v>
      </c>
      <c r="E17" s="11">
        <f t="shared" si="0"/>
        <v>421</v>
      </c>
      <c r="F17" s="11">
        <v>470</v>
      </c>
    </row>
    <row r="18" spans="1:6" x14ac:dyDescent="0.15">
      <c r="A18" s="9" t="s">
        <v>2013</v>
      </c>
      <c r="B18" s="9" t="s">
        <v>2014</v>
      </c>
      <c r="C18" s="9" t="s">
        <v>1760</v>
      </c>
      <c r="D18" s="9" t="s">
        <v>1321</v>
      </c>
      <c r="E18" s="10">
        <f t="shared" si="0"/>
        <v>471</v>
      </c>
      <c r="F18" s="10">
        <v>530</v>
      </c>
    </row>
    <row r="19" spans="1:6" x14ac:dyDescent="0.15">
      <c r="A19" s="9" t="s">
        <v>2013</v>
      </c>
      <c r="B19" s="9" t="s">
        <v>2014</v>
      </c>
      <c r="C19" s="9" t="s">
        <v>1760</v>
      </c>
      <c r="D19" s="9" t="s">
        <v>1322</v>
      </c>
      <c r="E19" s="10">
        <f t="shared" si="0"/>
        <v>531</v>
      </c>
      <c r="F19" s="10">
        <v>590</v>
      </c>
    </row>
    <row r="20" spans="1:6" x14ac:dyDescent="0.15">
      <c r="A20" s="9" t="s">
        <v>2013</v>
      </c>
      <c r="B20" s="9" t="s">
        <v>2014</v>
      </c>
      <c r="C20" s="9" t="s">
        <v>1760</v>
      </c>
      <c r="D20" s="9" t="s">
        <v>1323</v>
      </c>
      <c r="E20" s="10">
        <f t="shared" si="0"/>
        <v>591</v>
      </c>
      <c r="F20" s="10">
        <v>650</v>
      </c>
    </row>
    <row r="21" spans="1:6" x14ac:dyDescent="0.15">
      <c r="A21" s="9" t="s">
        <v>2013</v>
      </c>
      <c r="B21" s="9" t="s">
        <v>2014</v>
      </c>
      <c r="C21" s="9" t="s">
        <v>1760</v>
      </c>
      <c r="D21" s="9" t="s">
        <v>1324</v>
      </c>
      <c r="E21" s="10">
        <f t="shared" si="0"/>
        <v>651</v>
      </c>
      <c r="F21" s="10">
        <v>720</v>
      </c>
    </row>
    <row r="22" spans="1:6" s="32" customFormat="1" x14ac:dyDescent="0.15">
      <c r="A22" s="32" t="s">
        <v>2013</v>
      </c>
      <c r="B22" s="32" t="s">
        <v>1858</v>
      </c>
      <c r="C22" s="32" t="s">
        <v>1761</v>
      </c>
      <c r="D22" s="32" t="s">
        <v>425</v>
      </c>
      <c r="E22" s="11">
        <f t="shared" si="0"/>
        <v>721</v>
      </c>
      <c r="F22" s="11">
        <v>750</v>
      </c>
    </row>
    <row r="23" spans="1:6" x14ac:dyDescent="0.15">
      <c r="A23" s="9" t="s">
        <v>2013</v>
      </c>
      <c r="B23" s="9" t="s">
        <v>1858</v>
      </c>
      <c r="C23" s="9" t="s">
        <v>1761</v>
      </c>
      <c r="D23" s="9" t="s">
        <v>426</v>
      </c>
      <c r="E23" s="10">
        <f t="shared" si="0"/>
        <v>751</v>
      </c>
      <c r="F23" s="10">
        <v>780</v>
      </c>
    </row>
    <row r="24" spans="1:6" x14ac:dyDescent="0.15">
      <c r="A24" s="9" t="s">
        <v>2013</v>
      </c>
      <c r="B24" s="9" t="s">
        <v>1858</v>
      </c>
      <c r="C24" s="9" t="s">
        <v>1761</v>
      </c>
      <c r="D24" s="9" t="s">
        <v>427</v>
      </c>
      <c r="E24" s="10">
        <f t="shared" si="0"/>
        <v>781</v>
      </c>
      <c r="F24" s="10">
        <v>820</v>
      </c>
    </row>
    <row r="25" spans="1:6" s="32" customFormat="1" x14ac:dyDescent="0.15">
      <c r="A25" s="32" t="s">
        <v>2013</v>
      </c>
      <c r="B25" s="32" t="s">
        <v>1859</v>
      </c>
      <c r="C25" s="32" t="s">
        <v>1761</v>
      </c>
      <c r="D25" s="32" t="s">
        <v>429</v>
      </c>
      <c r="E25" s="11">
        <f t="shared" si="0"/>
        <v>821</v>
      </c>
      <c r="F25" s="11">
        <v>840</v>
      </c>
    </row>
    <row r="26" spans="1:6" x14ac:dyDescent="0.15">
      <c r="A26" s="9" t="s">
        <v>2013</v>
      </c>
      <c r="B26" s="9" t="s">
        <v>1859</v>
      </c>
      <c r="C26" s="9" t="s">
        <v>1761</v>
      </c>
      <c r="D26" s="9" t="s">
        <v>430</v>
      </c>
      <c r="E26" s="10">
        <f t="shared" si="0"/>
        <v>841</v>
      </c>
      <c r="F26" s="10">
        <v>860</v>
      </c>
    </row>
    <row r="27" spans="1:6" x14ac:dyDescent="0.15">
      <c r="A27" s="9" t="s">
        <v>2013</v>
      </c>
      <c r="B27" s="9" t="s">
        <v>1859</v>
      </c>
      <c r="C27" s="9" t="s">
        <v>1761</v>
      </c>
      <c r="D27" s="9" t="s">
        <v>434</v>
      </c>
      <c r="E27" s="10">
        <f t="shared" si="0"/>
        <v>861</v>
      </c>
      <c r="F27" s="10">
        <v>940</v>
      </c>
    </row>
    <row r="28" spans="1:6" x14ac:dyDescent="0.15">
      <c r="A28" s="9" t="s">
        <v>2013</v>
      </c>
      <c r="B28" s="9" t="s">
        <v>1859</v>
      </c>
      <c r="C28" s="9" t="s">
        <v>1761</v>
      </c>
      <c r="D28" s="9" t="s">
        <v>435</v>
      </c>
      <c r="E28" s="10">
        <f t="shared" si="0"/>
        <v>941</v>
      </c>
      <c r="F28" s="10">
        <v>960</v>
      </c>
    </row>
    <row r="29" spans="1:6" x14ac:dyDescent="0.15">
      <c r="A29" s="9" t="s">
        <v>2013</v>
      </c>
      <c r="B29" s="9" t="s">
        <v>1859</v>
      </c>
      <c r="C29" s="9" t="s">
        <v>1761</v>
      </c>
      <c r="D29" s="9" t="s">
        <v>436</v>
      </c>
      <c r="E29" s="10">
        <f t="shared" si="0"/>
        <v>961</v>
      </c>
      <c r="F29" s="10">
        <v>980</v>
      </c>
    </row>
    <row r="30" spans="1:6" s="32" customFormat="1" x14ac:dyDescent="0.15">
      <c r="A30" s="32" t="s">
        <v>2013</v>
      </c>
      <c r="B30" s="32" t="s">
        <v>1886</v>
      </c>
      <c r="C30" s="32" t="s">
        <v>1761</v>
      </c>
      <c r="D30" s="32" t="s">
        <v>1325</v>
      </c>
      <c r="E30" s="11">
        <f t="shared" si="0"/>
        <v>981</v>
      </c>
      <c r="F30" s="11">
        <v>1000</v>
      </c>
    </row>
    <row r="31" spans="1:6" x14ac:dyDescent="0.15">
      <c r="A31" s="9" t="s">
        <v>2013</v>
      </c>
      <c r="B31" s="9" t="s">
        <v>1886</v>
      </c>
      <c r="C31" s="9" t="s">
        <v>1761</v>
      </c>
      <c r="D31" s="9" t="s">
        <v>1326</v>
      </c>
      <c r="E31" s="10">
        <f t="shared" si="0"/>
        <v>1001</v>
      </c>
      <c r="F31" s="10">
        <v>1047</v>
      </c>
    </row>
    <row r="32" spans="1:6" x14ac:dyDescent="0.15">
      <c r="A32" s="9" t="s">
        <v>2013</v>
      </c>
      <c r="B32" s="9" t="s">
        <v>1886</v>
      </c>
      <c r="C32" s="9" t="s">
        <v>1761</v>
      </c>
      <c r="D32" s="9" t="s">
        <v>1327</v>
      </c>
      <c r="E32" s="10">
        <f t="shared" si="0"/>
        <v>1048</v>
      </c>
      <c r="F32" s="10">
        <v>1110</v>
      </c>
    </row>
    <row r="33" spans="1:6" s="32" customFormat="1" x14ac:dyDescent="0.15">
      <c r="A33" s="32" t="s">
        <v>2013</v>
      </c>
      <c r="B33" s="32" t="s">
        <v>1860</v>
      </c>
      <c r="C33" s="32" t="s">
        <v>1762</v>
      </c>
      <c r="D33" s="32" t="s">
        <v>1328</v>
      </c>
      <c r="E33" s="11">
        <f t="shared" si="0"/>
        <v>1111</v>
      </c>
      <c r="F33" s="11">
        <v>1150</v>
      </c>
    </row>
    <row r="34" spans="1:6" x14ac:dyDescent="0.15">
      <c r="A34" s="9" t="s">
        <v>2013</v>
      </c>
      <c r="B34" s="9" t="s">
        <v>1860</v>
      </c>
      <c r="C34" s="9" t="s">
        <v>1762</v>
      </c>
      <c r="D34" s="9" t="s">
        <v>1329</v>
      </c>
      <c r="E34" s="10">
        <f t="shared" si="0"/>
        <v>1151</v>
      </c>
      <c r="F34" s="10">
        <v>1250</v>
      </c>
    </row>
    <row r="35" spans="1:6" x14ac:dyDescent="0.15">
      <c r="A35" s="9" t="s">
        <v>2013</v>
      </c>
      <c r="B35" s="9" t="s">
        <v>1860</v>
      </c>
      <c r="C35" s="9" t="s">
        <v>1762</v>
      </c>
      <c r="D35" s="9" t="s">
        <v>1330</v>
      </c>
      <c r="E35" s="10">
        <f t="shared" si="0"/>
        <v>1251</v>
      </c>
      <c r="F35" s="10">
        <v>1300</v>
      </c>
    </row>
    <row r="36" spans="1:6" s="32" customFormat="1" x14ac:dyDescent="0.15">
      <c r="A36" s="32" t="s">
        <v>2013</v>
      </c>
      <c r="B36" s="32" t="s">
        <v>1855</v>
      </c>
      <c r="C36" s="32" t="s">
        <v>1855</v>
      </c>
      <c r="D36" s="32" t="s">
        <v>1331</v>
      </c>
      <c r="E36" s="11">
        <f t="shared" si="0"/>
        <v>1301</v>
      </c>
      <c r="F36" s="11">
        <v>1340</v>
      </c>
    </row>
    <row r="37" spans="1:6" x14ac:dyDescent="0.15">
      <c r="A37" s="9" t="s">
        <v>2013</v>
      </c>
      <c r="B37" s="9" t="s">
        <v>1855</v>
      </c>
      <c r="C37" s="9" t="s">
        <v>1855</v>
      </c>
      <c r="D37" s="9" t="s">
        <v>1332</v>
      </c>
      <c r="E37" s="10">
        <f t="shared" si="0"/>
        <v>1341</v>
      </c>
      <c r="F37" s="10">
        <v>1370</v>
      </c>
    </row>
    <row r="38" spans="1:6" x14ac:dyDescent="0.15">
      <c r="A38" s="9" t="s">
        <v>2013</v>
      </c>
      <c r="B38" s="9" t="s">
        <v>1855</v>
      </c>
      <c r="C38" s="9" t="s">
        <v>1855</v>
      </c>
      <c r="D38" s="9" t="s">
        <v>1333</v>
      </c>
      <c r="E38" s="10">
        <f t="shared" si="0"/>
        <v>1371</v>
      </c>
      <c r="F38" s="10">
        <v>1400</v>
      </c>
    </row>
    <row r="39" spans="1:6" x14ac:dyDescent="0.15">
      <c r="A39" s="9" t="s">
        <v>2013</v>
      </c>
      <c r="B39" s="9" t="s">
        <v>1855</v>
      </c>
      <c r="C39" s="9" t="s">
        <v>1855</v>
      </c>
      <c r="D39" s="9" t="s">
        <v>456</v>
      </c>
      <c r="E39" s="10">
        <f t="shared" si="0"/>
        <v>1401</v>
      </c>
      <c r="F39" s="10">
        <v>1450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C388-64FE-43BF-8F84-14C8B03D7FDA}">
  <dimension ref="A1:K41"/>
  <sheetViews>
    <sheetView workbookViewId="0">
      <selection sqref="A1:K1"/>
    </sheetView>
  </sheetViews>
  <sheetFormatPr defaultColWidth="10.42578125" defaultRowHeight="10.5" x14ac:dyDescent="0.15"/>
  <cols>
    <col min="1" max="1" width="10.28515625" style="9" bestFit="1" customWidth="1"/>
    <col min="2" max="2" width="29.28515625" style="9" bestFit="1" customWidth="1"/>
    <col min="3" max="3" width="11.85546875" style="9" bestFit="1" customWidth="1"/>
    <col min="4" max="4" width="52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0.425781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2015</v>
      </c>
      <c r="B2" s="32" t="s">
        <v>2016</v>
      </c>
      <c r="C2" s="32" t="s">
        <v>1759</v>
      </c>
      <c r="D2" s="32" t="s">
        <v>1335</v>
      </c>
      <c r="E2" s="11">
        <v>0</v>
      </c>
      <c r="F2" s="11">
        <v>0</v>
      </c>
    </row>
    <row r="3" spans="1:11" x14ac:dyDescent="0.15">
      <c r="A3" s="9" t="s">
        <v>2015</v>
      </c>
      <c r="B3" s="9" t="s">
        <v>2016</v>
      </c>
      <c r="C3" s="9" t="s">
        <v>1759</v>
      </c>
      <c r="D3" s="9" t="s">
        <v>1336</v>
      </c>
      <c r="E3" s="10">
        <f>F2+1</f>
        <v>1</v>
      </c>
      <c r="F3" s="10">
        <v>40</v>
      </c>
    </row>
    <row r="4" spans="1:11" x14ac:dyDescent="0.15">
      <c r="A4" s="9" t="s">
        <v>2015</v>
      </c>
      <c r="B4" s="9" t="s">
        <v>2016</v>
      </c>
      <c r="C4" s="9" t="s">
        <v>1759</v>
      </c>
      <c r="D4" s="9" t="s">
        <v>1316</v>
      </c>
      <c r="E4" s="10">
        <f t="shared" ref="E4:E41" si="0">F3+1</f>
        <v>41</v>
      </c>
      <c r="F4" s="10">
        <v>80</v>
      </c>
    </row>
    <row r="5" spans="1:11" x14ac:dyDescent="0.15">
      <c r="A5" s="9" t="s">
        <v>2015</v>
      </c>
      <c r="B5" s="9" t="s">
        <v>2016</v>
      </c>
      <c r="C5" s="9" t="s">
        <v>1759</v>
      </c>
      <c r="D5" s="9" t="s">
        <v>414</v>
      </c>
      <c r="E5" s="10">
        <f t="shared" si="0"/>
        <v>81</v>
      </c>
      <c r="F5" s="10">
        <v>110</v>
      </c>
    </row>
    <row r="6" spans="1:11" x14ac:dyDescent="0.15">
      <c r="A6" s="9" t="s">
        <v>2015</v>
      </c>
      <c r="B6" s="9" t="s">
        <v>2016</v>
      </c>
      <c r="C6" s="9" t="s">
        <v>1759</v>
      </c>
      <c r="D6" s="9" t="s">
        <v>1337</v>
      </c>
      <c r="E6" s="10">
        <f t="shared" si="0"/>
        <v>111</v>
      </c>
      <c r="F6" s="10">
        <v>140</v>
      </c>
    </row>
    <row r="7" spans="1:11" x14ac:dyDescent="0.15">
      <c r="A7" s="9" t="s">
        <v>2015</v>
      </c>
      <c r="B7" s="9" t="s">
        <v>2016</v>
      </c>
      <c r="C7" s="9" t="s">
        <v>1759</v>
      </c>
      <c r="D7" s="9" t="s">
        <v>1338</v>
      </c>
      <c r="E7" s="10">
        <f t="shared" si="0"/>
        <v>141</v>
      </c>
      <c r="F7" s="10">
        <v>170</v>
      </c>
    </row>
    <row r="8" spans="1:11" x14ac:dyDescent="0.15">
      <c r="A8" s="9" t="s">
        <v>2015</v>
      </c>
      <c r="B8" s="9" t="s">
        <v>2016</v>
      </c>
      <c r="C8" s="9" t="s">
        <v>1759</v>
      </c>
      <c r="D8" s="9" t="s">
        <v>1339</v>
      </c>
      <c r="E8" s="10">
        <f t="shared" si="0"/>
        <v>171</v>
      </c>
      <c r="F8" s="10">
        <v>200</v>
      </c>
    </row>
    <row r="9" spans="1:11" s="32" customFormat="1" x14ac:dyDescent="0.15">
      <c r="A9" s="32" t="s">
        <v>2015</v>
      </c>
      <c r="B9" s="32" t="s">
        <v>1861</v>
      </c>
      <c r="C9" s="32" t="s">
        <v>1760</v>
      </c>
      <c r="D9" s="32" t="s">
        <v>1340</v>
      </c>
      <c r="E9" s="11">
        <f t="shared" si="0"/>
        <v>201</v>
      </c>
      <c r="F9" s="11">
        <v>250</v>
      </c>
    </row>
    <row r="10" spans="1:11" x14ac:dyDescent="0.15">
      <c r="A10" s="9" t="s">
        <v>2015</v>
      </c>
      <c r="B10" s="9" t="s">
        <v>1861</v>
      </c>
      <c r="C10" s="9" t="s">
        <v>1760</v>
      </c>
      <c r="D10" s="9" t="s">
        <v>1341</v>
      </c>
      <c r="E10" s="10">
        <f t="shared" si="0"/>
        <v>251</v>
      </c>
      <c r="F10" s="10">
        <v>300</v>
      </c>
    </row>
    <row r="11" spans="1:11" x14ac:dyDescent="0.15">
      <c r="A11" s="9" t="s">
        <v>2015</v>
      </c>
      <c r="B11" s="9" t="s">
        <v>1861</v>
      </c>
      <c r="C11" s="9" t="s">
        <v>1760</v>
      </c>
      <c r="D11" s="9" t="s">
        <v>1342</v>
      </c>
      <c r="E11" s="10">
        <f t="shared" si="0"/>
        <v>301</v>
      </c>
      <c r="F11" s="10">
        <v>360</v>
      </c>
    </row>
    <row r="12" spans="1:11" x14ac:dyDescent="0.15">
      <c r="A12" s="9" t="s">
        <v>2015</v>
      </c>
      <c r="B12" s="9" t="s">
        <v>1861</v>
      </c>
      <c r="C12" s="9" t="s">
        <v>1760</v>
      </c>
      <c r="D12" s="9" t="s">
        <v>1343</v>
      </c>
      <c r="E12" s="10">
        <f t="shared" si="0"/>
        <v>361</v>
      </c>
      <c r="F12" s="10">
        <v>420</v>
      </c>
    </row>
    <row r="13" spans="1:11" x14ac:dyDescent="0.15">
      <c r="A13" s="9" t="s">
        <v>2015</v>
      </c>
      <c r="B13" s="9" t="s">
        <v>1861</v>
      </c>
      <c r="C13" s="9" t="s">
        <v>1760</v>
      </c>
      <c r="D13" s="9" t="s">
        <v>1344</v>
      </c>
      <c r="E13" s="10">
        <f t="shared" si="0"/>
        <v>421</v>
      </c>
      <c r="F13" s="10">
        <v>520</v>
      </c>
    </row>
    <row r="14" spans="1:11" s="32" customFormat="1" x14ac:dyDescent="0.15">
      <c r="A14" s="32" t="s">
        <v>2015</v>
      </c>
      <c r="B14" s="32" t="s">
        <v>1857</v>
      </c>
      <c r="C14" s="32" t="s">
        <v>1760</v>
      </c>
      <c r="D14" s="32" t="s">
        <v>1345</v>
      </c>
      <c r="E14" s="11">
        <f t="shared" si="0"/>
        <v>521</v>
      </c>
      <c r="F14" s="11">
        <v>600</v>
      </c>
    </row>
    <row r="15" spans="1:11" x14ac:dyDescent="0.15">
      <c r="A15" s="9" t="s">
        <v>2015</v>
      </c>
      <c r="B15" s="9" t="s">
        <v>1857</v>
      </c>
      <c r="C15" s="9" t="s">
        <v>1760</v>
      </c>
      <c r="D15" s="9" t="s">
        <v>1346</v>
      </c>
      <c r="E15" s="10">
        <f t="shared" si="0"/>
        <v>601</v>
      </c>
      <c r="F15" s="10">
        <v>680</v>
      </c>
    </row>
    <row r="16" spans="1:11" x14ac:dyDescent="0.15">
      <c r="A16" s="9" t="s">
        <v>2015</v>
      </c>
      <c r="B16" s="9" t="s">
        <v>1857</v>
      </c>
      <c r="C16" s="9" t="s">
        <v>1760</v>
      </c>
      <c r="D16" s="9" t="s">
        <v>1347</v>
      </c>
      <c r="E16" s="10">
        <f t="shared" si="0"/>
        <v>681</v>
      </c>
      <c r="F16" s="10">
        <v>760</v>
      </c>
    </row>
    <row r="17" spans="1:6" x14ac:dyDescent="0.15">
      <c r="A17" s="9" t="s">
        <v>2015</v>
      </c>
      <c r="B17" s="9" t="s">
        <v>1857</v>
      </c>
      <c r="C17" s="9" t="s">
        <v>1760</v>
      </c>
      <c r="D17" s="9" t="s">
        <v>1348</v>
      </c>
      <c r="E17" s="10">
        <f t="shared" si="0"/>
        <v>761</v>
      </c>
      <c r="F17" s="10">
        <v>900</v>
      </c>
    </row>
    <row r="18" spans="1:6" s="32" customFormat="1" x14ac:dyDescent="0.15">
      <c r="A18" s="32" t="s">
        <v>2015</v>
      </c>
      <c r="B18" s="32" t="s">
        <v>2017</v>
      </c>
      <c r="C18" s="32" t="s">
        <v>1760</v>
      </c>
      <c r="D18" s="32" t="s">
        <v>1349</v>
      </c>
      <c r="E18" s="11">
        <f t="shared" si="0"/>
        <v>901</v>
      </c>
      <c r="F18" s="11">
        <v>1000</v>
      </c>
    </row>
    <row r="19" spans="1:6" x14ac:dyDescent="0.15">
      <c r="A19" s="9" t="s">
        <v>2015</v>
      </c>
      <c r="B19" s="9" t="s">
        <v>2017</v>
      </c>
      <c r="C19" s="9" t="s">
        <v>1760</v>
      </c>
      <c r="D19" s="9" t="s">
        <v>1350</v>
      </c>
      <c r="E19" s="10">
        <f t="shared" si="0"/>
        <v>1001</v>
      </c>
      <c r="F19" s="10">
        <v>1120</v>
      </c>
    </row>
    <row r="20" spans="1:6" x14ac:dyDescent="0.15">
      <c r="A20" s="9" t="s">
        <v>2015</v>
      </c>
      <c r="B20" s="9" t="s">
        <v>2017</v>
      </c>
      <c r="C20" s="9" t="s">
        <v>1760</v>
      </c>
      <c r="D20" s="9" t="s">
        <v>1351</v>
      </c>
      <c r="E20" s="10">
        <f t="shared" si="0"/>
        <v>1121</v>
      </c>
      <c r="F20" s="10">
        <v>1250</v>
      </c>
    </row>
    <row r="21" spans="1:6" x14ac:dyDescent="0.15">
      <c r="A21" s="9" t="s">
        <v>2015</v>
      </c>
      <c r="B21" s="9" t="s">
        <v>2017</v>
      </c>
      <c r="C21" s="9" t="s">
        <v>1760</v>
      </c>
      <c r="D21" s="9" t="s">
        <v>1352</v>
      </c>
      <c r="E21" s="10">
        <f t="shared" si="0"/>
        <v>1251</v>
      </c>
      <c r="F21" s="10">
        <v>1400</v>
      </c>
    </row>
    <row r="22" spans="1:6" s="32" customFormat="1" x14ac:dyDescent="0.15">
      <c r="A22" s="32" t="s">
        <v>2015</v>
      </c>
      <c r="B22" s="32" t="s">
        <v>2018</v>
      </c>
      <c r="C22" s="32" t="s">
        <v>1761</v>
      </c>
      <c r="D22" s="32" t="s">
        <v>1353</v>
      </c>
      <c r="E22" s="11">
        <f t="shared" si="0"/>
        <v>1401</v>
      </c>
      <c r="F22" s="11">
        <v>1500</v>
      </c>
    </row>
    <row r="23" spans="1:6" x14ac:dyDescent="0.15">
      <c r="A23" s="9" t="s">
        <v>2015</v>
      </c>
      <c r="B23" s="9" t="s">
        <v>2018</v>
      </c>
      <c r="C23" s="9" t="s">
        <v>1761</v>
      </c>
      <c r="D23" s="9" t="s">
        <v>1354</v>
      </c>
      <c r="E23" s="10">
        <f t="shared" si="0"/>
        <v>1501</v>
      </c>
      <c r="F23" s="10">
        <v>1560</v>
      </c>
    </row>
    <row r="24" spans="1:6" x14ac:dyDescent="0.15">
      <c r="A24" s="9" t="s">
        <v>2015</v>
      </c>
      <c r="B24" s="9" t="s">
        <v>2018</v>
      </c>
      <c r="C24" s="9" t="s">
        <v>1761</v>
      </c>
      <c r="D24" s="9" t="s">
        <v>1355</v>
      </c>
      <c r="E24" s="10">
        <f t="shared" si="0"/>
        <v>1561</v>
      </c>
      <c r="F24" s="10">
        <v>1620</v>
      </c>
    </row>
    <row r="25" spans="1:6" x14ac:dyDescent="0.15">
      <c r="A25" s="9" t="s">
        <v>2015</v>
      </c>
      <c r="B25" s="9" t="s">
        <v>2018</v>
      </c>
      <c r="C25" s="9" t="s">
        <v>1761</v>
      </c>
      <c r="D25" s="9" t="s">
        <v>1356</v>
      </c>
      <c r="E25" s="10">
        <f t="shared" si="0"/>
        <v>1621</v>
      </c>
      <c r="F25" s="10">
        <v>1680</v>
      </c>
    </row>
    <row r="26" spans="1:6" s="32" customFormat="1" x14ac:dyDescent="0.15">
      <c r="A26" s="32" t="s">
        <v>2015</v>
      </c>
      <c r="B26" s="32" t="s">
        <v>1859</v>
      </c>
      <c r="C26" s="32" t="s">
        <v>1761</v>
      </c>
      <c r="D26" s="32" t="s">
        <v>1357</v>
      </c>
      <c r="E26" s="11">
        <f t="shared" si="0"/>
        <v>1681</v>
      </c>
      <c r="F26" s="11">
        <v>1720</v>
      </c>
    </row>
    <row r="27" spans="1:6" x14ac:dyDescent="0.15">
      <c r="A27" s="9" t="s">
        <v>2015</v>
      </c>
      <c r="B27" s="9" t="s">
        <v>1859</v>
      </c>
      <c r="C27" s="9" t="s">
        <v>1761</v>
      </c>
      <c r="D27" s="9" t="s">
        <v>1358</v>
      </c>
      <c r="E27" s="10">
        <f t="shared" si="0"/>
        <v>1721</v>
      </c>
      <c r="F27" s="10">
        <v>1760</v>
      </c>
    </row>
    <row r="28" spans="1:6" x14ac:dyDescent="0.15">
      <c r="A28" s="9" t="s">
        <v>2015</v>
      </c>
      <c r="B28" s="9" t="s">
        <v>1859</v>
      </c>
      <c r="C28" s="9" t="s">
        <v>1761</v>
      </c>
      <c r="D28" s="9" t="s">
        <v>1359</v>
      </c>
      <c r="E28" s="10">
        <f t="shared" si="0"/>
        <v>1761</v>
      </c>
      <c r="F28" s="10">
        <v>1820</v>
      </c>
    </row>
    <row r="29" spans="1:6" x14ac:dyDescent="0.15">
      <c r="A29" s="9" t="s">
        <v>2015</v>
      </c>
      <c r="B29" s="9" t="s">
        <v>1859</v>
      </c>
      <c r="C29" s="9" t="s">
        <v>1761</v>
      </c>
      <c r="D29" s="9" t="s">
        <v>1360</v>
      </c>
      <c r="E29" s="10">
        <f t="shared" si="0"/>
        <v>1821</v>
      </c>
      <c r="F29" s="10">
        <v>1880</v>
      </c>
    </row>
    <row r="30" spans="1:6" x14ac:dyDescent="0.15">
      <c r="A30" s="9" t="s">
        <v>2015</v>
      </c>
      <c r="B30" s="9" t="s">
        <v>1859</v>
      </c>
      <c r="C30" s="9" t="s">
        <v>1761</v>
      </c>
      <c r="D30" s="9" t="s">
        <v>1361</v>
      </c>
      <c r="E30" s="10">
        <f t="shared" si="0"/>
        <v>1881</v>
      </c>
      <c r="F30" s="10">
        <v>1920</v>
      </c>
    </row>
    <row r="31" spans="1:6" x14ac:dyDescent="0.15">
      <c r="A31" s="9" t="s">
        <v>2015</v>
      </c>
      <c r="B31" s="9" t="s">
        <v>1859</v>
      </c>
      <c r="C31" s="9" t="s">
        <v>1761</v>
      </c>
      <c r="D31" s="9" t="s">
        <v>1362</v>
      </c>
      <c r="E31" s="10">
        <f t="shared" si="0"/>
        <v>1921</v>
      </c>
      <c r="F31" s="10">
        <v>1960</v>
      </c>
    </row>
    <row r="32" spans="1:6" s="32" customFormat="1" x14ac:dyDescent="0.15">
      <c r="A32" s="32" t="s">
        <v>2015</v>
      </c>
      <c r="B32" s="32" t="s">
        <v>1886</v>
      </c>
      <c r="C32" s="32" t="s">
        <v>1761</v>
      </c>
      <c r="D32" s="32" t="s">
        <v>1363</v>
      </c>
      <c r="E32" s="11">
        <f t="shared" si="0"/>
        <v>1961</v>
      </c>
      <c r="F32" s="11">
        <v>2000</v>
      </c>
    </row>
    <row r="33" spans="1:6" x14ac:dyDescent="0.15">
      <c r="A33" s="9" t="s">
        <v>2015</v>
      </c>
      <c r="B33" s="9" t="s">
        <v>1886</v>
      </c>
      <c r="C33" s="9" t="s">
        <v>1761</v>
      </c>
      <c r="D33" s="9" t="s">
        <v>1364</v>
      </c>
      <c r="E33" s="10">
        <f t="shared" si="0"/>
        <v>2001</v>
      </c>
      <c r="F33" s="10">
        <v>2160</v>
      </c>
    </row>
    <row r="34" spans="1:6" x14ac:dyDescent="0.15">
      <c r="A34" s="9" t="s">
        <v>2015</v>
      </c>
      <c r="B34" s="9" t="s">
        <v>1886</v>
      </c>
      <c r="C34" s="9" t="s">
        <v>1761</v>
      </c>
      <c r="D34" s="9" t="s">
        <v>1365</v>
      </c>
      <c r="E34" s="10">
        <f t="shared" si="0"/>
        <v>2161</v>
      </c>
      <c r="F34" s="10">
        <v>2320</v>
      </c>
    </row>
    <row r="35" spans="1:6" s="32" customFormat="1" x14ac:dyDescent="0.15">
      <c r="A35" s="32" t="s">
        <v>2015</v>
      </c>
      <c r="B35" s="32" t="s">
        <v>1860</v>
      </c>
      <c r="C35" s="32" t="s">
        <v>1762</v>
      </c>
      <c r="D35" s="32" t="s">
        <v>2019</v>
      </c>
      <c r="E35" s="11">
        <f t="shared" si="0"/>
        <v>2321</v>
      </c>
      <c r="F35" s="11">
        <v>2360</v>
      </c>
    </row>
    <row r="36" spans="1:6" x14ac:dyDescent="0.15">
      <c r="A36" s="9" t="s">
        <v>2015</v>
      </c>
      <c r="B36" s="9" t="s">
        <v>1860</v>
      </c>
      <c r="C36" s="9" t="s">
        <v>1762</v>
      </c>
      <c r="D36" s="9" t="s">
        <v>1366</v>
      </c>
      <c r="E36" s="10">
        <f t="shared" si="0"/>
        <v>2361</v>
      </c>
      <c r="F36" s="10">
        <v>2440</v>
      </c>
    </row>
    <row r="37" spans="1:6" x14ac:dyDescent="0.15">
      <c r="A37" s="9" t="s">
        <v>2015</v>
      </c>
      <c r="B37" s="9" t="s">
        <v>1860</v>
      </c>
      <c r="C37" s="9" t="s">
        <v>1762</v>
      </c>
      <c r="D37" s="9" t="s">
        <v>1367</v>
      </c>
      <c r="E37" s="10">
        <f t="shared" si="0"/>
        <v>2441</v>
      </c>
      <c r="F37" s="10">
        <v>2520</v>
      </c>
    </row>
    <row r="38" spans="1:6" s="32" customFormat="1" x14ac:dyDescent="0.15">
      <c r="A38" s="32" t="s">
        <v>2015</v>
      </c>
      <c r="B38" s="32" t="s">
        <v>1855</v>
      </c>
      <c r="C38" s="32" t="s">
        <v>1855</v>
      </c>
      <c r="D38" s="32" t="s">
        <v>1368</v>
      </c>
      <c r="E38" s="11">
        <f t="shared" si="0"/>
        <v>2521</v>
      </c>
      <c r="F38" s="11">
        <v>2560</v>
      </c>
    </row>
    <row r="39" spans="1:6" x14ac:dyDescent="0.15">
      <c r="A39" s="9" t="s">
        <v>2015</v>
      </c>
      <c r="B39" s="9" t="s">
        <v>1855</v>
      </c>
      <c r="C39" s="9" t="s">
        <v>1855</v>
      </c>
      <c r="D39" s="9" t="s">
        <v>1369</v>
      </c>
      <c r="E39" s="10">
        <f t="shared" si="0"/>
        <v>2561</v>
      </c>
      <c r="F39" s="10">
        <v>2600</v>
      </c>
    </row>
    <row r="40" spans="1:6" x14ac:dyDescent="0.15">
      <c r="A40" s="9" t="s">
        <v>2015</v>
      </c>
      <c r="B40" s="9" t="s">
        <v>1855</v>
      </c>
      <c r="C40" s="9" t="s">
        <v>1855</v>
      </c>
      <c r="D40" s="9" t="s">
        <v>1370</v>
      </c>
      <c r="E40" s="10">
        <f t="shared" si="0"/>
        <v>2601</v>
      </c>
      <c r="F40" s="10">
        <v>2650</v>
      </c>
    </row>
    <row r="41" spans="1:6" x14ac:dyDescent="0.15">
      <c r="A41" s="9" t="s">
        <v>2015</v>
      </c>
      <c r="B41" s="9" t="s">
        <v>1855</v>
      </c>
      <c r="C41" s="9" t="s">
        <v>1855</v>
      </c>
      <c r="D41" s="9" t="s">
        <v>1371</v>
      </c>
      <c r="E41" s="10">
        <f t="shared" si="0"/>
        <v>2651</v>
      </c>
      <c r="F41" s="10">
        <v>2700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CA20-C6E7-4AF6-9BEF-36B75BB3A956}">
  <dimension ref="A1:K4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2020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0</v>
      </c>
    </row>
    <row r="3" spans="1:11" x14ac:dyDescent="0.15">
      <c r="A3" s="9" t="s">
        <v>2020</v>
      </c>
      <c r="B3" s="9" t="s">
        <v>1759</v>
      </c>
      <c r="C3" s="9" t="s">
        <v>1759</v>
      </c>
      <c r="D3" s="9" t="s">
        <v>374</v>
      </c>
      <c r="E3" s="10">
        <f>F2+1</f>
        <v>1</v>
      </c>
      <c r="F3" s="10">
        <v>25</v>
      </c>
    </row>
    <row r="4" spans="1:11" x14ac:dyDescent="0.15">
      <c r="A4" s="9" t="s">
        <v>2020</v>
      </c>
      <c r="B4" s="9" t="s">
        <v>1759</v>
      </c>
      <c r="C4" s="9" t="s">
        <v>1759</v>
      </c>
      <c r="D4" s="9" t="s">
        <v>375</v>
      </c>
      <c r="E4" s="10">
        <f t="shared" ref="E4:E46" si="0">F3+1</f>
        <v>26</v>
      </c>
      <c r="F4" s="10">
        <v>45</v>
      </c>
    </row>
    <row r="5" spans="1:11" x14ac:dyDescent="0.15">
      <c r="A5" s="9" t="s">
        <v>2020</v>
      </c>
      <c r="B5" s="9" t="s">
        <v>1759</v>
      </c>
      <c r="C5" s="9" t="s">
        <v>1759</v>
      </c>
      <c r="D5" s="9" t="s">
        <v>414</v>
      </c>
      <c r="E5" s="10">
        <f t="shared" si="0"/>
        <v>46</v>
      </c>
      <c r="F5" s="10">
        <v>70</v>
      </c>
    </row>
    <row r="6" spans="1:11" x14ac:dyDescent="0.15">
      <c r="A6" s="9" t="s">
        <v>2020</v>
      </c>
      <c r="B6" s="9" t="s">
        <v>1759</v>
      </c>
      <c r="C6" s="9" t="s">
        <v>1759</v>
      </c>
      <c r="D6" s="9" t="s">
        <v>595</v>
      </c>
      <c r="E6" s="10">
        <f t="shared" si="0"/>
        <v>71</v>
      </c>
      <c r="F6" s="10">
        <v>90</v>
      </c>
    </row>
    <row r="7" spans="1:11" x14ac:dyDescent="0.15">
      <c r="A7" s="9" t="s">
        <v>2020</v>
      </c>
      <c r="B7" s="9" t="s">
        <v>1759</v>
      </c>
      <c r="C7" s="9" t="s">
        <v>1759</v>
      </c>
      <c r="D7" s="9" t="s">
        <v>596</v>
      </c>
      <c r="E7" s="10">
        <f t="shared" si="0"/>
        <v>91</v>
      </c>
      <c r="F7" s="10">
        <v>110</v>
      </c>
    </row>
    <row r="8" spans="1:11" s="32" customFormat="1" x14ac:dyDescent="0.15">
      <c r="A8" s="32" t="s">
        <v>2020</v>
      </c>
      <c r="B8" s="32" t="s">
        <v>1861</v>
      </c>
      <c r="C8" s="32" t="s">
        <v>1760</v>
      </c>
      <c r="D8" s="32" t="s">
        <v>380</v>
      </c>
      <c r="E8" s="11">
        <f t="shared" si="0"/>
        <v>111</v>
      </c>
      <c r="F8" s="11">
        <v>140</v>
      </c>
    </row>
    <row r="9" spans="1:11" x14ac:dyDescent="0.15">
      <c r="A9" s="9" t="s">
        <v>2020</v>
      </c>
      <c r="B9" s="9" t="s">
        <v>1861</v>
      </c>
      <c r="C9" s="9" t="s">
        <v>1760</v>
      </c>
      <c r="D9" s="9" t="s">
        <v>535</v>
      </c>
      <c r="E9" s="10">
        <f t="shared" si="0"/>
        <v>141</v>
      </c>
      <c r="F9" s="10">
        <v>180</v>
      </c>
    </row>
    <row r="10" spans="1:11" x14ac:dyDescent="0.15">
      <c r="A10" s="9" t="s">
        <v>2020</v>
      </c>
      <c r="B10" s="9" t="s">
        <v>1861</v>
      </c>
      <c r="C10" s="9" t="s">
        <v>1760</v>
      </c>
      <c r="D10" s="9" t="s">
        <v>536</v>
      </c>
      <c r="E10" s="10">
        <f t="shared" si="0"/>
        <v>181</v>
      </c>
      <c r="F10" s="10">
        <v>220</v>
      </c>
    </row>
    <row r="11" spans="1:11" x14ac:dyDescent="0.15">
      <c r="A11" s="9" t="s">
        <v>2020</v>
      </c>
      <c r="B11" s="9" t="s">
        <v>1861</v>
      </c>
      <c r="C11" s="9" t="s">
        <v>1760</v>
      </c>
      <c r="D11" s="9" t="s">
        <v>537</v>
      </c>
      <c r="E11" s="10">
        <f t="shared" si="0"/>
        <v>221</v>
      </c>
      <c r="F11" s="10">
        <v>260</v>
      </c>
    </row>
    <row r="12" spans="1:11" x14ac:dyDescent="0.15">
      <c r="A12" s="9" t="s">
        <v>2020</v>
      </c>
      <c r="B12" s="9" t="s">
        <v>1861</v>
      </c>
      <c r="C12" s="9" t="s">
        <v>1760</v>
      </c>
      <c r="D12" s="9" t="s">
        <v>538</v>
      </c>
      <c r="E12" s="10">
        <f t="shared" si="0"/>
        <v>261</v>
      </c>
      <c r="F12" s="10">
        <v>450</v>
      </c>
    </row>
    <row r="13" spans="1:11" s="32" customFormat="1" x14ac:dyDescent="0.15">
      <c r="A13" s="32" t="s">
        <v>2020</v>
      </c>
      <c r="B13" s="32" t="s">
        <v>1857</v>
      </c>
      <c r="C13" s="32" t="s">
        <v>1760</v>
      </c>
      <c r="D13" s="32" t="s">
        <v>597</v>
      </c>
      <c r="E13" s="11">
        <f t="shared" si="0"/>
        <v>451</v>
      </c>
      <c r="F13" s="11">
        <v>460</v>
      </c>
    </row>
    <row r="14" spans="1:11" x14ac:dyDescent="0.15">
      <c r="A14" s="9" t="s">
        <v>2020</v>
      </c>
      <c r="B14" s="9" t="s">
        <v>1857</v>
      </c>
      <c r="C14" s="9" t="s">
        <v>1760</v>
      </c>
      <c r="D14" s="9" t="s">
        <v>598</v>
      </c>
      <c r="E14" s="10">
        <f t="shared" si="0"/>
        <v>461</v>
      </c>
      <c r="F14" s="10">
        <v>500</v>
      </c>
    </row>
    <row r="15" spans="1:11" x14ac:dyDescent="0.15">
      <c r="A15" s="9" t="s">
        <v>2020</v>
      </c>
      <c r="B15" s="9" t="s">
        <v>1857</v>
      </c>
      <c r="C15" s="9" t="s">
        <v>1760</v>
      </c>
      <c r="D15" s="9" t="s">
        <v>599</v>
      </c>
      <c r="E15" s="10">
        <f t="shared" si="0"/>
        <v>501</v>
      </c>
      <c r="F15" s="10">
        <v>540</v>
      </c>
    </row>
    <row r="16" spans="1:11" x14ac:dyDescent="0.15">
      <c r="A16" s="9" t="s">
        <v>2020</v>
      </c>
      <c r="B16" s="9" t="s">
        <v>1857</v>
      </c>
      <c r="C16" s="9" t="s">
        <v>1760</v>
      </c>
      <c r="D16" s="9" t="s">
        <v>600</v>
      </c>
      <c r="E16" s="10">
        <f t="shared" si="0"/>
        <v>541</v>
      </c>
      <c r="F16" s="10">
        <v>580</v>
      </c>
    </row>
    <row r="17" spans="1:6" x14ac:dyDescent="0.15">
      <c r="A17" s="9" t="s">
        <v>2020</v>
      </c>
      <c r="B17" s="9" t="s">
        <v>1857</v>
      </c>
      <c r="C17" s="9" t="s">
        <v>1760</v>
      </c>
      <c r="D17" s="9" t="s">
        <v>1372</v>
      </c>
      <c r="E17" s="10">
        <f t="shared" si="0"/>
        <v>581</v>
      </c>
      <c r="F17" s="10">
        <v>650</v>
      </c>
    </row>
    <row r="18" spans="1:6" s="32" customFormat="1" x14ac:dyDescent="0.15">
      <c r="A18" s="32" t="s">
        <v>2020</v>
      </c>
      <c r="B18" s="32" t="s">
        <v>1890</v>
      </c>
      <c r="C18" s="32" t="s">
        <v>1760</v>
      </c>
      <c r="D18" s="32" t="s">
        <v>512</v>
      </c>
      <c r="E18" s="11">
        <f t="shared" si="0"/>
        <v>651</v>
      </c>
      <c r="F18" s="11">
        <v>700</v>
      </c>
    </row>
    <row r="19" spans="1:6" x14ac:dyDescent="0.15">
      <c r="A19" s="9" t="s">
        <v>2020</v>
      </c>
      <c r="B19" s="9" t="s">
        <v>1890</v>
      </c>
      <c r="C19" s="9" t="s">
        <v>1760</v>
      </c>
      <c r="D19" s="9" t="s">
        <v>601</v>
      </c>
      <c r="E19" s="10">
        <f t="shared" si="0"/>
        <v>701</v>
      </c>
      <c r="F19" s="10">
        <v>750</v>
      </c>
    </row>
    <row r="20" spans="1:6" x14ac:dyDescent="0.15">
      <c r="A20" s="9" t="s">
        <v>2020</v>
      </c>
      <c r="B20" s="9" t="s">
        <v>1890</v>
      </c>
      <c r="C20" s="9" t="s">
        <v>1760</v>
      </c>
      <c r="D20" s="9" t="s">
        <v>602</v>
      </c>
      <c r="E20" s="10">
        <f t="shared" si="0"/>
        <v>751</v>
      </c>
      <c r="F20" s="10">
        <v>800</v>
      </c>
    </row>
    <row r="21" spans="1:6" x14ac:dyDescent="0.15">
      <c r="A21" s="9" t="s">
        <v>2020</v>
      </c>
      <c r="B21" s="9" t="s">
        <v>1890</v>
      </c>
      <c r="C21" s="9" t="s">
        <v>1760</v>
      </c>
      <c r="D21" s="9" t="s">
        <v>603</v>
      </c>
      <c r="E21" s="10">
        <f t="shared" si="0"/>
        <v>801</v>
      </c>
      <c r="F21" s="10">
        <v>850</v>
      </c>
    </row>
    <row r="22" spans="1:6" x14ac:dyDescent="0.15">
      <c r="A22" s="9" t="s">
        <v>2020</v>
      </c>
      <c r="B22" s="9" t="s">
        <v>1890</v>
      </c>
      <c r="C22" s="9" t="s">
        <v>1760</v>
      </c>
      <c r="D22" s="9" t="s">
        <v>1373</v>
      </c>
      <c r="E22" s="10">
        <f t="shared" si="0"/>
        <v>851</v>
      </c>
      <c r="F22" s="10">
        <v>950</v>
      </c>
    </row>
    <row r="23" spans="1:6" s="32" customFormat="1" x14ac:dyDescent="0.15">
      <c r="A23" s="32" t="s">
        <v>2020</v>
      </c>
      <c r="B23" s="32" t="s">
        <v>1858</v>
      </c>
      <c r="C23" s="32" t="s">
        <v>1761</v>
      </c>
      <c r="D23" s="32" t="s">
        <v>604</v>
      </c>
      <c r="E23" s="11">
        <f t="shared" si="0"/>
        <v>951</v>
      </c>
      <c r="F23" s="11">
        <v>1000</v>
      </c>
    </row>
    <row r="24" spans="1:6" x14ac:dyDescent="0.15">
      <c r="A24" s="9" t="s">
        <v>2020</v>
      </c>
      <c r="B24" s="9" t="s">
        <v>1858</v>
      </c>
      <c r="C24" s="9" t="s">
        <v>1761</v>
      </c>
      <c r="D24" s="9" t="s">
        <v>605</v>
      </c>
      <c r="E24" s="10">
        <f t="shared" si="0"/>
        <v>1001</v>
      </c>
      <c r="F24" s="10">
        <v>1050</v>
      </c>
    </row>
    <row r="25" spans="1:6" x14ac:dyDescent="0.15">
      <c r="A25" s="9" t="s">
        <v>2020</v>
      </c>
      <c r="B25" s="9" t="s">
        <v>1858</v>
      </c>
      <c r="C25" s="9" t="s">
        <v>1761</v>
      </c>
      <c r="D25" s="9" t="s">
        <v>606</v>
      </c>
      <c r="E25" s="10">
        <f t="shared" si="0"/>
        <v>1051</v>
      </c>
      <c r="F25" s="10">
        <v>1080</v>
      </c>
    </row>
    <row r="26" spans="1:6" x14ac:dyDescent="0.15">
      <c r="A26" s="9" t="s">
        <v>2020</v>
      </c>
      <c r="B26" s="9" t="s">
        <v>1858</v>
      </c>
      <c r="C26" s="9" t="s">
        <v>1761</v>
      </c>
      <c r="D26" s="9" t="s">
        <v>607</v>
      </c>
      <c r="E26" s="10">
        <f t="shared" si="0"/>
        <v>1081</v>
      </c>
      <c r="F26" s="10">
        <v>1120</v>
      </c>
    </row>
    <row r="27" spans="1:6" x14ac:dyDescent="0.15">
      <c r="A27" s="9" t="s">
        <v>2020</v>
      </c>
      <c r="B27" s="9" t="s">
        <v>1858</v>
      </c>
      <c r="C27" s="9" t="s">
        <v>1761</v>
      </c>
      <c r="D27" s="9" t="s">
        <v>608</v>
      </c>
      <c r="E27" s="10">
        <f t="shared" si="0"/>
        <v>1121</v>
      </c>
      <c r="F27" s="10">
        <v>1150</v>
      </c>
    </row>
    <row r="28" spans="1:6" x14ac:dyDescent="0.15">
      <c r="A28" s="9" t="s">
        <v>2020</v>
      </c>
      <c r="B28" s="9" t="s">
        <v>1858</v>
      </c>
      <c r="C28" s="9" t="s">
        <v>1761</v>
      </c>
      <c r="D28" s="9" t="s">
        <v>609</v>
      </c>
      <c r="E28" s="10">
        <f t="shared" si="0"/>
        <v>1151</v>
      </c>
      <c r="F28" s="10">
        <v>1180</v>
      </c>
    </row>
    <row r="29" spans="1:6" x14ac:dyDescent="0.15">
      <c r="A29" s="9" t="s">
        <v>2020</v>
      </c>
      <c r="B29" s="9" t="s">
        <v>1858</v>
      </c>
      <c r="C29" s="9" t="s">
        <v>1761</v>
      </c>
      <c r="D29" s="9" t="s">
        <v>610</v>
      </c>
      <c r="E29" s="10">
        <f t="shared" si="0"/>
        <v>1181</v>
      </c>
      <c r="F29" s="10">
        <v>1200</v>
      </c>
    </row>
    <row r="30" spans="1:6" s="32" customFormat="1" x14ac:dyDescent="0.15">
      <c r="A30" s="32" t="s">
        <v>2020</v>
      </c>
      <c r="B30" s="32" t="s">
        <v>1859</v>
      </c>
      <c r="C30" s="32" t="s">
        <v>1761</v>
      </c>
      <c r="D30" s="32" t="s">
        <v>611</v>
      </c>
      <c r="E30" s="11">
        <f t="shared" si="0"/>
        <v>1201</v>
      </c>
      <c r="F30" s="11">
        <v>1230</v>
      </c>
    </row>
    <row r="31" spans="1:6" x14ac:dyDescent="0.15">
      <c r="A31" s="9" t="s">
        <v>2020</v>
      </c>
      <c r="B31" s="9" t="s">
        <v>1859</v>
      </c>
      <c r="C31" s="9" t="s">
        <v>1761</v>
      </c>
      <c r="D31" s="9" t="s">
        <v>612</v>
      </c>
      <c r="E31" s="10">
        <f t="shared" si="0"/>
        <v>1231</v>
      </c>
      <c r="F31" s="10">
        <v>1260</v>
      </c>
    </row>
    <row r="32" spans="1:6" x14ac:dyDescent="0.15">
      <c r="A32" s="9" t="s">
        <v>2020</v>
      </c>
      <c r="B32" s="9" t="s">
        <v>1859</v>
      </c>
      <c r="C32" s="9" t="s">
        <v>1761</v>
      </c>
      <c r="D32" s="9" t="s">
        <v>613</v>
      </c>
      <c r="E32" s="10">
        <f t="shared" si="0"/>
        <v>1261</v>
      </c>
      <c r="F32" s="10">
        <v>1290</v>
      </c>
    </row>
    <row r="33" spans="1:6" x14ac:dyDescent="0.15">
      <c r="A33" s="9" t="s">
        <v>2020</v>
      </c>
      <c r="B33" s="9" t="s">
        <v>1859</v>
      </c>
      <c r="C33" s="9" t="s">
        <v>1761</v>
      </c>
      <c r="D33" s="9" t="s">
        <v>614</v>
      </c>
      <c r="E33" s="10">
        <f t="shared" si="0"/>
        <v>1291</v>
      </c>
      <c r="F33" s="10">
        <v>1320</v>
      </c>
    </row>
    <row r="34" spans="1:6" x14ac:dyDescent="0.15">
      <c r="A34" s="9" t="s">
        <v>2020</v>
      </c>
      <c r="B34" s="9" t="s">
        <v>1859</v>
      </c>
      <c r="C34" s="9" t="s">
        <v>1761</v>
      </c>
      <c r="D34" s="9" t="s">
        <v>615</v>
      </c>
      <c r="E34" s="10">
        <f t="shared" si="0"/>
        <v>1321</v>
      </c>
      <c r="F34" s="10">
        <v>1350</v>
      </c>
    </row>
    <row r="35" spans="1:6" x14ac:dyDescent="0.15">
      <c r="A35" s="9" t="s">
        <v>2020</v>
      </c>
      <c r="B35" s="9" t="s">
        <v>1859</v>
      </c>
      <c r="C35" s="9" t="s">
        <v>1761</v>
      </c>
      <c r="D35" s="9" t="s">
        <v>616</v>
      </c>
      <c r="E35" s="10">
        <f t="shared" si="0"/>
        <v>1351</v>
      </c>
      <c r="F35" s="10">
        <v>1380</v>
      </c>
    </row>
    <row r="36" spans="1:6" x14ac:dyDescent="0.15">
      <c r="A36" s="9" t="s">
        <v>2020</v>
      </c>
      <c r="B36" s="9" t="s">
        <v>1859</v>
      </c>
      <c r="C36" s="9" t="s">
        <v>1761</v>
      </c>
      <c r="D36" s="9" t="s">
        <v>520</v>
      </c>
      <c r="E36" s="10">
        <f t="shared" si="0"/>
        <v>1381</v>
      </c>
      <c r="F36" s="10">
        <v>1410</v>
      </c>
    </row>
    <row r="37" spans="1:6" x14ac:dyDescent="0.15">
      <c r="A37" s="9" t="s">
        <v>2020</v>
      </c>
      <c r="B37" s="9" t="s">
        <v>1859</v>
      </c>
      <c r="C37" s="9" t="s">
        <v>1761</v>
      </c>
      <c r="D37" s="9" t="s">
        <v>521</v>
      </c>
      <c r="E37" s="10">
        <f t="shared" si="0"/>
        <v>1411</v>
      </c>
      <c r="F37" s="10">
        <v>1450</v>
      </c>
    </row>
    <row r="38" spans="1:6" s="32" customFormat="1" x14ac:dyDescent="0.15">
      <c r="A38" s="32" t="s">
        <v>2020</v>
      </c>
      <c r="B38" s="32" t="s">
        <v>1886</v>
      </c>
      <c r="C38" s="32" t="s">
        <v>1761</v>
      </c>
      <c r="D38" s="32" t="s">
        <v>617</v>
      </c>
      <c r="E38" s="11">
        <f t="shared" si="0"/>
        <v>1451</v>
      </c>
      <c r="F38" s="11">
        <v>1480</v>
      </c>
    </row>
    <row r="39" spans="1:6" x14ac:dyDescent="0.15">
      <c r="A39" s="9" t="s">
        <v>2020</v>
      </c>
      <c r="B39" s="9" t="s">
        <v>1886</v>
      </c>
      <c r="C39" s="9" t="s">
        <v>1761</v>
      </c>
      <c r="D39" s="9" t="s">
        <v>621</v>
      </c>
      <c r="E39" s="10">
        <f t="shared" si="0"/>
        <v>1481</v>
      </c>
      <c r="F39" s="10">
        <v>1560</v>
      </c>
    </row>
    <row r="40" spans="1:6" x14ac:dyDescent="0.15">
      <c r="A40" s="9" t="s">
        <v>2020</v>
      </c>
      <c r="B40" s="9" t="s">
        <v>1886</v>
      </c>
      <c r="C40" s="9" t="s">
        <v>1761</v>
      </c>
      <c r="D40" s="9" t="s">
        <v>625</v>
      </c>
      <c r="E40" s="10">
        <f t="shared" si="0"/>
        <v>1561</v>
      </c>
      <c r="F40" s="10">
        <v>1650</v>
      </c>
    </row>
    <row r="41" spans="1:6" x14ac:dyDescent="0.15">
      <c r="A41" s="9" t="s">
        <v>2020</v>
      </c>
      <c r="B41" s="9" t="s">
        <v>1762</v>
      </c>
      <c r="C41" s="9" t="s">
        <v>1762</v>
      </c>
      <c r="D41" s="9" t="s">
        <v>626</v>
      </c>
      <c r="E41" s="10">
        <f t="shared" si="0"/>
        <v>1651</v>
      </c>
      <c r="F41" s="10">
        <v>1700</v>
      </c>
    </row>
    <row r="42" spans="1:6" x14ac:dyDescent="0.15">
      <c r="A42" s="9" t="s">
        <v>2020</v>
      </c>
      <c r="B42" s="9" t="s">
        <v>1762</v>
      </c>
      <c r="C42" s="9" t="s">
        <v>1762</v>
      </c>
      <c r="D42" s="9" t="s">
        <v>627</v>
      </c>
      <c r="E42" s="10">
        <f t="shared" si="0"/>
        <v>1701</v>
      </c>
      <c r="F42" s="10">
        <v>1720</v>
      </c>
    </row>
    <row r="43" spans="1:6" x14ac:dyDescent="0.15">
      <c r="A43" s="9" t="s">
        <v>2020</v>
      </c>
      <c r="B43" s="9" t="s">
        <v>1762</v>
      </c>
      <c r="C43" s="9" t="s">
        <v>1762</v>
      </c>
      <c r="D43" s="9" t="s">
        <v>631</v>
      </c>
      <c r="E43" s="10">
        <f t="shared" si="0"/>
        <v>1721</v>
      </c>
      <c r="F43" s="10">
        <v>1800</v>
      </c>
    </row>
    <row r="44" spans="1:6" x14ac:dyDescent="0.15">
      <c r="A44" s="9" t="s">
        <v>2020</v>
      </c>
      <c r="B44" s="9" t="s">
        <v>1762</v>
      </c>
      <c r="C44" s="9" t="s">
        <v>1762</v>
      </c>
      <c r="D44" s="9" t="s">
        <v>635</v>
      </c>
      <c r="E44" s="10">
        <f t="shared" si="0"/>
        <v>1801</v>
      </c>
      <c r="F44" s="10">
        <v>1900</v>
      </c>
    </row>
    <row r="45" spans="1:6" s="32" customFormat="1" x14ac:dyDescent="0.15">
      <c r="A45" s="32" t="s">
        <v>2020</v>
      </c>
      <c r="B45" s="32" t="s">
        <v>1855</v>
      </c>
      <c r="C45" s="32" t="s">
        <v>1855</v>
      </c>
      <c r="D45" s="32" t="s">
        <v>636</v>
      </c>
      <c r="E45" s="11">
        <f t="shared" si="0"/>
        <v>1901</v>
      </c>
      <c r="F45" s="11">
        <v>2000</v>
      </c>
    </row>
    <row r="46" spans="1:6" x14ac:dyDescent="0.15">
      <c r="A46" s="9" t="s">
        <v>2020</v>
      </c>
      <c r="B46" s="9" t="s">
        <v>1855</v>
      </c>
      <c r="C46" s="9" t="s">
        <v>1855</v>
      </c>
      <c r="D46" s="9" t="s">
        <v>456</v>
      </c>
      <c r="E46" s="10">
        <f t="shared" si="0"/>
        <v>2001</v>
      </c>
      <c r="F46" s="10">
        <v>2050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5208-F22E-46D7-87BE-84CAFD9E2DA9}">
  <dimension ref="A1:K41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7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2021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0</v>
      </c>
    </row>
    <row r="3" spans="1:11" x14ac:dyDescent="0.15">
      <c r="A3" s="9" t="s">
        <v>2021</v>
      </c>
      <c r="B3" s="9" t="s">
        <v>1759</v>
      </c>
      <c r="C3" s="9" t="s">
        <v>1759</v>
      </c>
      <c r="D3" s="9" t="s">
        <v>374</v>
      </c>
      <c r="E3" s="10">
        <f>F2+1</f>
        <v>1</v>
      </c>
      <c r="F3" s="10">
        <v>25</v>
      </c>
    </row>
    <row r="4" spans="1:11" x14ac:dyDescent="0.15">
      <c r="A4" s="9" t="s">
        <v>2021</v>
      </c>
      <c r="B4" s="9" t="s">
        <v>1759</v>
      </c>
      <c r="C4" s="9" t="s">
        <v>1759</v>
      </c>
      <c r="D4" s="9" t="s">
        <v>375</v>
      </c>
      <c r="E4" s="10">
        <f t="shared" ref="E4:E41" si="0">F3+1</f>
        <v>26</v>
      </c>
      <c r="F4" s="10">
        <v>45</v>
      </c>
    </row>
    <row r="5" spans="1:11" x14ac:dyDescent="0.15">
      <c r="A5" s="9" t="s">
        <v>2021</v>
      </c>
      <c r="B5" s="9" t="s">
        <v>1759</v>
      </c>
      <c r="C5" s="9" t="s">
        <v>1759</v>
      </c>
      <c r="D5" s="9" t="s">
        <v>414</v>
      </c>
      <c r="E5" s="10">
        <f t="shared" si="0"/>
        <v>46</v>
      </c>
      <c r="F5" s="10">
        <v>70</v>
      </c>
    </row>
    <row r="6" spans="1:11" x14ac:dyDescent="0.15">
      <c r="A6" s="9" t="s">
        <v>2021</v>
      </c>
      <c r="B6" s="9" t="s">
        <v>1759</v>
      </c>
      <c r="C6" s="9" t="s">
        <v>1759</v>
      </c>
      <c r="D6" s="9" t="s">
        <v>595</v>
      </c>
      <c r="E6" s="10">
        <f t="shared" si="0"/>
        <v>71</v>
      </c>
      <c r="F6" s="10">
        <v>90</v>
      </c>
    </row>
    <row r="7" spans="1:11" x14ac:dyDescent="0.15">
      <c r="A7" s="9" t="s">
        <v>2021</v>
      </c>
      <c r="B7" s="9" t="s">
        <v>1759</v>
      </c>
      <c r="C7" s="9" t="s">
        <v>1759</v>
      </c>
      <c r="D7" s="9" t="s">
        <v>596</v>
      </c>
      <c r="E7" s="10">
        <f t="shared" si="0"/>
        <v>91</v>
      </c>
      <c r="F7" s="10">
        <v>110</v>
      </c>
    </row>
    <row r="8" spans="1:11" s="32" customFormat="1" x14ac:dyDescent="0.15">
      <c r="A8" s="32" t="s">
        <v>2021</v>
      </c>
      <c r="B8" s="32" t="s">
        <v>1861</v>
      </c>
      <c r="C8" s="32" t="s">
        <v>1760</v>
      </c>
      <c r="D8" s="32" t="s">
        <v>380</v>
      </c>
      <c r="E8" s="11">
        <f t="shared" si="0"/>
        <v>111</v>
      </c>
      <c r="F8" s="11">
        <v>140</v>
      </c>
    </row>
    <row r="9" spans="1:11" x14ac:dyDescent="0.15">
      <c r="A9" s="9" t="s">
        <v>2021</v>
      </c>
      <c r="B9" s="9" t="s">
        <v>1861</v>
      </c>
      <c r="C9" s="9" t="s">
        <v>1760</v>
      </c>
      <c r="D9" s="9" t="s">
        <v>535</v>
      </c>
      <c r="E9" s="10">
        <f t="shared" si="0"/>
        <v>141</v>
      </c>
      <c r="F9" s="10">
        <v>180</v>
      </c>
    </row>
    <row r="10" spans="1:11" x14ac:dyDescent="0.15">
      <c r="A10" s="9" t="s">
        <v>2021</v>
      </c>
      <c r="B10" s="9" t="s">
        <v>1861</v>
      </c>
      <c r="C10" s="9" t="s">
        <v>1760</v>
      </c>
      <c r="D10" s="9" t="s">
        <v>536</v>
      </c>
      <c r="E10" s="10">
        <f t="shared" si="0"/>
        <v>181</v>
      </c>
      <c r="F10" s="10">
        <v>220</v>
      </c>
    </row>
    <row r="11" spans="1:11" x14ac:dyDescent="0.15">
      <c r="A11" s="9" t="s">
        <v>2021</v>
      </c>
      <c r="B11" s="9" t="s">
        <v>1861</v>
      </c>
      <c r="C11" s="9" t="s">
        <v>1760</v>
      </c>
      <c r="D11" s="9" t="s">
        <v>537</v>
      </c>
      <c r="E11" s="10">
        <f t="shared" si="0"/>
        <v>221</v>
      </c>
      <c r="F11" s="10">
        <v>260</v>
      </c>
    </row>
    <row r="12" spans="1:11" x14ac:dyDescent="0.15">
      <c r="A12" s="9" t="s">
        <v>2021</v>
      </c>
      <c r="B12" s="9" t="s">
        <v>1861</v>
      </c>
      <c r="C12" s="9" t="s">
        <v>1760</v>
      </c>
      <c r="D12" s="9" t="s">
        <v>1375</v>
      </c>
      <c r="E12" s="10">
        <f t="shared" si="0"/>
        <v>261</v>
      </c>
      <c r="F12" s="10">
        <v>450</v>
      </c>
    </row>
    <row r="13" spans="1:11" s="32" customFormat="1" x14ac:dyDescent="0.15">
      <c r="A13" s="32" t="s">
        <v>2021</v>
      </c>
      <c r="B13" s="32" t="s">
        <v>1857</v>
      </c>
      <c r="C13" s="32" t="s">
        <v>1760</v>
      </c>
      <c r="D13" s="32" t="s">
        <v>598</v>
      </c>
      <c r="E13" s="11">
        <f t="shared" si="0"/>
        <v>451</v>
      </c>
      <c r="F13" s="11">
        <v>500</v>
      </c>
    </row>
    <row r="14" spans="1:11" x14ac:dyDescent="0.15">
      <c r="A14" s="9" t="s">
        <v>2021</v>
      </c>
      <c r="B14" s="9" t="s">
        <v>1857</v>
      </c>
      <c r="C14" s="9" t="s">
        <v>1760</v>
      </c>
      <c r="D14" s="9" t="s">
        <v>599</v>
      </c>
      <c r="E14" s="10">
        <f t="shared" si="0"/>
        <v>501</v>
      </c>
      <c r="F14" s="10">
        <v>540</v>
      </c>
    </row>
    <row r="15" spans="1:11" x14ac:dyDescent="0.15">
      <c r="A15" s="9" t="s">
        <v>2021</v>
      </c>
      <c r="B15" s="9" t="s">
        <v>1857</v>
      </c>
      <c r="C15" s="9" t="s">
        <v>1760</v>
      </c>
      <c r="D15" s="9" t="s">
        <v>600</v>
      </c>
      <c r="E15" s="10">
        <f t="shared" si="0"/>
        <v>541</v>
      </c>
      <c r="F15" s="10">
        <v>580</v>
      </c>
    </row>
    <row r="16" spans="1:11" x14ac:dyDescent="0.15">
      <c r="A16" s="9" t="s">
        <v>2021</v>
      </c>
      <c r="B16" s="9" t="s">
        <v>1857</v>
      </c>
      <c r="C16" s="9" t="s">
        <v>1760</v>
      </c>
      <c r="D16" s="9" t="s">
        <v>1372</v>
      </c>
      <c r="E16" s="10">
        <f t="shared" si="0"/>
        <v>581</v>
      </c>
      <c r="F16" s="10">
        <v>650</v>
      </c>
    </row>
    <row r="17" spans="1:6" s="32" customFormat="1" x14ac:dyDescent="0.15">
      <c r="A17" s="32" t="s">
        <v>2021</v>
      </c>
      <c r="B17" s="32" t="s">
        <v>1850</v>
      </c>
      <c r="C17" s="32" t="s">
        <v>1760</v>
      </c>
      <c r="D17" s="32" t="s">
        <v>512</v>
      </c>
      <c r="E17" s="11">
        <f t="shared" si="0"/>
        <v>651</v>
      </c>
      <c r="F17" s="11">
        <v>700</v>
      </c>
    </row>
    <row r="18" spans="1:6" x14ac:dyDescent="0.15">
      <c r="A18" s="9" t="s">
        <v>2021</v>
      </c>
      <c r="B18" s="9" t="s">
        <v>1850</v>
      </c>
      <c r="C18" s="9" t="s">
        <v>1760</v>
      </c>
      <c r="D18" s="9" t="s">
        <v>601</v>
      </c>
      <c r="E18" s="10">
        <f t="shared" si="0"/>
        <v>701</v>
      </c>
      <c r="F18" s="10">
        <v>750</v>
      </c>
    </row>
    <row r="19" spans="1:6" x14ac:dyDescent="0.15">
      <c r="A19" s="9" t="s">
        <v>2021</v>
      </c>
      <c r="B19" s="9" t="s">
        <v>1850</v>
      </c>
      <c r="C19" s="9" t="s">
        <v>1760</v>
      </c>
      <c r="D19" s="9" t="s">
        <v>602</v>
      </c>
      <c r="E19" s="10">
        <f t="shared" si="0"/>
        <v>751</v>
      </c>
      <c r="F19" s="10">
        <v>800</v>
      </c>
    </row>
    <row r="20" spans="1:6" x14ac:dyDescent="0.15">
      <c r="A20" s="9" t="s">
        <v>2021</v>
      </c>
      <c r="B20" s="9" t="s">
        <v>1850</v>
      </c>
      <c r="C20" s="9" t="s">
        <v>1760</v>
      </c>
      <c r="D20" s="9" t="s">
        <v>603</v>
      </c>
      <c r="E20" s="10">
        <f t="shared" si="0"/>
        <v>801</v>
      </c>
      <c r="F20" s="10">
        <v>850</v>
      </c>
    </row>
    <row r="21" spans="1:6" x14ac:dyDescent="0.15">
      <c r="A21" s="9" t="s">
        <v>2021</v>
      </c>
      <c r="B21" s="9" t="s">
        <v>1850</v>
      </c>
      <c r="C21" s="9" t="s">
        <v>1760</v>
      </c>
      <c r="D21" s="9" t="s">
        <v>1373</v>
      </c>
      <c r="E21" s="10">
        <f t="shared" si="0"/>
        <v>851</v>
      </c>
      <c r="F21" s="10">
        <v>950</v>
      </c>
    </row>
    <row r="22" spans="1:6" s="32" customFormat="1" x14ac:dyDescent="0.15">
      <c r="A22" s="32" t="s">
        <v>2021</v>
      </c>
      <c r="B22" s="32" t="s">
        <v>1858</v>
      </c>
      <c r="C22" s="32" t="s">
        <v>1761</v>
      </c>
      <c r="D22" s="32" t="s">
        <v>604</v>
      </c>
      <c r="E22" s="11">
        <f t="shared" si="0"/>
        <v>951</v>
      </c>
      <c r="F22" s="11">
        <v>1000</v>
      </c>
    </row>
    <row r="23" spans="1:6" x14ac:dyDescent="0.15">
      <c r="A23" s="9" t="s">
        <v>2021</v>
      </c>
      <c r="B23" s="9" t="s">
        <v>1858</v>
      </c>
      <c r="C23" s="9" t="s">
        <v>1761</v>
      </c>
      <c r="D23" s="9" t="s">
        <v>605</v>
      </c>
      <c r="E23" s="10">
        <f t="shared" si="0"/>
        <v>1001</v>
      </c>
      <c r="F23" s="10">
        <v>1050</v>
      </c>
    </row>
    <row r="24" spans="1:6" x14ac:dyDescent="0.15">
      <c r="A24" s="9" t="s">
        <v>2021</v>
      </c>
      <c r="B24" s="9" t="s">
        <v>1858</v>
      </c>
      <c r="C24" s="9" t="s">
        <v>1761</v>
      </c>
      <c r="D24" s="9" t="s">
        <v>607</v>
      </c>
      <c r="E24" s="10">
        <f t="shared" si="0"/>
        <v>1051</v>
      </c>
      <c r="F24" s="10">
        <v>1120</v>
      </c>
    </row>
    <row r="25" spans="1:6" x14ac:dyDescent="0.15">
      <c r="A25" s="9" t="s">
        <v>2021</v>
      </c>
      <c r="B25" s="9" t="s">
        <v>1858</v>
      </c>
      <c r="C25" s="9" t="s">
        <v>1761</v>
      </c>
      <c r="D25" s="9" t="s">
        <v>608</v>
      </c>
      <c r="E25" s="10">
        <f t="shared" si="0"/>
        <v>1121</v>
      </c>
      <c r="F25" s="10">
        <v>1150</v>
      </c>
    </row>
    <row r="26" spans="1:6" x14ac:dyDescent="0.15">
      <c r="A26" s="9" t="s">
        <v>2021</v>
      </c>
      <c r="B26" s="9" t="s">
        <v>1858</v>
      </c>
      <c r="C26" s="9" t="s">
        <v>1761</v>
      </c>
      <c r="D26" s="9" t="s">
        <v>610</v>
      </c>
      <c r="E26" s="10">
        <f t="shared" si="0"/>
        <v>1151</v>
      </c>
      <c r="F26" s="10">
        <v>1200</v>
      </c>
    </row>
    <row r="27" spans="1:6" s="32" customFormat="1" x14ac:dyDescent="0.15">
      <c r="A27" s="32" t="s">
        <v>2021</v>
      </c>
      <c r="B27" s="32" t="s">
        <v>1859</v>
      </c>
      <c r="C27" s="32" t="s">
        <v>1761</v>
      </c>
      <c r="D27" s="32" t="s">
        <v>611</v>
      </c>
      <c r="E27" s="11">
        <f t="shared" si="0"/>
        <v>1201</v>
      </c>
      <c r="F27" s="11">
        <v>1230</v>
      </c>
    </row>
    <row r="28" spans="1:6" x14ac:dyDescent="0.15">
      <c r="A28" s="9" t="s">
        <v>2021</v>
      </c>
      <c r="B28" s="9" t="s">
        <v>1859</v>
      </c>
      <c r="C28" s="9" t="s">
        <v>1761</v>
      </c>
      <c r="D28" s="9" t="s">
        <v>612</v>
      </c>
      <c r="E28" s="10">
        <f t="shared" si="0"/>
        <v>1231</v>
      </c>
      <c r="F28" s="10">
        <v>1260</v>
      </c>
    </row>
    <row r="29" spans="1:6" x14ac:dyDescent="0.15">
      <c r="A29" s="9" t="s">
        <v>2021</v>
      </c>
      <c r="B29" s="9" t="s">
        <v>1859</v>
      </c>
      <c r="C29" s="9" t="s">
        <v>1761</v>
      </c>
      <c r="D29" s="9" t="s">
        <v>613</v>
      </c>
      <c r="E29" s="10">
        <f t="shared" si="0"/>
        <v>1261</v>
      </c>
      <c r="F29" s="10">
        <v>1290</v>
      </c>
    </row>
    <row r="30" spans="1:6" x14ac:dyDescent="0.15">
      <c r="A30" s="9" t="s">
        <v>2021</v>
      </c>
      <c r="B30" s="9" t="s">
        <v>1859</v>
      </c>
      <c r="C30" s="9" t="s">
        <v>1761</v>
      </c>
      <c r="D30" s="9" t="s">
        <v>616</v>
      </c>
      <c r="E30" s="10">
        <f t="shared" si="0"/>
        <v>1291</v>
      </c>
      <c r="F30" s="10">
        <v>1380</v>
      </c>
    </row>
    <row r="31" spans="1:6" x14ac:dyDescent="0.15">
      <c r="A31" s="9" t="s">
        <v>2021</v>
      </c>
      <c r="B31" s="9" t="s">
        <v>1859</v>
      </c>
      <c r="C31" s="9" t="s">
        <v>1761</v>
      </c>
      <c r="D31" s="9" t="s">
        <v>520</v>
      </c>
      <c r="E31" s="10">
        <f t="shared" si="0"/>
        <v>1381</v>
      </c>
      <c r="F31" s="10">
        <v>1410</v>
      </c>
    </row>
    <row r="32" spans="1:6" x14ac:dyDescent="0.15">
      <c r="A32" s="9" t="s">
        <v>2021</v>
      </c>
      <c r="B32" s="9" t="s">
        <v>1859</v>
      </c>
      <c r="C32" s="9" t="s">
        <v>1761</v>
      </c>
      <c r="D32" s="9" t="s">
        <v>521</v>
      </c>
      <c r="E32" s="10">
        <f t="shared" si="0"/>
        <v>1411</v>
      </c>
      <c r="F32" s="10">
        <v>1450</v>
      </c>
    </row>
    <row r="33" spans="1:6" s="32" customFormat="1" x14ac:dyDescent="0.15">
      <c r="A33" s="32" t="s">
        <v>2021</v>
      </c>
      <c r="B33" s="32" t="s">
        <v>1886</v>
      </c>
      <c r="C33" s="32" t="s">
        <v>1761</v>
      </c>
      <c r="D33" s="32" t="s">
        <v>617</v>
      </c>
      <c r="E33" s="11">
        <f t="shared" si="0"/>
        <v>1451</v>
      </c>
      <c r="F33" s="11">
        <v>1480</v>
      </c>
    </row>
    <row r="34" spans="1:6" x14ac:dyDescent="0.15">
      <c r="A34" s="9" t="s">
        <v>2021</v>
      </c>
      <c r="B34" s="9" t="s">
        <v>1886</v>
      </c>
      <c r="C34" s="9" t="s">
        <v>1761</v>
      </c>
      <c r="D34" s="9" t="s">
        <v>621</v>
      </c>
      <c r="E34" s="10">
        <f t="shared" si="0"/>
        <v>1481</v>
      </c>
      <c r="F34" s="10">
        <v>1560</v>
      </c>
    </row>
    <row r="35" spans="1:6" x14ac:dyDescent="0.15">
      <c r="A35" s="9" t="s">
        <v>2021</v>
      </c>
      <c r="B35" s="9" t="s">
        <v>1886</v>
      </c>
      <c r="C35" s="9" t="s">
        <v>1761</v>
      </c>
      <c r="D35" s="9" t="s">
        <v>625</v>
      </c>
      <c r="E35" s="10">
        <f t="shared" si="0"/>
        <v>1561</v>
      </c>
      <c r="F35" s="10">
        <v>1650</v>
      </c>
    </row>
    <row r="36" spans="1:6" s="32" customFormat="1" x14ac:dyDescent="0.15">
      <c r="A36" s="32" t="s">
        <v>2021</v>
      </c>
      <c r="B36" s="32" t="s">
        <v>1762</v>
      </c>
      <c r="C36" s="32" t="s">
        <v>1762</v>
      </c>
      <c r="D36" s="32" t="s">
        <v>626</v>
      </c>
      <c r="E36" s="11">
        <f t="shared" si="0"/>
        <v>1651</v>
      </c>
      <c r="F36" s="11">
        <v>1700</v>
      </c>
    </row>
    <row r="37" spans="1:6" x14ac:dyDescent="0.15">
      <c r="A37" s="9" t="s">
        <v>2021</v>
      </c>
      <c r="B37" s="9" t="s">
        <v>1762</v>
      </c>
      <c r="C37" s="9" t="s">
        <v>1762</v>
      </c>
      <c r="D37" s="9" t="s">
        <v>627</v>
      </c>
      <c r="E37" s="10">
        <f t="shared" si="0"/>
        <v>1701</v>
      </c>
      <c r="F37" s="10">
        <v>1740</v>
      </c>
    </row>
    <row r="38" spans="1:6" x14ac:dyDescent="0.15">
      <c r="A38" s="9" t="s">
        <v>2021</v>
      </c>
      <c r="B38" s="9" t="s">
        <v>1762</v>
      </c>
      <c r="C38" s="9" t="s">
        <v>1762</v>
      </c>
      <c r="D38" s="9" t="s">
        <v>631</v>
      </c>
      <c r="E38" s="10">
        <f t="shared" si="0"/>
        <v>1741</v>
      </c>
      <c r="F38" s="10">
        <v>1820</v>
      </c>
    </row>
    <row r="39" spans="1:6" x14ac:dyDescent="0.15">
      <c r="A39" s="9" t="s">
        <v>2021</v>
      </c>
      <c r="B39" s="9" t="s">
        <v>1762</v>
      </c>
      <c r="C39" s="9" t="s">
        <v>1762</v>
      </c>
      <c r="D39" s="9" t="s">
        <v>635</v>
      </c>
      <c r="E39" s="10">
        <f t="shared" si="0"/>
        <v>1821</v>
      </c>
      <c r="F39" s="10">
        <v>1900</v>
      </c>
    </row>
    <row r="40" spans="1:6" s="32" customFormat="1" x14ac:dyDescent="0.15">
      <c r="A40" s="32" t="s">
        <v>2021</v>
      </c>
      <c r="B40" s="32" t="s">
        <v>1855</v>
      </c>
      <c r="C40" s="32" t="s">
        <v>1855</v>
      </c>
      <c r="D40" s="32" t="s">
        <v>636</v>
      </c>
      <c r="E40" s="11">
        <f t="shared" si="0"/>
        <v>1901</v>
      </c>
      <c r="F40" s="11">
        <v>2000</v>
      </c>
    </row>
    <row r="41" spans="1:6" x14ac:dyDescent="0.15">
      <c r="A41" s="9" t="s">
        <v>2021</v>
      </c>
      <c r="B41" s="9" t="s">
        <v>1855</v>
      </c>
      <c r="C41" s="9" t="s">
        <v>1855</v>
      </c>
      <c r="D41" s="9" t="s">
        <v>456</v>
      </c>
      <c r="E41" s="10">
        <f t="shared" si="0"/>
        <v>2001</v>
      </c>
      <c r="F41" s="10">
        <v>2050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4A05-24C1-462D-AAC2-B7595301A352}">
  <dimension ref="A1:K38"/>
  <sheetViews>
    <sheetView workbookViewId="0">
      <selection sqref="A1:K1"/>
    </sheetView>
  </sheetViews>
  <sheetFormatPr defaultRowHeight="10.5" x14ac:dyDescent="0.15"/>
  <cols>
    <col min="1" max="1" width="15.140625" style="9" bestFit="1" customWidth="1"/>
    <col min="2" max="2" width="21.85546875" style="9" bestFit="1" customWidth="1"/>
    <col min="3" max="3" width="11.85546875" style="9" bestFit="1" customWidth="1"/>
    <col min="4" max="4" width="42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2022</v>
      </c>
      <c r="B2" s="32" t="s">
        <v>2023</v>
      </c>
      <c r="C2" s="32" t="s">
        <v>1759</v>
      </c>
      <c r="D2" s="32" t="s">
        <v>1377</v>
      </c>
      <c r="E2" s="11">
        <v>0</v>
      </c>
      <c r="F2" s="11">
        <v>0</v>
      </c>
    </row>
    <row r="3" spans="1:11" x14ac:dyDescent="0.15">
      <c r="A3" s="9" t="s">
        <v>2022</v>
      </c>
      <c r="B3" s="9" t="s">
        <v>2023</v>
      </c>
      <c r="C3" s="9" t="s">
        <v>1759</v>
      </c>
      <c r="D3" s="9" t="s">
        <v>1378</v>
      </c>
      <c r="E3" s="10">
        <f>F2+1</f>
        <v>1</v>
      </c>
      <c r="F3" s="10">
        <v>80</v>
      </c>
    </row>
    <row r="4" spans="1:11" x14ac:dyDescent="0.15">
      <c r="A4" s="9" t="s">
        <v>2022</v>
      </c>
      <c r="B4" s="9" t="s">
        <v>2023</v>
      </c>
      <c r="C4" s="9" t="s">
        <v>1759</v>
      </c>
      <c r="D4" s="9" t="s">
        <v>1379</v>
      </c>
      <c r="E4" s="10">
        <f t="shared" ref="E4:E38" si="0">F3+1</f>
        <v>81</v>
      </c>
      <c r="F4" s="10">
        <v>120</v>
      </c>
    </row>
    <row r="5" spans="1:11" x14ac:dyDescent="0.15">
      <c r="A5" s="9" t="s">
        <v>2022</v>
      </c>
      <c r="B5" s="9" t="s">
        <v>2023</v>
      </c>
      <c r="C5" s="9" t="s">
        <v>1759</v>
      </c>
      <c r="D5" s="9" t="s">
        <v>1380</v>
      </c>
      <c r="E5" s="10">
        <f t="shared" si="0"/>
        <v>121</v>
      </c>
      <c r="F5" s="10">
        <v>160</v>
      </c>
    </row>
    <row r="6" spans="1:11" x14ac:dyDescent="0.15">
      <c r="A6" s="9" t="s">
        <v>2022</v>
      </c>
      <c r="B6" s="9" t="s">
        <v>2023</v>
      </c>
      <c r="C6" s="9" t="s">
        <v>1759</v>
      </c>
      <c r="D6" s="9" t="s">
        <v>1381</v>
      </c>
      <c r="E6" s="10">
        <f t="shared" si="0"/>
        <v>161</v>
      </c>
      <c r="F6" s="10">
        <v>200</v>
      </c>
    </row>
    <row r="7" spans="1:11" s="32" customFormat="1" x14ac:dyDescent="0.15">
      <c r="A7" s="32" t="s">
        <v>2022</v>
      </c>
      <c r="B7" s="32" t="s">
        <v>1861</v>
      </c>
      <c r="C7" s="32" t="s">
        <v>1760</v>
      </c>
      <c r="D7" s="32" t="s">
        <v>535</v>
      </c>
      <c r="E7" s="11">
        <f t="shared" si="0"/>
        <v>201</v>
      </c>
      <c r="F7" s="11">
        <v>240</v>
      </c>
    </row>
    <row r="8" spans="1:11" x14ac:dyDescent="0.15">
      <c r="A8" s="9" t="s">
        <v>2022</v>
      </c>
      <c r="B8" s="9" t="s">
        <v>1861</v>
      </c>
      <c r="C8" s="9" t="s">
        <v>1760</v>
      </c>
      <c r="D8" s="9" t="s">
        <v>536</v>
      </c>
      <c r="E8" s="10">
        <f t="shared" si="0"/>
        <v>241</v>
      </c>
      <c r="F8" s="10">
        <v>280</v>
      </c>
    </row>
    <row r="9" spans="1:11" x14ac:dyDescent="0.15">
      <c r="A9" s="9" t="s">
        <v>2022</v>
      </c>
      <c r="B9" s="9" t="s">
        <v>1861</v>
      </c>
      <c r="C9" s="9" t="s">
        <v>1760</v>
      </c>
      <c r="D9" s="9" t="s">
        <v>537</v>
      </c>
      <c r="E9" s="10">
        <f t="shared" si="0"/>
        <v>281</v>
      </c>
      <c r="F9" s="10">
        <v>320</v>
      </c>
    </row>
    <row r="10" spans="1:11" x14ac:dyDescent="0.15">
      <c r="A10" s="9" t="s">
        <v>2022</v>
      </c>
      <c r="B10" s="9" t="s">
        <v>1861</v>
      </c>
      <c r="C10" s="9" t="s">
        <v>1760</v>
      </c>
      <c r="D10" s="9" t="s">
        <v>1382</v>
      </c>
      <c r="E10" s="10">
        <f t="shared" si="0"/>
        <v>321</v>
      </c>
      <c r="F10" s="10">
        <v>500</v>
      </c>
    </row>
    <row r="11" spans="1:11" s="32" customFormat="1" x14ac:dyDescent="0.15">
      <c r="A11" s="32" t="s">
        <v>2022</v>
      </c>
      <c r="B11" s="32" t="s">
        <v>1849</v>
      </c>
      <c r="C11" s="32" t="s">
        <v>1760</v>
      </c>
      <c r="D11" s="32" t="s">
        <v>1289</v>
      </c>
      <c r="E11" s="11">
        <f t="shared" si="0"/>
        <v>501</v>
      </c>
      <c r="F11" s="11">
        <v>560</v>
      </c>
    </row>
    <row r="12" spans="1:11" x14ac:dyDescent="0.15">
      <c r="A12" s="9" t="s">
        <v>2022</v>
      </c>
      <c r="B12" s="9" t="s">
        <v>1849</v>
      </c>
      <c r="C12" s="9" t="s">
        <v>1760</v>
      </c>
      <c r="D12" s="9" t="s">
        <v>1290</v>
      </c>
      <c r="E12" s="10">
        <f t="shared" si="0"/>
        <v>561</v>
      </c>
      <c r="F12" s="10">
        <v>620</v>
      </c>
    </row>
    <row r="13" spans="1:11" x14ac:dyDescent="0.15">
      <c r="A13" s="9" t="s">
        <v>2022</v>
      </c>
      <c r="B13" s="9" t="s">
        <v>1849</v>
      </c>
      <c r="C13" s="9" t="s">
        <v>1760</v>
      </c>
      <c r="D13" s="9" t="s">
        <v>1291</v>
      </c>
      <c r="E13" s="10">
        <f t="shared" si="0"/>
        <v>621</v>
      </c>
      <c r="F13" s="10">
        <v>680</v>
      </c>
    </row>
    <row r="14" spans="1:11" x14ac:dyDescent="0.15">
      <c r="A14" s="9" t="s">
        <v>2022</v>
      </c>
      <c r="B14" s="9" t="s">
        <v>1849</v>
      </c>
      <c r="C14" s="9" t="s">
        <v>1760</v>
      </c>
      <c r="D14" s="9" t="s">
        <v>1383</v>
      </c>
      <c r="E14" s="10">
        <f t="shared" si="0"/>
        <v>681</v>
      </c>
      <c r="F14" s="10">
        <v>800</v>
      </c>
    </row>
    <row r="15" spans="1:11" s="32" customFormat="1" x14ac:dyDescent="0.15">
      <c r="A15" s="32" t="s">
        <v>2022</v>
      </c>
      <c r="B15" s="32" t="s">
        <v>1850</v>
      </c>
      <c r="C15" s="32" t="s">
        <v>1760</v>
      </c>
      <c r="D15" s="32" t="s">
        <v>1384</v>
      </c>
      <c r="E15" s="11">
        <f t="shared" si="0"/>
        <v>801</v>
      </c>
      <c r="F15" s="11">
        <v>880</v>
      </c>
    </row>
    <row r="16" spans="1:11" x14ac:dyDescent="0.15">
      <c r="A16" s="9" t="s">
        <v>2022</v>
      </c>
      <c r="B16" s="9" t="s">
        <v>1850</v>
      </c>
      <c r="C16" s="9" t="s">
        <v>1760</v>
      </c>
      <c r="D16" s="9" t="s">
        <v>1385</v>
      </c>
      <c r="E16" s="10">
        <f t="shared" si="0"/>
        <v>881</v>
      </c>
      <c r="F16" s="10">
        <v>950</v>
      </c>
    </row>
    <row r="17" spans="1:6" x14ac:dyDescent="0.15">
      <c r="A17" s="9" t="s">
        <v>2022</v>
      </c>
      <c r="B17" s="9" t="s">
        <v>1850</v>
      </c>
      <c r="C17" s="9" t="s">
        <v>1760</v>
      </c>
      <c r="D17" s="9" t="s">
        <v>1386</v>
      </c>
      <c r="E17" s="10">
        <f t="shared" si="0"/>
        <v>951</v>
      </c>
      <c r="F17" s="10">
        <v>1020</v>
      </c>
    </row>
    <row r="18" spans="1:6" x14ac:dyDescent="0.15">
      <c r="A18" s="9" t="s">
        <v>2022</v>
      </c>
      <c r="B18" s="9" t="s">
        <v>1850</v>
      </c>
      <c r="C18" s="9" t="s">
        <v>1760</v>
      </c>
      <c r="D18" s="9" t="s">
        <v>1387</v>
      </c>
      <c r="E18" s="10">
        <f t="shared" si="0"/>
        <v>1021</v>
      </c>
      <c r="F18" s="10">
        <v>1080</v>
      </c>
    </row>
    <row r="19" spans="1:6" x14ac:dyDescent="0.15">
      <c r="A19" s="9" t="s">
        <v>2022</v>
      </c>
      <c r="B19" s="9" t="s">
        <v>1850</v>
      </c>
      <c r="C19" s="9" t="s">
        <v>1760</v>
      </c>
      <c r="D19" s="9" t="s">
        <v>1388</v>
      </c>
      <c r="E19" s="10">
        <f t="shared" si="0"/>
        <v>1081</v>
      </c>
      <c r="F19" s="10">
        <v>1150</v>
      </c>
    </row>
    <row r="20" spans="1:6" s="32" customFormat="1" x14ac:dyDescent="0.15">
      <c r="A20" s="32" t="s">
        <v>2022</v>
      </c>
      <c r="B20" s="32" t="s">
        <v>1851</v>
      </c>
      <c r="C20" s="32" t="s">
        <v>1760</v>
      </c>
      <c r="D20" s="32" t="s">
        <v>1389</v>
      </c>
      <c r="E20" s="11">
        <f t="shared" si="0"/>
        <v>1151</v>
      </c>
      <c r="F20" s="11">
        <v>1200</v>
      </c>
    </row>
    <row r="21" spans="1:6" x14ac:dyDescent="0.15">
      <c r="A21" s="9" t="s">
        <v>2022</v>
      </c>
      <c r="B21" s="9" t="s">
        <v>1851</v>
      </c>
      <c r="C21" s="9" t="s">
        <v>1760</v>
      </c>
      <c r="D21" s="9" t="s">
        <v>1390</v>
      </c>
      <c r="E21" s="10">
        <f t="shared" si="0"/>
        <v>1201</v>
      </c>
      <c r="F21" s="10">
        <v>1250</v>
      </c>
    </row>
    <row r="22" spans="1:6" x14ac:dyDescent="0.15">
      <c r="A22" s="9" t="s">
        <v>2022</v>
      </c>
      <c r="B22" s="9" t="s">
        <v>1851</v>
      </c>
      <c r="C22" s="9" t="s">
        <v>1760</v>
      </c>
      <c r="D22" s="9" t="s">
        <v>1391</v>
      </c>
      <c r="E22" s="10">
        <f t="shared" si="0"/>
        <v>1251</v>
      </c>
      <c r="F22" s="10">
        <v>1280</v>
      </c>
    </row>
    <row r="23" spans="1:6" s="32" customFormat="1" x14ac:dyDescent="0.15">
      <c r="A23" s="32" t="s">
        <v>2022</v>
      </c>
      <c r="B23" s="32" t="s">
        <v>1997</v>
      </c>
      <c r="C23" s="32" t="s">
        <v>1761</v>
      </c>
      <c r="D23" s="32" t="s">
        <v>1392</v>
      </c>
      <c r="E23" s="11">
        <f t="shared" si="0"/>
        <v>1281</v>
      </c>
      <c r="F23" s="11">
        <v>1320</v>
      </c>
    </row>
    <row r="24" spans="1:6" x14ac:dyDescent="0.15">
      <c r="A24" s="9" t="s">
        <v>2022</v>
      </c>
      <c r="B24" s="9" t="s">
        <v>1997</v>
      </c>
      <c r="C24" s="9" t="s">
        <v>1761</v>
      </c>
      <c r="D24" s="9" t="s">
        <v>1393</v>
      </c>
      <c r="E24" s="10">
        <f t="shared" si="0"/>
        <v>1321</v>
      </c>
      <c r="F24" s="10">
        <v>1360</v>
      </c>
    </row>
    <row r="25" spans="1:6" x14ac:dyDescent="0.15">
      <c r="A25" s="9" t="s">
        <v>2022</v>
      </c>
      <c r="B25" s="9" t="s">
        <v>1997</v>
      </c>
      <c r="C25" s="9" t="s">
        <v>1761</v>
      </c>
      <c r="D25" s="9" t="s">
        <v>1394</v>
      </c>
      <c r="E25" s="10">
        <f t="shared" si="0"/>
        <v>1361</v>
      </c>
      <c r="F25" s="10">
        <v>1400</v>
      </c>
    </row>
    <row r="26" spans="1:6" s="32" customFormat="1" x14ac:dyDescent="0.15">
      <c r="A26" s="32" t="s">
        <v>2022</v>
      </c>
      <c r="B26" s="32" t="s">
        <v>1859</v>
      </c>
      <c r="C26" s="32" t="s">
        <v>1761</v>
      </c>
      <c r="D26" s="32" t="s">
        <v>1395</v>
      </c>
      <c r="E26" s="11">
        <f t="shared" si="0"/>
        <v>1401</v>
      </c>
      <c r="F26" s="11">
        <v>1450</v>
      </c>
    </row>
    <row r="27" spans="1:6" x14ac:dyDescent="0.15">
      <c r="A27" s="9" t="s">
        <v>2022</v>
      </c>
      <c r="B27" s="9" t="s">
        <v>1859</v>
      </c>
      <c r="C27" s="9" t="s">
        <v>1761</v>
      </c>
      <c r="D27" s="9" t="s">
        <v>1396</v>
      </c>
      <c r="E27" s="10">
        <f t="shared" si="0"/>
        <v>1451</v>
      </c>
      <c r="F27" s="10">
        <v>1500</v>
      </c>
    </row>
    <row r="28" spans="1:6" x14ac:dyDescent="0.15">
      <c r="A28" s="9" t="s">
        <v>2022</v>
      </c>
      <c r="B28" s="9" t="s">
        <v>1859</v>
      </c>
      <c r="C28" s="9" t="s">
        <v>1761</v>
      </c>
      <c r="D28" s="9" t="s">
        <v>521</v>
      </c>
      <c r="E28" s="10">
        <f t="shared" si="0"/>
        <v>1501</v>
      </c>
      <c r="F28" s="10">
        <v>1550</v>
      </c>
    </row>
    <row r="29" spans="1:6" s="32" customFormat="1" x14ac:dyDescent="0.15">
      <c r="A29" s="32" t="s">
        <v>2022</v>
      </c>
      <c r="B29" s="32" t="s">
        <v>1886</v>
      </c>
      <c r="C29" s="32" t="s">
        <v>1761</v>
      </c>
      <c r="D29" s="32" t="s">
        <v>1397</v>
      </c>
      <c r="E29" s="11">
        <f t="shared" si="0"/>
        <v>1551</v>
      </c>
      <c r="F29" s="11">
        <v>1600</v>
      </c>
    </row>
    <row r="30" spans="1:6" x14ac:dyDescent="0.15">
      <c r="A30" s="9" t="s">
        <v>2022</v>
      </c>
      <c r="B30" s="9" t="s">
        <v>1886</v>
      </c>
      <c r="C30" s="9" t="s">
        <v>1761</v>
      </c>
      <c r="D30" s="9" t="s">
        <v>1398</v>
      </c>
      <c r="E30" s="10">
        <f t="shared" si="0"/>
        <v>1601</v>
      </c>
      <c r="F30" s="10">
        <v>1650</v>
      </c>
    </row>
    <row r="31" spans="1:6" x14ac:dyDescent="0.15">
      <c r="A31" s="9" t="s">
        <v>2022</v>
      </c>
      <c r="B31" s="9" t="s">
        <v>1886</v>
      </c>
      <c r="C31" s="9" t="s">
        <v>1761</v>
      </c>
      <c r="D31" s="9" t="s">
        <v>1308</v>
      </c>
      <c r="E31" s="10">
        <f t="shared" si="0"/>
        <v>1651</v>
      </c>
      <c r="F31" s="10">
        <v>1700</v>
      </c>
    </row>
    <row r="32" spans="1:6" s="32" customFormat="1" x14ac:dyDescent="0.15">
      <c r="A32" s="32" t="s">
        <v>2022</v>
      </c>
      <c r="B32" s="32" t="s">
        <v>1762</v>
      </c>
      <c r="C32" s="32" t="s">
        <v>1762</v>
      </c>
      <c r="D32" s="32" t="s">
        <v>1399</v>
      </c>
      <c r="E32" s="11">
        <f t="shared" si="0"/>
        <v>1701</v>
      </c>
      <c r="F32" s="11">
        <v>1750</v>
      </c>
    </row>
    <row r="33" spans="1:6" x14ac:dyDescent="0.15">
      <c r="A33" s="9" t="s">
        <v>2022</v>
      </c>
      <c r="B33" s="9" t="s">
        <v>1762</v>
      </c>
      <c r="C33" s="9" t="s">
        <v>1762</v>
      </c>
      <c r="D33" s="9" t="s">
        <v>1400</v>
      </c>
      <c r="E33" s="10">
        <f t="shared" si="0"/>
        <v>1751</v>
      </c>
      <c r="F33" s="10">
        <v>1800</v>
      </c>
    </row>
    <row r="34" spans="1:6" x14ac:dyDescent="0.15">
      <c r="A34" s="9" t="s">
        <v>2022</v>
      </c>
      <c r="B34" s="9" t="s">
        <v>1762</v>
      </c>
      <c r="C34" s="9" t="s">
        <v>1762</v>
      </c>
      <c r="D34" s="9" t="s">
        <v>1401</v>
      </c>
      <c r="E34" s="10">
        <f t="shared" si="0"/>
        <v>1801</v>
      </c>
      <c r="F34" s="10">
        <v>1850</v>
      </c>
    </row>
    <row r="35" spans="1:6" s="32" customFormat="1" x14ac:dyDescent="0.15">
      <c r="A35" s="32" t="s">
        <v>2022</v>
      </c>
      <c r="B35" s="32" t="s">
        <v>1855</v>
      </c>
      <c r="C35" s="32" t="s">
        <v>1855</v>
      </c>
      <c r="D35" s="32" t="s">
        <v>1402</v>
      </c>
      <c r="E35" s="11">
        <f t="shared" si="0"/>
        <v>1851</v>
      </c>
      <c r="F35" s="11">
        <v>1900</v>
      </c>
    </row>
    <row r="36" spans="1:6" x14ac:dyDescent="0.15">
      <c r="A36" s="9" t="s">
        <v>2022</v>
      </c>
      <c r="B36" s="9" t="s">
        <v>1855</v>
      </c>
      <c r="C36" s="9" t="s">
        <v>1855</v>
      </c>
      <c r="D36" s="9" t="s">
        <v>1403</v>
      </c>
      <c r="E36" s="10">
        <f t="shared" si="0"/>
        <v>1901</v>
      </c>
      <c r="F36" s="10">
        <v>1950</v>
      </c>
    </row>
    <row r="37" spans="1:6" x14ac:dyDescent="0.15">
      <c r="A37" s="9" t="s">
        <v>2022</v>
      </c>
      <c r="B37" s="9" t="s">
        <v>1855</v>
      </c>
      <c r="C37" s="9" t="s">
        <v>1855</v>
      </c>
      <c r="D37" s="9" t="s">
        <v>1404</v>
      </c>
      <c r="E37" s="10">
        <f t="shared" si="0"/>
        <v>1951</v>
      </c>
      <c r="F37" s="10">
        <v>2000</v>
      </c>
    </row>
    <row r="38" spans="1:6" x14ac:dyDescent="0.15">
      <c r="A38" s="9" t="s">
        <v>2022</v>
      </c>
      <c r="B38" s="9" t="s">
        <v>1855</v>
      </c>
      <c r="C38" s="9" t="s">
        <v>1855</v>
      </c>
      <c r="D38" s="9" t="s">
        <v>1405</v>
      </c>
      <c r="E38" s="10">
        <f t="shared" si="0"/>
        <v>2001</v>
      </c>
      <c r="F38" s="10">
        <v>2050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D546-C8EE-44A6-9D13-3CAECCA0CE1A}">
  <dimension ref="A1:K33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74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2024</v>
      </c>
      <c r="B2" s="32" t="s">
        <v>2025</v>
      </c>
      <c r="C2" s="32" t="s">
        <v>1759</v>
      </c>
      <c r="D2" s="32" t="s">
        <v>1429</v>
      </c>
      <c r="E2" s="11">
        <v>0</v>
      </c>
      <c r="F2" s="11">
        <v>40</v>
      </c>
    </row>
    <row r="3" spans="1:11" x14ac:dyDescent="0.15">
      <c r="A3" s="9" t="s">
        <v>2024</v>
      </c>
      <c r="B3" s="9" t="s">
        <v>2025</v>
      </c>
      <c r="C3" s="9" t="s">
        <v>1759</v>
      </c>
      <c r="D3" s="9" t="s">
        <v>1407</v>
      </c>
      <c r="E3" s="10">
        <f>F2+1</f>
        <v>41</v>
      </c>
      <c r="F3" s="10">
        <v>120</v>
      </c>
    </row>
    <row r="4" spans="1:11" x14ac:dyDescent="0.15">
      <c r="A4" s="9" t="s">
        <v>2024</v>
      </c>
      <c r="B4" s="9" t="s">
        <v>2025</v>
      </c>
      <c r="C4" s="9" t="s">
        <v>1759</v>
      </c>
      <c r="D4" s="9" t="s">
        <v>1408</v>
      </c>
      <c r="E4" s="10">
        <f t="shared" ref="E4:E33" si="0">F3+1</f>
        <v>121</v>
      </c>
      <c r="F4" s="10">
        <v>200</v>
      </c>
    </row>
    <row r="5" spans="1:11" x14ac:dyDescent="0.15">
      <c r="A5" s="9" t="s">
        <v>2024</v>
      </c>
      <c r="B5" s="9" t="s">
        <v>2025</v>
      </c>
      <c r="C5" s="9" t="s">
        <v>1759</v>
      </c>
      <c r="D5" s="9" t="s">
        <v>1409</v>
      </c>
      <c r="E5" s="10">
        <f t="shared" si="0"/>
        <v>201</v>
      </c>
      <c r="F5" s="10">
        <v>280</v>
      </c>
    </row>
    <row r="6" spans="1:11" x14ac:dyDescent="0.15">
      <c r="A6" s="9" t="s">
        <v>2024</v>
      </c>
      <c r="B6" s="9" t="s">
        <v>2025</v>
      </c>
      <c r="C6" s="9" t="s">
        <v>1759</v>
      </c>
      <c r="D6" s="9" t="s">
        <v>1410</v>
      </c>
      <c r="E6" s="10">
        <f t="shared" si="0"/>
        <v>281</v>
      </c>
      <c r="F6" s="10">
        <v>340</v>
      </c>
    </row>
    <row r="7" spans="1:11" x14ac:dyDescent="0.15">
      <c r="A7" s="9" t="s">
        <v>2024</v>
      </c>
      <c r="B7" s="9" t="s">
        <v>1861</v>
      </c>
      <c r="C7" s="9" t="s">
        <v>1760</v>
      </c>
      <c r="D7" s="9" t="s">
        <v>1411</v>
      </c>
      <c r="E7" s="10">
        <f t="shared" si="0"/>
        <v>341</v>
      </c>
      <c r="F7" s="10">
        <v>420</v>
      </c>
    </row>
    <row r="8" spans="1:11" x14ac:dyDescent="0.15">
      <c r="A8" s="9" t="s">
        <v>2024</v>
      </c>
      <c r="B8" s="9" t="s">
        <v>1861</v>
      </c>
      <c r="C8" s="9" t="s">
        <v>1760</v>
      </c>
      <c r="D8" s="9" t="s">
        <v>1412</v>
      </c>
      <c r="E8" s="10">
        <f t="shared" si="0"/>
        <v>421</v>
      </c>
      <c r="F8" s="10">
        <v>520</v>
      </c>
    </row>
    <row r="9" spans="1:11" x14ac:dyDescent="0.15">
      <c r="A9" s="9" t="s">
        <v>2024</v>
      </c>
      <c r="B9" s="9" t="s">
        <v>1861</v>
      </c>
      <c r="C9" s="9" t="s">
        <v>1760</v>
      </c>
      <c r="D9" s="9" t="s">
        <v>1413</v>
      </c>
      <c r="E9" s="10">
        <f t="shared" si="0"/>
        <v>521</v>
      </c>
      <c r="F9" s="10">
        <v>600</v>
      </c>
    </row>
    <row r="10" spans="1:11" s="32" customFormat="1" x14ac:dyDescent="0.15">
      <c r="A10" s="32" t="s">
        <v>2024</v>
      </c>
      <c r="B10" s="32" t="s">
        <v>2026</v>
      </c>
      <c r="C10" s="32" t="s">
        <v>1760</v>
      </c>
      <c r="D10" s="32" t="s">
        <v>1425</v>
      </c>
      <c r="E10" s="11">
        <f t="shared" si="0"/>
        <v>601</v>
      </c>
      <c r="F10" s="11">
        <v>660</v>
      </c>
    </row>
    <row r="11" spans="1:11" x14ac:dyDescent="0.15">
      <c r="A11" s="9" t="s">
        <v>2024</v>
      </c>
      <c r="B11" s="9" t="s">
        <v>2026</v>
      </c>
      <c r="C11" s="9" t="s">
        <v>1760</v>
      </c>
      <c r="D11" s="9" t="s">
        <v>1426</v>
      </c>
      <c r="E11" s="10">
        <f t="shared" si="0"/>
        <v>661</v>
      </c>
      <c r="F11" s="10">
        <v>740</v>
      </c>
    </row>
    <row r="12" spans="1:11" x14ac:dyDescent="0.15">
      <c r="A12" s="9" t="s">
        <v>2024</v>
      </c>
      <c r="B12" s="9" t="s">
        <v>2026</v>
      </c>
      <c r="C12" s="9" t="s">
        <v>1760</v>
      </c>
      <c r="D12" s="9" t="s">
        <v>1427</v>
      </c>
      <c r="E12" s="10">
        <f t="shared" si="0"/>
        <v>741</v>
      </c>
      <c r="F12" s="10">
        <v>820</v>
      </c>
    </row>
    <row r="13" spans="1:11" s="32" customFormat="1" x14ac:dyDescent="0.15">
      <c r="A13" s="32" t="s">
        <v>2024</v>
      </c>
      <c r="B13" s="32" t="s">
        <v>1858</v>
      </c>
      <c r="C13" s="32" t="s">
        <v>1761</v>
      </c>
      <c r="D13" s="32" t="s">
        <v>1414</v>
      </c>
      <c r="E13" s="11">
        <f t="shared" si="0"/>
        <v>821</v>
      </c>
      <c r="F13" s="11">
        <v>860</v>
      </c>
    </row>
    <row r="14" spans="1:11" x14ac:dyDescent="0.15">
      <c r="A14" s="9" t="s">
        <v>2024</v>
      </c>
      <c r="B14" s="9" t="s">
        <v>1858</v>
      </c>
      <c r="C14" s="9" t="s">
        <v>1761</v>
      </c>
      <c r="D14" s="9" t="s">
        <v>2029</v>
      </c>
      <c r="E14" s="10">
        <f t="shared" si="0"/>
        <v>861</v>
      </c>
      <c r="F14" s="10">
        <v>900</v>
      </c>
    </row>
    <row r="15" spans="1:11" x14ac:dyDescent="0.15">
      <c r="A15" s="9" t="s">
        <v>2024</v>
      </c>
      <c r="B15" s="9" t="s">
        <v>1858</v>
      </c>
      <c r="C15" s="9" t="s">
        <v>1761</v>
      </c>
      <c r="D15" s="9" t="s">
        <v>1415</v>
      </c>
      <c r="E15" s="10">
        <f t="shared" si="0"/>
        <v>901</v>
      </c>
      <c r="F15" s="10">
        <v>950</v>
      </c>
    </row>
    <row r="16" spans="1:11" x14ac:dyDescent="0.15">
      <c r="A16" s="9" t="s">
        <v>2024</v>
      </c>
      <c r="B16" s="9" t="s">
        <v>1858</v>
      </c>
      <c r="C16" s="9" t="s">
        <v>1761</v>
      </c>
      <c r="D16" s="9" t="s">
        <v>1416</v>
      </c>
      <c r="E16" s="10">
        <f t="shared" si="0"/>
        <v>951</v>
      </c>
      <c r="F16" s="10">
        <v>1000</v>
      </c>
    </row>
    <row r="17" spans="1:6" x14ac:dyDescent="0.15">
      <c r="A17" s="9" t="s">
        <v>2024</v>
      </c>
      <c r="B17" s="9" t="s">
        <v>1858</v>
      </c>
      <c r="C17" s="9" t="s">
        <v>1761</v>
      </c>
      <c r="D17" s="9" t="s">
        <v>1417</v>
      </c>
      <c r="E17" s="10">
        <f t="shared" si="0"/>
        <v>1001</v>
      </c>
      <c r="F17" s="10">
        <v>1040</v>
      </c>
    </row>
    <row r="18" spans="1:6" x14ac:dyDescent="0.15">
      <c r="A18" s="9" t="s">
        <v>2024</v>
      </c>
      <c r="B18" s="9" t="s">
        <v>1858</v>
      </c>
      <c r="C18" s="9" t="s">
        <v>1761</v>
      </c>
      <c r="D18" s="9" t="s">
        <v>1418</v>
      </c>
      <c r="E18" s="10">
        <f t="shared" si="0"/>
        <v>1041</v>
      </c>
      <c r="F18" s="10">
        <v>1080</v>
      </c>
    </row>
    <row r="19" spans="1:6" x14ac:dyDescent="0.15">
      <c r="A19" s="9" t="s">
        <v>2024</v>
      </c>
      <c r="B19" s="9" t="s">
        <v>1858</v>
      </c>
      <c r="C19" s="9" t="s">
        <v>1761</v>
      </c>
      <c r="D19" s="9" t="s">
        <v>1419</v>
      </c>
      <c r="E19" s="10">
        <f t="shared" si="0"/>
        <v>1081</v>
      </c>
      <c r="F19" s="10">
        <v>1120</v>
      </c>
    </row>
    <row r="20" spans="1:6" s="32" customFormat="1" x14ac:dyDescent="0.15">
      <c r="A20" s="32" t="s">
        <v>2024</v>
      </c>
      <c r="B20" s="32" t="s">
        <v>1859</v>
      </c>
      <c r="C20" s="32" t="s">
        <v>1761</v>
      </c>
      <c r="D20" s="32" t="s">
        <v>1420</v>
      </c>
      <c r="E20" s="11">
        <f t="shared" si="0"/>
        <v>1121</v>
      </c>
      <c r="F20" s="11">
        <v>1150</v>
      </c>
    </row>
    <row r="21" spans="1:6" x14ac:dyDescent="0.15">
      <c r="A21" s="9" t="s">
        <v>2024</v>
      </c>
      <c r="B21" s="9" t="s">
        <v>1859</v>
      </c>
      <c r="C21" s="9" t="s">
        <v>1761</v>
      </c>
      <c r="D21" s="9" t="s">
        <v>2031</v>
      </c>
      <c r="E21" s="10">
        <f t="shared" si="0"/>
        <v>1151</v>
      </c>
      <c r="F21" s="10">
        <v>1180</v>
      </c>
    </row>
    <row r="22" spans="1:6" x14ac:dyDescent="0.15">
      <c r="A22" s="9" t="s">
        <v>2024</v>
      </c>
      <c r="B22" s="9" t="s">
        <v>1859</v>
      </c>
      <c r="C22" s="9" t="s">
        <v>1761</v>
      </c>
      <c r="D22" s="9" t="s">
        <v>2030</v>
      </c>
      <c r="E22" s="10">
        <f t="shared" si="0"/>
        <v>1181</v>
      </c>
      <c r="F22" s="10">
        <v>1220</v>
      </c>
    </row>
    <row r="23" spans="1:6" x14ac:dyDescent="0.15">
      <c r="A23" s="9" t="s">
        <v>2024</v>
      </c>
      <c r="B23" s="9" t="s">
        <v>1859</v>
      </c>
      <c r="C23" s="9" t="s">
        <v>1761</v>
      </c>
      <c r="D23" s="9" t="s">
        <v>2032</v>
      </c>
      <c r="E23" s="10">
        <f t="shared" si="0"/>
        <v>1221</v>
      </c>
      <c r="F23" s="10">
        <v>1250</v>
      </c>
    </row>
    <row r="24" spans="1:6" x14ac:dyDescent="0.15">
      <c r="A24" s="9" t="s">
        <v>2024</v>
      </c>
      <c r="B24" s="9" t="s">
        <v>1859</v>
      </c>
      <c r="C24" s="9" t="s">
        <v>1761</v>
      </c>
      <c r="D24" s="9" t="s">
        <v>1421</v>
      </c>
      <c r="E24" s="10">
        <f t="shared" si="0"/>
        <v>1251</v>
      </c>
      <c r="F24" s="10">
        <v>1280</v>
      </c>
    </row>
    <row r="25" spans="1:6" x14ac:dyDescent="0.15">
      <c r="A25" s="9" t="s">
        <v>2024</v>
      </c>
      <c r="B25" s="9" t="s">
        <v>1859</v>
      </c>
      <c r="C25" s="9" t="s">
        <v>1761</v>
      </c>
      <c r="D25" s="9" t="s">
        <v>2033</v>
      </c>
      <c r="E25" s="10">
        <f t="shared" si="0"/>
        <v>1281</v>
      </c>
      <c r="F25" s="10">
        <v>1320</v>
      </c>
    </row>
    <row r="26" spans="1:6" s="32" customFormat="1" x14ac:dyDescent="0.15">
      <c r="A26" s="32" t="s">
        <v>2024</v>
      </c>
      <c r="B26" s="32" t="s">
        <v>1854</v>
      </c>
      <c r="C26" s="32" t="s">
        <v>1761</v>
      </c>
      <c r="D26" s="32" t="s">
        <v>1428</v>
      </c>
      <c r="E26" s="11">
        <f t="shared" si="0"/>
        <v>1321</v>
      </c>
      <c r="F26" s="11">
        <v>1420</v>
      </c>
    </row>
    <row r="27" spans="1:6" x14ac:dyDescent="0.15">
      <c r="A27" s="9" t="s">
        <v>2024</v>
      </c>
      <c r="B27" s="9" t="s">
        <v>1854</v>
      </c>
      <c r="C27" s="9" t="s">
        <v>1761</v>
      </c>
      <c r="D27" s="9" t="s">
        <v>2034</v>
      </c>
      <c r="E27" s="10">
        <f t="shared" si="0"/>
        <v>1421</v>
      </c>
      <c r="F27" s="10">
        <v>1600</v>
      </c>
    </row>
    <row r="28" spans="1:6" x14ac:dyDescent="0.15">
      <c r="A28" s="9" t="s">
        <v>2024</v>
      </c>
      <c r="B28" s="9" t="s">
        <v>1854</v>
      </c>
      <c r="C28" s="9" t="s">
        <v>1761</v>
      </c>
      <c r="D28" s="9" t="s">
        <v>2035</v>
      </c>
      <c r="E28" s="10">
        <f t="shared" si="0"/>
        <v>1601</v>
      </c>
      <c r="F28" s="10">
        <v>1800</v>
      </c>
    </row>
    <row r="29" spans="1:6" s="32" customFormat="1" x14ac:dyDescent="0.15">
      <c r="A29" s="32" t="s">
        <v>2024</v>
      </c>
      <c r="B29" s="32" t="s">
        <v>2004</v>
      </c>
      <c r="C29" s="32" t="s">
        <v>1762</v>
      </c>
      <c r="D29" s="32" t="s">
        <v>2027</v>
      </c>
      <c r="E29" s="11">
        <f t="shared" si="0"/>
        <v>1801</v>
      </c>
      <c r="F29" s="11">
        <v>1950</v>
      </c>
    </row>
    <row r="30" spans="1:6" x14ac:dyDescent="0.15">
      <c r="A30" s="9" t="s">
        <v>2024</v>
      </c>
      <c r="B30" s="9" t="s">
        <v>2004</v>
      </c>
      <c r="C30" s="9" t="s">
        <v>1762</v>
      </c>
      <c r="D30" s="9" t="s">
        <v>1422</v>
      </c>
      <c r="E30" s="10">
        <f t="shared" si="0"/>
        <v>1951</v>
      </c>
      <c r="F30" s="10">
        <v>2100</v>
      </c>
    </row>
    <row r="31" spans="1:6" x14ac:dyDescent="0.15">
      <c r="A31" s="9" t="s">
        <v>2024</v>
      </c>
      <c r="B31" s="9" t="s">
        <v>2004</v>
      </c>
      <c r="C31" s="9" t="s">
        <v>1762</v>
      </c>
      <c r="D31" s="9" t="s">
        <v>2028</v>
      </c>
      <c r="E31" s="10">
        <f t="shared" si="0"/>
        <v>2101</v>
      </c>
      <c r="F31" s="10">
        <v>2350</v>
      </c>
    </row>
    <row r="32" spans="1:6" x14ac:dyDescent="0.15">
      <c r="A32" s="9" t="s">
        <v>2024</v>
      </c>
      <c r="B32" s="9" t="s">
        <v>2004</v>
      </c>
      <c r="C32" s="9" t="s">
        <v>1762</v>
      </c>
      <c r="D32" s="9" t="s">
        <v>1423</v>
      </c>
      <c r="E32" s="10">
        <f t="shared" si="0"/>
        <v>2351</v>
      </c>
      <c r="F32" s="10">
        <v>2700</v>
      </c>
    </row>
    <row r="33" spans="1:6" s="32" customFormat="1" x14ac:dyDescent="0.15">
      <c r="A33" s="32" t="s">
        <v>2024</v>
      </c>
      <c r="B33" s="32" t="s">
        <v>1855</v>
      </c>
      <c r="C33" s="32" t="s">
        <v>1855</v>
      </c>
      <c r="D33" s="32" t="s">
        <v>1424</v>
      </c>
      <c r="E33" s="11">
        <f t="shared" si="0"/>
        <v>2701</v>
      </c>
      <c r="F33" s="11">
        <v>2900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9727-2F0F-45DD-B015-DC9569EE6849}">
  <sheetPr>
    <tabColor rgb="FF92D050"/>
  </sheetPr>
  <dimension ref="A1:L50"/>
  <sheetViews>
    <sheetView workbookViewId="0">
      <selection activeCell="F52" sqref="F52"/>
    </sheetView>
  </sheetViews>
  <sheetFormatPr defaultRowHeight="10.5" x14ac:dyDescent="0.15"/>
  <cols>
    <col min="1" max="1" width="12.42578125" style="9" customWidth="1"/>
    <col min="2" max="2" width="36" style="9" bestFit="1" customWidth="1"/>
    <col min="3" max="3" width="12.7109375" style="9" customWidth="1"/>
    <col min="4" max="4" width="44.5703125" style="9" bestFit="1" customWidth="1"/>
    <col min="5" max="5" width="11.7109375" style="9" customWidth="1"/>
    <col min="6" max="6" width="10.42578125" style="9" customWidth="1"/>
    <col min="7" max="9" width="15" style="9" customWidth="1"/>
    <col min="10" max="10" width="16.42578125" style="9" customWidth="1"/>
    <col min="11" max="11" width="12.85546875" style="9" customWidth="1"/>
    <col min="12" max="12" width="16.5703125" style="9" customWidth="1"/>
    <col min="13" max="16384" width="9.140625" style="9"/>
  </cols>
  <sheetData>
    <row r="1" spans="1:12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83" t="s">
        <v>1802</v>
      </c>
      <c r="F1" s="108" t="s">
        <v>1803</v>
      </c>
      <c r="G1" s="111" t="s">
        <v>584</v>
      </c>
      <c r="H1" s="109" t="s">
        <v>585</v>
      </c>
      <c r="I1" s="109" t="s">
        <v>586</v>
      </c>
      <c r="J1" s="111" t="s">
        <v>587</v>
      </c>
      <c r="K1" s="111" t="s">
        <v>588</v>
      </c>
      <c r="L1" s="84" t="s">
        <v>2348</v>
      </c>
    </row>
    <row r="2" spans="1:12" s="32" customFormat="1" x14ac:dyDescent="0.15">
      <c r="A2" s="191" t="s">
        <v>2036</v>
      </c>
      <c r="B2" s="32" t="s">
        <v>2037</v>
      </c>
      <c r="C2" s="32" t="s">
        <v>1759</v>
      </c>
      <c r="D2" s="77" t="s">
        <v>373</v>
      </c>
      <c r="E2" s="11">
        <v>0</v>
      </c>
      <c r="F2" s="19">
        <v>0</v>
      </c>
      <c r="G2" s="14">
        <v>0.4</v>
      </c>
      <c r="H2" s="14">
        <v>0.05</v>
      </c>
      <c r="I2" s="190">
        <v>0.4</v>
      </c>
      <c r="J2" s="190">
        <v>0.4</v>
      </c>
      <c r="K2" s="190">
        <v>0.45</v>
      </c>
      <c r="L2" s="14">
        <v>0.55000000000000004</v>
      </c>
    </row>
    <row r="3" spans="1:12" x14ac:dyDescent="0.15">
      <c r="A3" s="192" t="s">
        <v>2036</v>
      </c>
      <c r="B3" s="9" t="s">
        <v>2037</v>
      </c>
      <c r="C3" s="9" t="s">
        <v>1759</v>
      </c>
      <c r="D3" s="25" t="s">
        <v>1431</v>
      </c>
      <c r="E3" s="10">
        <f>F2+1</f>
        <v>1</v>
      </c>
      <c r="F3" s="20">
        <v>20</v>
      </c>
      <c r="G3" s="13"/>
      <c r="H3" s="13"/>
      <c r="I3" s="228"/>
      <c r="J3" s="228"/>
      <c r="K3" s="228"/>
      <c r="L3" s="13"/>
    </row>
    <row r="4" spans="1:12" x14ac:dyDescent="0.15">
      <c r="A4" s="192" t="s">
        <v>2036</v>
      </c>
      <c r="B4" s="9" t="s">
        <v>2037</v>
      </c>
      <c r="C4" s="9" t="s">
        <v>1759</v>
      </c>
      <c r="D4" s="25" t="s">
        <v>1316</v>
      </c>
      <c r="E4" s="10">
        <f t="shared" ref="E4:E50" si="0">F3+1</f>
        <v>21</v>
      </c>
      <c r="F4" s="20">
        <v>40</v>
      </c>
      <c r="G4" s="13"/>
      <c r="H4" s="13"/>
      <c r="I4" s="228"/>
      <c r="J4" s="228"/>
      <c r="K4" s="228"/>
      <c r="L4" s="13"/>
    </row>
    <row r="5" spans="1:12" x14ac:dyDescent="0.15">
      <c r="A5" s="192" t="s">
        <v>2036</v>
      </c>
      <c r="B5" s="9" t="s">
        <v>2037</v>
      </c>
      <c r="C5" s="9" t="s">
        <v>1759</v>
      </c>
      <c r="D5" s="25" t="s">
        <v>414</v>
      </c>
      <c r="E5" s="10">
        <f t="shared" si="0"/>
        <v>41</v>
      </c>
      <c r="F5" s="20">
        <v>70</v>
      </c>
      <c r="G5" s="13"/>
      <c r="H5" s="13"/>
      <c r="I5" s="228"/>
      <c r="J5" s="228"/>
      <c r="K5" s="228"/>
      <c r="L5" s="13"/>
    </row>
    <row r="6" spans="1:12" x14ac:dyDescent="0.15">
      <c r="A6" s="192" t="s">
        <v>2036</v>
      </c>
      <c r="B6" s="9" t="s">
        <v>2037</v>
      </c>
      <c r="C6" s="9" t="s">
        <v>1759</v>
      </c>
      <c r="D6" s="25" t="s">
        <v>1432</v>
      </c>
      <c r="E6" s="10">
        <f t="shared" si="0"/>
        <v>71</v>
      </c>
      <c r="F6" s="20">
        <v>90</v>
      </c>
      <c r="G6" s="13"/>
      <c r="H6" s="13"/>
      <c r="I6" s="228"/>
      <c r="J6" s="228"/>
      <c r="K6" s="228"/>
      <c r="L6" s="13"/>
    </row>
    <row r="7" spans="1:12" x14ac:dyDescent="0.15">
      <c r="A7" s="192" t="s">
        <v>2036</v>
      </c>
      <c r="B7" s="9" t="s">
        <v>2037</v>
      </c>
      <c r="C7" s="9" t="s">
        <v>1759</v>
      </c>
      <c r="D7" s="25" t="s">
        <v>595</v>
      </c>
      <c r="E7" s="10">
        <f t="shared" si="0"/>
        <v>91</v>
      </c>
      <c r="F7" s="20">
        <v>110</v>
      </c>
      <c r="G7" s="13"/>
      <c r="H7" s="13"/>
      <c r="I7" s="228"/>
      <c r="J7" s="228"/>
      <c r="K7" s="228"/>
      <c r="L7" s="13"/>
    </row>
    <row r="8" spans="1:12" x14ac:dyDescent="0.15">
      <c r="A8" s="192" t="s">
        <v>2036</v>
      </c>
      <c r="B8" s="9" t="s">
        <v>2037</v>
      </c>
      <c r="C8" s="9" t="s">
        <v>1759</v>
      </c>
      <c r="D8" s="25" t="s">
        <v>1433</v>
      </c>
      <c r="E8" s="10">
        <f t="shared" si="0"/>
        <v>111</v>
      </c>
      <c r="F8" s="20">
        <v>130</v>
      </c>
      <c r="G8" s="13"/>
      <c r="H8" s="13"/>
      <c r="I8" s="228"/>
      <c r="J8" s="228"/>
      <c r="K8" s="228"/>
      <c r="L8" s="13"/>
    </row>
    <row r="9" spans="1:12" x14ac:dyDescent="0.15">
      <c r="A9" s="192" t="s">
        <v>2036</v>
      </c>
      <c r="B9" s="9" t="s">
        <v>2037</v>
      </c>
      <c r="C9" s="9" t="s">
        <v>1759</v>
      </c>
      <c r="D9" s="25" t="s">
        <v>1434</v>
      </c>
      <c r="E9" s="10">
        <f t="shared" si="0"/>
        <v>131</v>
      </c>
      <c r="F9" s="20">
        <v>160</v>
      </c>
      <c r="G9" s="13"/>
      <c r="H9" s="13"/>
      <c r="I9" s="228"/>
      <c r="J9" s="228"/>
      <c r="K9" s="228"/>
      <c r="L9" s="13"/>
    </row>
    <row r="10" spans="1:12" s="32" customFormat="1" x14ac:dyDescent="0.15">
      <c r="A10" s="191" t="s">
        <v>2036</v>
      </c>
      <c r="B10" s="32" t="s">
        <v>1861</v>
      </c>
      <c r="C10" s="32" t="s">
        <v>1760</v>
      </c>
      <c r="D10" s="77" t="s">
        <v>1340</v>
      </c>
      <c r="E10" s="11">
        <f t="shared" si="0"/>
        <v>161</v>
      </c>
      <c r="F10" s="19">
        <v>190</v>
      </c>
      <c r="G10" s="14">
        <v>1.2</v>
      </c>
      <c r="H10" s="14">
        <v>0.15</v>
      </c>
      <c r="I10" s="190">
        <v>1.4</v>
      </c>
      <c r="J10" s="190">
        <v>0.7</v>
      </c>
      <c r="K10" s="190">
        <v>0.55000000000000004</v>
      </c>
      <c r="L10" s="14">
        <v>0.6</v>
      </c>
    </row>
    <row r="11" spans="1:12" x14ac:dyDescent="0.15">
      <c r="A11" s="192" t="s">
        <v>2036</v>
      </c>
      <c r="B11" s="9" t="s">
        <v>1861</v>
      </c>
      <c r="C11" s="9" t="s">
        <v>1760</v>
      </c>
      <c r="D11" s="25" t="s">
        <v>1435</v>
      </c>
      <c r="E11" s="10">
        <f t="shared" si="0"/>
        <v>191</v>
      </c>
      <c r="F11" s="20">
        <v>230</v>
      </c>
      <c r="G11" s="13"/>
      <c r="H11" s="13"/>
      <c r="I11" s="228"/>
      <c r="J11" s="228"/>
      <c r="K11" s="228"/>
      <c r="L11" s="13"/>
    </row>
    <row r="12" spans="1:12" x14ac:dyDescent="0.15">
      <c r="A12" s="192" t="s">
        <v>2036</v>
      </c>
      <c r="B12" s="9" t="s">
        <v>1861</v>
      </c>
      <c r="C12" s="9" t="s">
        <v>1760</v>
      </c>
      <c r="D12" s="25" t="s">
        <v>1436</v>
      </c>
      <c r="E12" s="10">
        <f t="shared" si="0"/>
        <v>231</v>
      </c>
      <c r="F12" s="20">
        <v>270</v>
      </c>
      <c r="G12" s="13"/>
      <c r="H12" s="13"/>
      <c r="I12" s="228"/>
      <c r="J12" s="228"/>
      <c r="K12" s="228"/>
      <c r="L12" s="13"/>
    </row>
    <row r="13" spans="1:12" x14ac:dyDescent="0.15">
      <c r="A13" s="192" t="s">
        <v>2036</v>
      </c>
      <c r="B13" s="9" t="s">
        <v>1861</v>
      </c>
      <c r="C13" s="9" t="s">
        <v>1760</v>
      </c>
      <c r="D13" s="25" t="s">
        <v>1437</v>
      </c>
      <c r="E13" s="10">
        <f t="shared" si="0"/>
        <v>271</v>
      </c>
      <c r="F13" s="20">
        <v>310</v>
      </c>
      <c r="G13" s="13"/>
      <c r="H13" s="13"/>
      <c r="I13" s="228"/>
      <c r="J13" s="228"/>
      <c r="K13" s="228"/>
      <c r="L13" s="13"/>
    </row>
    <row r="14" spans="1:12" x14ac:dyDescent="0.15">
      <c r="A14" s="192" t="s">
        <v>2036</v>
      </c>
      <c r="B14" s="9" t="s">
        <v>1861</v>
      </c>
      <c r="C14" s="9" t="s">
        <v>1760</v>
      </c>
      <c r="D14" s="25" t="s">
        <v>1438</v>
      </c>
      <c r="E14" s="10">
        <f t="shared" si="0"/>
        <v>311</v>
      </c>
      <c r="F14" s="20">
        <v>360</v>
      </c>
      <c r="G14" s="13"/>
      <c r="H14" s="13"/>
      <c r="I14" s="228"/>
      <c r="J14" s="228"/>
      <c r="K14" s="228"/>
      <c r="L14" s="13"/>
    </row>
    <row r="15" spans="1:12" x14ac:dyDescent="0.15">
      <c r="A15" s="192" t="s">
        <v>2036</v>
      </c>
      <c r="B15" s="9" t="s">
        <v>1861</v>
      </c>
      <c r="C15" s="9" t="s">
        <v>1760</v>
      </c>
      <c r="D15" s="25" t="s">
        <v>1439</v>
      </c>
      <c r="E15" s="10">
        <f t="shared" si="0"/>
        <v>361</v>
      </c>
      <c r="F15" s="20">
        <v>410</v>
      </c>
      <c r="G15" s="13"/>
      <c r="H15" s="13"/>
      <c r="I15" s="228"/>
      <c r="J15" s="228"/>
      <c r="K15" s="228"/>
      <c r="L15" s="13"/>
    </row>
    <row r="16" spans="1:12" x14ac:dyDescent="0.15">
      <c r="A16" s="192" t="s">
        <v>2036</v>
      </c>
      <c r="B16" s="9" t="s">
        <v>1861</v>
      </c>
      <c r="C16" s="9" t="s">
        <v>1760</v>
      </c>
      <c r="D16" s="25" t="s">
        <v>1440</v>
      </c>
      <c r="E16" s="10">
        <f t="shared" si="0"/>
        <v>411</v>
      </c>
      <c r="F16" s="20">
        <v>480</v>
      </c>
      <c r="G16" s="13"/>
      <c r="H16" s="13"/>
      <c r="I16" s="228"/>
      <c r="J16" s="228"/>
      <c r="K16" s="228"/>
      <c r="L16" s="13"/>
    </row>
    <row r="17" spans="1:12" s="32" customFormat="1" x14ac:dyDescent="0.15">
      <c r="A17" s="191" t="s">
        <v>2036</v>
      </c>
      <c r="B17" s="32" t="s">
        <v>2038</v>
      </c>
      <c r="C17" s="32" t="s">
        <v>1760</v>
      </c>
      <c r="D17" s="77" t="s">
        <v>1441</v>
      </c>
      <c r="E17" s="11">
        <f t="shared" si="0"/>
        <v>481</v>
      </c>
      <c r="F17" s="19">
        <v>490</v>
      </c>
      <c r="G17" s="14">
        <v>1.6</v>
      </c>
      <c r="H17" s="14">
        <v>0.18</v>
      </c>
      <c r="I17" s="190">
        <v>1.8</v>
      </c>
      <c r="J17" s="190">
        <v>0.85</v>
      </c>
      <c r="K17" s="190">
        <v>0.6</v>
      </c>
      <c r="L17" s="14">
        <v>0.65</v>
      </c>
    </row>
    <row r="18" spans="1:12" x14ac:dyDescent="0.15">
      <c r="A18" s="192" t="s">
        <v>2036</v>
      </c>
      <c r="B18" s="9" t="s">
        <v>2038</v>
      </c>
      <c r="C18" s="9" t="s">
        <v>1760</v>
      </c>
      <c r="D18" s="25" t="s">
        <v>1442</v>
      </c>
      <c r="E18" s="10">
        <f t="shared" si="0"/>
        <v>491</v>
      </c>
      <c r="F18" s="20">
        <v>520</v>
      </c>
      <c r="G18" s="13"/>
      <c r="H18" s="13"/>
      <c r="I18" s="228"/>
      <c r="J18" s="228"/>
      <c r="K18" s="228"/>
      <c r="L18" s="13"/>
    </row>
    <row r="19" spans="1:12" x14ac:dyDescent="0.15">
      <c r="A19" s="192" t="s">
        <v>2036</v>
      </c>
      <c r="B19" s="9" t="s">
        <v>2038</v>
      </c>
      <c r="C19" s="9" t="s">
        <v>1760</v>
      </c>
      <c r="D19" s="25" t="s">
        <v>1443</v>
      </c>
      <c r="E19" s="10">
        <f t="shared" si="0"/>
        <v>521</v>
      </c>
      <c r="F19" s="20">
        <v>550</v>
      </c>
      <c r="G19" s="13"/>
      <c r="H19" s="13"/>
      <c r="I19" s="228"/>
      <c r="J19" s="228"/>
      <c r="K19" s="228"/>
      <c r="L19" s="13"/>
    </row>
    <row r="20" spans="1:12" x14ac:dyDescent="0.15">
      <c r="A20" s="192" t="s">
        <v>2036</v>
      </c>
      <c r="B20" s="9" t="s">
        <v>2038</v>
      </c>
      <c r="C20" s="9" t="s">
        <v>1760</v>
      </c>
      <c r="D20" s="25" t="s">
        <v>1444</v>
      </c>
      <c r="E20" s="10">
        <f t="shared" si="0"/>
        <v>551</v>
      </c>
      <c r="F20" s="20">
        <v>580</v>
      </c>
      <c r="G20" s="13"/>
      <c r="H20" s="13"/>
      <c r="I20" s="228"/>
      <c r="J20" s="228"/>
      <c r="K20" s="228"/>
      <c r="L20" s="13"/>
    </row>
    <row r="21" spans="1:12" x14ac:dyDescent="0.15">
      <c r="A21" s="192" t="s">
        <v>2036</v>
      </c>
      <c r="B21" s="9" t="s">
        <v>2038</v>
      </c>
      <c r="C21" s="9" t="s">
        <v>1760</v>
      </c>
      <c r="D21" s="25" t="s">
        <v>1445</v>
      </c>
      <c r="E21" s="10">
        <f t="shared" si="0"/>
        <v>581</v>
      </c>
      <c r="F21" s="20">
        <v>640</v>
      </c>
      <c r="G21" s="13"/>
      <c r="H21" s="13"/>
      <c r="I21" s="228"/>
      <c r="J21" s="228"/>
      <c r="K21" s="228"/>
      <c r="L21" s="13"/>
    </row>
    <row r="22" spans="1:12" s="32" customFormat="1" x14ac:dyDescent="0.15">
      <c r="A22" s="191" t="s">
        <v>2036</v>
      </c>
      <c r="B22" s="32" t="s">
        <v>2039</v>
      </c>
      <c r="C22" s="32" t="s">
        <v>1760</v>
      </c>
      <c r="D22" s="77" t="s">
        <v>1446</v>
      </c>
      <c r="E22" s="11">
        <f t="shared" si="0"/>
        <v>641</v>
      </c>
      <c r="F22" s="19">
        <v>680</v>
      </c>
      <c r="G22" s="14">
        <v>2</v>
      </c>
      <c r="H22" s="14">
        <v>0.22</v>
      </c>
      <c r="I22" s="190">
        <v>2.2999999999999998</v>
      </c>
      <c r="J22" s="190">
        <v>1</v>
      </c>
      <c r="K22" s="190">
        <v>0.7</v>
      </c>
      <c r="L22" s="14">
        <v>0.7</v>
      </c>
    </row>
    <row r="23" spans="1:12" x14ac:dyDescent="0.15">
      <c r="A23" s="192" t="s">
        <v>2036</v>
      </c>
      <c r="B23" s="9" t="s">
        <v>2039</v>
      </c>
      <c r="C23" s="9" t="s">
        <v>1760</v>
      </c>
      <c r="D23" s="25" t="s">
        <v>1447</v>
      </c>
      <c r="E23" s="10">
        <f t="shared" si="0"/>
        <v>681</v>
      </c>
      <c r="F23" s="20">
        <v>720</v>
      </c>
      <c r="G23" s="13"/>
      <c r="H23" s="13"/>
      <c r="I23" s="228"/>
      <c r="J23" s="228"/>
      <c r="K23" s="228"/>
      <c r="L23" s="13"/>
    </row>
    <row r="24" spans="1:12" x14ac:dyDescent="0.15">
      <c r="A24" s="192" t="s">
        <v>2036</v>
      </c>
      <c r="B24" s="9" t="s">
        <v>2039</v>
      </c>
      <c r="C24" s="9" t="s">
        <v>1760</v>
      </c>
      <c r="D24" s="25" t="s">
        <v>1448</v>
      </c>
      <c r="E24" s="10">
        <f t="shared" si="0"/>
        <v>721</v>
      </c>
      <c r="F24" s="20">
        <v>760</v>
      </c>
      <c r="G24" s="13"/>
      <c r="H24" s="13"/>
      <c r="I24" s="228"/>
      <c r="J24" s="228"/>
      <c r="K24" s="228"/>
      <c r="L24" s="13"/>
    </row>
    <row r="25" spans="1:12" x14ac:dyDescent="0.15">
      <c r="A25" s="192" t="s">
        <v>2036</v>
      </c>
      <c r="B25" s="9" t="s">
        <v>2039</v>
      </c>
      <c r="C25" s="9" t="s">
        <v>1760</v>
      </c>
      <c r="D25" s="25" t="s">
        <v>1449</v>
      </c>
      <c r="E25" s="10">
        <f t="shared" si="0"/>
        <v>761</v>
      </c>
      <c r="F25" s="20">
        <v>800</v>
      </c>
      <c r="G25" s="13"/>
      <c r="H25" s="13"/>
      <c r="I25" s="228"/>
      <c r="J25" s="228"/>
      <c r="K25" s="228"/>
      <c r="L25" s="13"/>
    </row>
    <row r="26" spans="1:12" x14ac:dyDescent="0.15">
      <c r="A26" s="192" t="s">
        <v>2036</v>
      </c>
      <c r="B26" s="9" t="s">
        <v>2039</v>
      </c>
      <c r="C26" s="9" t="s">
        <v>1760</v>
      </c>
      <c r="D26" s="25" t="s">
        <v>1450</v>
      </c>
      <c r="E26" s="10">
        <f t="shared" si="0"/>
        <v>801</v>
      </c>
      <c r="F26" s="20">
        <v>860</v>
      </c>
      <c r="G26" s="13"/>
      <c r="H26" s="13"/>
      <c r="I26" s="228"/>
      <c r="J26" s="228"/>
      <c r="K26" s="228"/>
      <c r="L26" s="13"/>
    </row>
    <row r="27" spans="1:12" x14ac:dyDescent="0.15">
      <c r="A27" s="192" t="s">
        <v>2036</v>
      </c>
      <c r="B27" s="9" t="s">
        <v>2039</v>
      </c>
      <c r="C27" s="9" t="s">
        <v>1760</v>
      </c>
      <c r="D27" s="25" t="s">
        <v>1451</v>
      </c>
      <c r="E27" s="10">
        <f t="shared" si="0"/>
        <v>861</v>
      </c>
      <c r="F27" s="20">
        <v>920</v>
      </c>
      <c r="G27" s="13"/>
      <c r="H27" s="13"/>
      <c r="I27" s="228"/>
      <c r="J27" s="228"/>
      <c r="K27" s="228"/>
      <c r="L27" s="13"/>
    </row>
    <row r="28" spans="1:12" s="32" customFormat="1" x14ac:dyDescent="0.15">
      <c r="A28" s="191" t="s">
        <v>2036</v>
      </c>
      <c r="B28" s="32" t="s">
        <v>2042</v>
      </c>
      <c r="C28" s="32" t="s">
        <v>1760</v>
      </c>
      <c r="D28" s="77" t="s">
        <v>1452</v>
      </c>
      <c r="E28" s="11">
        <f t="shared" si="0"/>
        <v>921</v>
      </c>
      <c r="F28" s="19">
        <v>980</v>
      </c>
      <c r="G28" s="14">
        <v>2.2999999999999998</v>
      </c>
      <c r="H28" s="14">
        <v>0.25</v>
      </c>
      <c r="I28" s="190">
        <v>2.6</v>
      </c>
      <c r="J28" s="190">
        <v>1.05</v>
      </c>
      <c r="K28" s="190">
        <v>0.72</v>
      </c>
      <c r="L28" s="14">
        <v>0.75</v>
      </c>
    </row>
    <row r="29" spans="1:12" x14ac:dyDescent="0.15">
      <c r="A29" s="192" t="s">
        <v>2036</v>
      </c>
      <c r="B29" s="9" t="s">
        <v>2042</v>
      </c>
      <c r="C29" s="9" t="s">
        <v>1760</v>
      </c>
      <c r="D29" s="25" t="s">
        <v>1453</v>
      </c>
      <c r="E29" s="10">
        <f t="shared" si="0"/>
        <v>981</v>
      </c>
      <c r="F29" s="20">
        <v>1040</v>
      </c>
      <c r="G29" s="13"/>
      <c r="H29" s="13"/>
      <c r="I29" s="228"/>
      <c r="J29" s="228"/>
      <c r="K29" s="228"/>
      <c r="L29" s="13"/>
    </row>
    <row r="30" spans="1:12" x14ac:dyDescent="0.15">
      <c r="A30" s="192" t="s">
        <v>2036</v>
      </c>
      <c r="B30" s="9" t="s">
        <v>2042</v>
      </c>
      <c r="C30" s="9" t="s">
        <v>1760</v>
      </c>
      <c r="D30" s="25" t="s">
        <v>1454</v>
      </c>
      <c r="E30" s="10">
        <f t="shared" si="0"/>
        <v>1041</v>
      </c>
      <c r="F30" s="20">
        <v>1100</v>
      </c>
      <c r="G30" s="13"/>
      <c r="H30" s="13"/>
      <c r="I30" s="228"/>
      <c r="J30" s="228"/>
      <c r="K30" s="228"/>
      <c r="L30" s="13"/>
    </row>
    <row r="31" spans="1:12" x14ac:dyDescent="0.15">
      <c r="A31" s="192" t="s">
        <v>2036</v>
      </c>
      <c r="B31" s="9" t="s">
        <v>2042</v>
      </c>
      <c r="C31" s="9" t="s">
        <v>1760</v>
      </c>
      <c r="D31" s="25" t="s">
        <v>1455</v>
      </c>
      <c r="E31" s="10">
        <f t="shared" si="0"/>
        <v>1101</v>
      </c>
      <c r="F31" s="20">
        <v>1160</v>
      </c>
      <c r="G31" s="13"/>
      <c r="H31" s="13"/>
      <c r="I31" s="228"/>
      <c r="J31" s="228"/>
      <c r="K31" s="228"/>
      <c r="L31" s="13"/>
    </row>
    <row r="32" spans="1:12" s="32" customFormat="1" x14ac:dyDescent="0.15">
      <c r="A32" s="191" t="s">
        <v>2036</v>
      </c>
      <c r="B32" s="32" t="s">
        <v>2040</v>
      </c>
      <c r="C32" s="32" t="s">
        <v>1761</v>
      </c>
      <c r="D32" s="77" t="s">
        <v>1456</v>
      </c>
      <c r="E32" s="11">
        <f t="shared" si="0"/>
        <v>1161</v>
      </c>
      <c r="F32" s="19">
        <v>1190</v>
      </c>
      <c r="G32" s="14">
        <v>1.8</v>
      </c>
      <c r="H32" s="14">
        <v>0.2</v>
      </c>
      <c r="I32" s="190">
        <v>2.1</v>
      </c>
      <c r="J32" s="190">
        <v>0.95</v>
      </c>
      <c r="K32" s="190">
        <v>0.68</v>
      </c>
      <c r="L32" s="14">
        <v>0.7</v>
      </c>
    </row>
    <row r="33" spans="1:12" x14ac:dyDescent="0.15">
      <c r="A33" s="192" t="s">
        <v>2036</v>
      </c>
      <c r="B33" s="9" t="s">
        <v>2040</v>
      </c>
      <c r="C33" s="9" t="s">
        <v>1761</v>
      </c>
      <c r="D33" s="25" t="s">
        <v>1457</v>
      </c>
      <c r="E33" s="10">
        <f t="shared" si="0"/>
        <v>1191</v>
      </c>
      <c r="F33" s="20">
        <v>1210</v>
      </c>
      <c r="G33" s="13"/>
      <c r="H33" s="13"/>
      <c r="I33" s="228"/>
      <c r="J33" s="228"/>
      <c r="K33" s="228"/>
      <c r="L33" s="13"/>
    </row>
    <row r="34" spans="1:12" x14ac:dyDescent="0.15">
      <c r="A34" s="192" t="s">
        <v>2036</v>
      </c>
      <c r="B34" s="9" t="s">
        <v>2040</v>
      </c>
      <c r="C34" s="9" t="s">
        <v>1761</v>
      </c>
      <c r="D34" s="25" t="s">
        <v>1458</v>
      </c>
      <c r="E34" s="10">
        <f t="shared" si="0"/>
        <v>1211</v>
      </c>
      <c r="F34" s="20">
        <v>1230</v>
      </c>
      <c r="G34" s="13"/>
      <c r="H34" s="13"/>
      <c r="I34" s="228"/>
      <c r="J34" s="228"/>
      <c r="K34" s="228"/>
      <c r="L34" s="13"/>
    </row>
    <row r="35" spans="1:12" x14ac:dyDescent="0.15">
      <c r="A35" s="192" t="s">
        <v>2036</v>
      </c>
      <c r="B35" s="9" t="s">
        <v>2040</v>
      </c>
      <c r="C35" s="9" t="s">
        <v>1761</v>
      </c>
      <c r="D35" s="25" t="s">
        <v>1459</v>
      </c>
      <c r="E35" s="10">
        <f t="shared" si="0"/>
        <v>1231</v>
      </c>
      <c r="F35" s="20">
        <v>1250</v>
      </c>
      <c r="G35" s="13"/>
      <c r="H35" s="13"/>
      <c r="I35" s="228"/>
      <c r="J35" s="228"/>
      <c r="K35" s="228"/>
      <c r="L35" s="13"/>
    </row>
    <row r="36" spans="1:12" x14ac:dyDescent="0.15">
      <c r="A36" s="192" t="s">
        <v>2036</v>
      </c>
      <c r="B36" s="9" t="s">
        <v>2040</v>
      </c>
      <c r="C36" s="9" t="s">
        <v>1761</v>
      </c>
      <c r="D36" s="25" t="s">
        <v>1460</v>
      </c>
      <c r="E36" s="10">
        <f t="shared" si="0"/>
        <v>1251</v>
      </c>
      <c r="F36" s="20">
        <v>1270</v>
      </c>
      <c r="G36" s="13"/>
      <c r="H36" s="13"/>
      <c r="I36" s="228"/>
      <c r="J36" s="228"/>
      <c r="K36" s="228"/>
      <c r="L36" s="13"/>
    </row>
    <row r="37" spans="1:12" s="32" customFormat="1" x14ac:dyDescent="0.15">
      <c r="A37" s="191" t="s">
        <v>2036</v>
      </c>
      <c r="B37" s="32" t="s">
        <v>1859</v>
      </c>
      <c r="C37" s="32" t="s">
        <v>1761</v>
      </c>
      <c r="D37" s="77" t="s">
        <v>611</v>
      </c>
      <c r="E37" s="11">
        <f t="shared" si="0"/>
        <v>1271</v>
      </c>
      <c r="F37" s="19">
        <v>1290</v>
      </c>
      <c r="G37" s="14">
        <v>1.4</v>
      </c>
      <c r="H37" s="14">
        <v>0.16</v>
      </c>
      <c r="I37" s="190">
        <v>1.8</v>
      </c>
      <c r="J37" s="190">
        <v>0.9</v>
      </c>
      <c r="K37" s="190">
        <v>0.65</v>
      </c>
      <c r="L37" s="14">
        <v>0.65</v>
      </c>
    </row>
    <row r="38" spans="1:12" x14ac:dyDescent="0.15">
      <c r="A38" s="192" t="s">
        <v>2036</v>
      </c>
      <c r="B38" s="9" t="s">
        <v>1859</v>
      </c>
      <c r="C38" s="9" t="s">
        <v>1761</v>
      </c>
      <c r="D38" s="25" t="s">
        <v>1358</v>
      </c>
      <c r="E38" s="10">
        <f t="shared" si="0"/>
        <v>1291</v>
      </c>
      <c r="F38" s="20">
        <v>1310</v>
      </c>
      <c r="G38" s="13"/>
      <c r="H38" s="13"/>
      <c r="I38" s="228"/>
      <c r="J38" s="228"/>
      <c r="K38" s="228"/>
      <c r="L38" s="13"/>
    </row>
    <row r="39" spans="1:12" x14ac:dyDescent="0.15">
      <c r="A39" s="192" t="s">
        <v>2036</v>
      </c>
      <c r="B39" s="9" t="s">
        <v>1859</v>
      </c>
      <c r="C39" s="9" t="s">
        <v>1761</v>
      </c>
      <c r="D39" s="25" t="s">
        <v>1360</v>
      </c>
      <c r="E39" s="10">
        <f t="shared" si="0"/>
        <v>1311</v>
      </c>
      <c r="F39" s="20">
        <v>1340</v>
      </c>
      <c r="G39" s="13"/>
      <c r="H39" s="13"/>
      <c r="I39" s="228"/>
      <c r="J39" s="228"/>
      <c r="K39" s="228"/>
      <c r="L39" s="13"/>
    </row>
    <row r="40" spans="1:12" x14ac:dyDescent="0.15">
      <c r="A40" s="192" t="s">
        <v>2036</v>
      </c>
      <c r="B40" s="9" t="s">
        <v>1859</v>
      </c>
      <c r="C40" s="9" t="s">
        <v>1761</v>
      </c>
      <c r="D40" s="25" t="s">
        <v>521</v>
      </c>
      <c r="E40" s="10">
        <f t="shared" si="0"/>
        <v>1341</v>
      </c>
      <c r="F40" s="20">
        <v>1370</v>
      </c>
      <c r="G40" s="13"/>
      <c r="H40" s="13"/>
      <c r="I40" s="228"/>
      <c r="J40" s="228"/>
      <c r="K40" s="228"/>
      <c r="L40" s="13"/>
    </row>
    <row r="41" spans="1:12" s="32" customFormat="1" x14ac:dyDescent="0.15">
      <c r="A41" s="191" t="s">
        <v>2036</v>
      </c>
      <c r="B41" s="32" t="s">
        <v>1854</v>
      </c>
      <c r="C41" s="32" t="s">
        <v>1761</v>
      </c>
      <c r="D41" s="77" t="s">
        <v>1461</v>
      </c>
      <c r="E41" s="11">
        <f t="shared" si="0"/>
        <v>1371</v>
      </c>
      <c r="F41" s="19">
        <v>1410</v>
      </c>
      <c r="G41" s="14">
        <v>0.9</v>
      </c>
      <c r="H41" s="14">
        <v>0.12</v>
      </c>
      <c r="I41" s="190">
        <v>1.3</v>
      </c>
      <c r="J41" s="190">
        <v>0.8</v>
      </c>
      <c r="K41" s="190">
        <v>0.6</v>
      </c>
      <c r="L41" s="14">
        <v>0.55000000000000004</v>
      </c>
    </row>
    <row r="42" spans="1:12" x14ac:dyDescent="0.15">
      <c r="A42" s="192" t="s">
        <v>2036</v>
      </c>
      <c r="B42" s="9" t="s">
        <v>1854</v>
      </c>
      <c r="C42" s="9" t="s">
        <v>1761</v>
      </c>
      <c r="D42" s="25" t="s">
        <v>1462</v>
      </c>
      <c r="E42" s="10">
        <f t="shared" si="0"/>
        <v>1411</v>
      </c>
      <c r="F42" s="20">
        <v>1460</v>
      </c>
      <c r="G42" s="13"/>
      <c r="H42" s="13"/>
      <c r="I42" s="228"/>
      <c r="J42" s="228"/>
      <c r="K42" s="228"/>
      <c r="L42" s="13"/>
    </row>
    <row r="43" spans="1:12" x14ac:dyDescent="0.15">
      <c r="A43" s="192" t="s">
        <v>2036</v>
      </c>
      <c r="B43" s="9" t="s">
        <v>1854</v>
      </c>
      <c r="C43" s="9" t="s">
        <v>1761</v>
      </c>
      <c r="D43" s="25" t="s">
        <v>1463</v>
      </c>
      <c r="E43" s="10">
        <f t="shared" si="0"/>
        <v>1461</v>
      </c>
      <c r="F43" s="20">
        <v>1500</v>
      </c>
      <c r="G43" s="13"/>
      <c r="H43" s="13"/>
      <c r="I43" s="228"/>
      <c r="J43" s="228"/>
      <c r="K43" s="228"/>
      <c r="L43" s="13"/>
    </row>
    <row r="44" spans="1:12" s="32" customFormat="1" x14ac:dyDescent="0.15">
      <c r="A44" s="191" t="s">
        <v>2036</v>
      </c>
      <c r="B44" s="32" t="s">
        <v>2041</v>
      </c>
      <c r="C44" s="32" t="s">
        <v>1762</v>
      </c>
      <c r="D44" s="77" t="s">
        <v>1464</v>
      </c>
      <c r="E44" s="11">
        <f t="shared" si="0"/>
        <v>1501</v>
      </c>
      <c r="F44" s="19">
        <v>1550</v>
      </c>
      <c r="G44" s="14">
        <v>0.5</v>
      </c>
      <c r="H44" s="14">
        <v>0.08</v>
      </c>
      <c r="I44" s="190">
        <v>0.8</v>
      </c>
      <c r="J44" s="190">
        <v>0.7</v>
      </c>
      <c r="K44" s="190">
        <v>0.55000000000000004</v>
      </c>
      <c r="L44" s="14">
        <v>0.45</v>
      </c>
    </row>
    <row r="45" spans="1:12" x14ac:dyDescent="0.15">
      <c r="A45" s="192" t="s">
        <v>2036</v>
      </c>
      <c r="B45" s="9" t="s">
        <v>2041</v>
      </c>
      <c r="C45" s="9" t="s">
        <v>1762</v>
      </c>
      <c r="D45" s="25" t="s">
        <v>1465</v>
      </c>
      <c r="E45" s="10">
        <f t="shared" si="0"/>
        <v>1551</v>
      </c>
      <c r="F45" s="20">
        <v>1600</v>
      </c>
      <c r="G45" s="13"/>
      <c r="H45" s="13"/>
      <c r="I45" s="228"/>
      <c r="J45" s="228"/>
      <c r="K45" s="228"/>
      <c r="L45" s="13"/>
    </row>
    <row r="46" spans="1:12" x14ac:dyDescent="0.15">
      <c r="A46" s="192" t="s">
        <v>2036</v>
      </c>
      <c r="B46" s="9" t="s">
        <v>2041</v>
      </c>
      <c r="C46" s="9" t="s">
        <v>1762</v>
      </c>
      <c r="D46" s="25" t="s">
        <v>1466</v>
      </c>
      <c r="E46" s="10">
        <f t="shared" si="0"/>
        <v>1601</v>
      </c>
      <c r="F46" s="20">
        <v>1660</v>
      </c>
      <c r="G46" s="13"/>
      <c r="H46" s="13"/>
      <c r="I46" s="228"/>
      <c r="J46" s="228"/>
      <c r="K46" s="228"/>
      <c r="L46" s="13"/>
    </row>
    <row r="47" spans="1:12" s="32" customFormat="1" x14ac:dyDescent="0.15">
      <c r="A47" s="191" t="s">
        <v>2036</v>
      </c>
      <c r="B47" s="32" t="s">
        <v>1855</v>
      </c>
      <c r="C47" s="32" t="s">
        <v>1855</v>
      </c>
      <c r="D47" s="77" t="s">
        <v>1467</v>
      </c>
      <c r="E47" s="11">
        <f t="shared" si="0"/>
        <v>1661</v>
      </c>
      <c r="F47" s="19">
        <v>1700</v>
      </c>
      <c r="G47" s="14">
        <v>0.2</v>
      </c>
      <c r="H47" s="14">
        <v>0.03</v>
      </c>
      <c r="I47" s="190">
        <v>0.3</v>
      </c>
      <c r="J47" s="190">
        <v>0.4</v>
      </c>
      <c r="K47" s="190">
        <v>0.4</v>
      </c>
      <c r="L47" s="14">
        <v>0.3</v>
      </c>
    </row>
    <row r="48" spans="1:12" x14ac:dyDescent="0.15">
      <c r="A48" s="192" t="s">
        <v>2036</v>
      </c>
      <c r="B48" s="9" t="s">
        <v>1855</v>
      </c>
      <c r="C48" s="9" t="s">
        <v>1855</v>
      </c>
      <c r="D48" s="25" t="s">
        <v>1468</v>
      </c>
      <c r="E48" s="10">
        <f t="shared" si="0"/>
        <v>1701</v>
      </c>
      <c r="F48" s="20">
        <v>1740</v>
      </c>
      <c r="G48" s="13"/>
      <c r="H48" s="13"/>
      <c r="I48" s="228"/>
      <c r="J48" s="228"/>
      <c r="K48" s="228"/>
      <c r="L48" s="13"/>
    </row>
    <row r="49" spans="1:12" x14ac:dyDescent="0.15">
      <c r="A49" s="192" t="s">
        <v>2036</v>
      </c>
      <c r="B49" s="9" t="s">
        <v>1855</v>
      </c>
      <c r="C49" s="9" t="s">
        <v>1855</v>
      </c>
      <c r="D49" s="25" t="s">
        <v>1469</v>
      </c>
      <c r="E49" s="10">
        <f t="shared" si="0"/>
        <v>1741</v>
      </c>
      <c r="F49" s="20">
        <v>1780</v>
      </c>
      <c r="G49" s="13"/>
      <c r="H49" s="13"/>
      <c r="I49" s="228"/>
      <c r="J49" s="228"/>
      <c r="K49" s="228"/>
      <c r="L49" s="13"/>
    </row>
    <row r="50" spans="1:12" x14ac:dyDescent="0.15">
      <c r="A50" s="180" t="s">
        <v>2036</v>
      </c>
      <c r="B50" s="181" t="s">
        <v>1855</v>
      </c>
      <c r="C50" s="181" t="s">
        <v>1855</v>
      </c>
      <c r="D50" s="182" t="s">
        <v>456</v>
      </c>
      <c r="E50" s="185">
        <f t="shared" si="0"/>
        <v>1781</v>
      </c>
      <c r="F50" s="172">
        <v>1820</v>
      </c>
      <c r="G50" s="248"/>
      <c r="H50" s="248"/>
      <c r="I50" s="249"/>
      <c r="J50" s="249"/>
      <c r="K50" s="249"/>
      <c r="L50" s="13"/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C530-28CB-429E-AEB6-02BC806DE396}">
  <dimension ref="A1:K45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6.71093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10" t="s">
        <v>586</v>
      </c>
      <c r="J1" s="109" t="s">
        <v>587</v>
      </c>
      <c r="K1" s="111" t="s">
        <v>588</v>
      </c>
    </row>
    <row r="2" spans="1:11" s="32" customFormat="1" x14ac:dyDescent="0.15">
      <c r="A2" s="32" t="s">
        <v>2043</v>
      </c>
      <c r="B2" s="32" t="s">
        <v>1999</v>
      </c>
      <c r="C2" s="32" t="s">
        <v>1759</v>
      </c>
      <c r="D2" s="32" t="s">
        <v>1471</v>
      </c>
      <c r="E2" s="11">
        <v>0</v>
      </c>
      <c r="F2" s="11">
        <v>0</v>
      </c>
    </row>
    <row r="3" spans="1:11" x14ac:dyDescent="0.15">
      <c r="A3" s="9" t="s">
        <v>2043</v>
      </c>
      <c r="B3" s="9" t="s">
        <v>1999</v>
      </c>
      <c r="C3" s="9" t="s">
        <v>1759</v>
      </c>
      <c r="D3" s="9" t="s">
        <v>1472</v>
      </c>
      <c r="E3" s="10">
        <f>F2+1</f>
        <v>1</v>
      </c>
      <c r="F3" s="10">
        <v>40</v>
      </c>
    </row>
    <row r="4" spans="1:11" x14ac:dyDescent="0.15">
      <c r="A4" s="9" t="s">
        <v>2043</v>
      </c>
      <c r="B4" s="9" t="s">
        <v>1999</v>
      </c>
      <c r="C4" s="9" t="s">
        <v>1759</v>
      </c>
      <c r="D4" s="9" t="s">
        <v>1473</v>
      </c>
      <c r="E4" s="10">
        <f t="shared" ref="E4:E45" si="0">F3+1</f>
        <v>41</v>
      </c>
      <c r="F4" s="10">
        <v>90</v>
      </c>
    </row>
    <row r="5" spans="1:11" x14ac:dyDescent="0.15">
      <c r="A5" s="9" t="s">
        <v>2043</v>
      </c>
      <c r="B5" s="9" t="s">
        <v>1999</v>
      </c>
      <c r="C5" s="9" t="s">
        <v>1759</v>
      </c>
      <c r="D5" s="9" t="s">
        <v>1474</v>
      </c>
      <c r="E5" s="10">
        <f t="shared" si="0"/>
        <v>91</v>
      </c>
      <c r="F5" s="10">
        <v>150</v>
      </c>
    </row>
    <row r="6" spans="1:11" x14ac:dyDescent="0.15">
      <c r="A6" s="9" t="s">
        <v>2043</v>
      </c>
      <c r="B6" s="9" t="s">
        <v>1999</v>
      </c>
      <c r="C6" s="9" t="s">
        <v>1759</v>
      </c>
      <c r="D6" s="9" t="s">
        <v>1475</v>
      </c>
      <c r="E6" s="10">
        <f t="shared" si="0"/>
        <v>151</v>
      </c>
      <c r="F6" s="10">
        <v>220</v>
      </c>
    </row>
    <row r="7" spans="1:11" x14ac:dyDescent="0.15">
      <c r="A7" s="9" t="s">
        <v>2043</v>
      </c>
      <c r="B7" s="9" t="s">
        <v>1999</v>
      </c>
      <c r="C7" s="9" t="s">
        <v>1759</v>
      </c>
      <c r="D7" s="9" t="s">
        <v>1476</v>
      </c>
      <c r="E7" s="10">
        <f t="shared" si="0"/>
        <v>221</v>
      </c>
      <c r="F7" s="10">
        <v>300</v>
      </c>
    </row>
    <row r="8" spans="1:11" s="32" customFormat="1" x14ac:dyDescent="0.15">
      <c r="A8" s="32" t="s">
        <v>2043</v>
      </c>
      <c r="B8" s="32" t="s">
        <v>1861</v>
      </c>
      <c r="C8" s="32" t="s">
        <v>1760</v>
      </c>
      <c r="D8" s="32" t="s">
        <v>1477</v>
      </c>
      <c r="E8" s="11">
        <f t="shared" si="0"/>
        <v>301</v>
      </c>
      <c r="F8" s="11">
        <v>360</v>
      </c>
    </row>
    <row r="9" spans="1:11" x14ac:dyDescent="0.15">
      <c r="A9" s="9" t="s">
        <v>2043</v>
      </c>
      <c r="B9" s="9" t="s">
        <v>1861</v>
      </c>
      <c r="C9" s="9" t="s">
        <v>1760</v>
      </c>
      <c r="D9" s="9" t="s">
        <v>1478</v>
      </c>
      <c r="E9" s="10">
        <f t="shared" si="0"/>
        <v>361</v>
      </c>
      <c r="F9" s="10">
        <v>430</v>
      </c>
    </row>
    <row r="10" spans="1:11" x14ac:dyDescent="0.15">
      <c r="A10" s="9" t="s">
        <v>2043</v>
      </c>
      <c r="B10" s="9" t="s">
        <v>1861</v>
      </c>
      <c r="C10" s="9" t="s">
        <v>1760</v>
      </c>
      <c r="D10" s="9" t="s">
        <v>1479</v>
      </c>
      <c r="E10" s="10">
        <f t="shared" si="0"/>
        <v>431</v>
      </c>
      <c r="F10" s="10">
        <v>700</v>
      </c>
    </row>
    <row r="11" spans="1:11" x14ac:dyDescent="0.15">
      <c r="A11" s="9" t="s">
        <v>2043</v>
      </c>
      <c r="B11" s="9" t="s">
        <v>1861</v>
      </c>
      <c r="C11" s="9" t="s">
        <v>1760</v>
      </c>
      <c r="D11" s="9" t="s">
        <v>1480</v>
      </c>
      <c r="E11" s="10">
        <f t="shared" si="0"/>
        <v>701</v>
      </c>
      <c r="F11" s="10">
        <v>850</v>
      </c>
    </row>
    <row r="12" spans="1:11" s="32" customFormat="1" x14ac:dyDescent="0.15">
      <c r="A12" s="32" t="s">
        <v>2043</v>
      </c>
      <c r="B12" s="32" t="s">
        <v>1849</v>
      </c>
      <c r="C12" s="32" t="s">
        <v>1760</v>
      </c>
      <c r="D12" s="32" t="s">
        <v>1481</v>
      </c>
      <c r="E12" s="11">
        <f t="shared" si="0"/>
        <v>851</v>
      </c>
      <c r="F12" s="11">
        <v>1000</v>
      </c>
    </row>
    <row r="13" spans="1:11" x14ac:dyDescent="0.15">
      <c r="A13" s="9" t="s">
        <v>2043</v>
      </c>
      <c r="B13" s="9" t="s">
        <v>1849</v>
      </c>
      <c r="C13" s="9" t="s">
        <v>1760</v>
      </c>
      <c r="D13" s="9" t="s">
        <v>1482</v>
      </c>
      <c r="E13" s="10">
        <f t="shared" si="0"/>
        <v>1001</v>
      </c>
      <c r="F13" s="10">
        <v>1150</v>
      </c>
    </row>
    <row r="14" spans="1:11" x14ac:dyDescent="0.15">
      <c r="A14" s="9" t="s">
        <v>2043</v>
      </c>
      <c r="B14" s="9" t="s">
        <v>1849</v>
      </c>
      <c r="C14" s="9" t="s">
        <v>1760</v>
      </c>
      <c r="D14" s="9" t="s">
        <v>1483</v>
      </c>
      <c r="E14" s="10">
        <f t="shared" si="0"/>
        <v>1151</v>
      </c>
      <c r="F14" s="10">
        <v>1300</v>
      </c>
    </row>
    <row r="15" spans="1:11" x14ac:dyDescent="0.15">
      <c r="A15" s="9" t="s">
        <v>2043</v>
      </c>
      <c r="B15" s="9" t="s">
        <v>1849</v>
      </c>
      <c r="C15" s="9" t="s">
        <v>1760</v>
      </c>
      <c r="D15" s="9" t="s">
        <v>1484</v>
      </c>
      <c r="E15" s="10">
        <f t="shared" si="0"/>
        <v>1301</v>
      </c>
      <c r="F15" s="10">
        <v>1450</v>
      </c>
    </row>
    <row r="16" spans="1:11" x14ac:dyDescent="0.15">
      <c r="A16" s="9" t="s">
        <v>2043</v>
      </c>
      <c r="B16" s="9" t="s">
        <v>1849</v>
      </c>
      <c r="C16" s="9" t="s">
        <v>1760</v>
      </c>
      <c r="D16" s="9" t="s">
        <v>1485</v>
      </c>
      <c r="E16" s="10">
        <f t="shared" si="0"/>
        <v>1451</v>
      </c>
      <c r="F16" s="10">
        <v>1550</v>
      </c>
    </row>
    <row r="17" spans="1:6" s="32" customFormat="1" x14ac:dyDescent="0.15">
      <c r="A17" s="32" t="s">
        <v>2043</v>
      </c>
      <c r="B17" s="32" t="s">
        <v>1890</v>
      </c>
      <c r="C17" s="32" t="s">
        <v>1760</v>
      </c>
      <c r="D17" s="32" t="s">
        <v>1486</v>
      </c>
      <c r="E17" s="11">
        <f t="shared" si="0"/>
        <v>1551</v>
      </c>
      <c r="F17" s="11">
        <v>1700</v>
      </c>
    </row>
    <row r="18" spans="1:6" x14ac:dyDescent="0.15">
      <c r="A18" s="9" t="s">
        <v>2043</v>
      </c>
      <c r="B18" s="9" t="s">
        <v>1890</v>
      </c>
      <c r="C18" s="9" t="s">
        <v>1760</v>
      </c>
      <c r="D18" s="9" t="s">
        <v>1487</v>
      </c>
      <c r="E18" s="10">
        <f t="shared" si="0"/>
        <v>1701</v>
      </c>
      <c r="F18" s="10">
        <v>1850</v>
      </c>
    </row>
    <row r="19" spans="1:6" x14ac:dyDescent="0.15">
      <c r="A19" s="9" t="s">
        <v>2043</v>
      </c>
      <c r="B19" s="9" t="s">
        <v>1890</v>
      </c>
      <c r="C19" s="9" t="s">
        <v>1760</v>
      </c>
      <c r="D19" s="9" t="s">
        <v>1488</v>
      </c>
      <c r="E19" s="10">
        <f t="shared" si="0"/>
        <v>1851</v>
      </c>
      <c r="F19" s="10">
        <v>2000</v>
      </c>
    </row>
    <row r="20" spans="1:6" x14ac:dyDescent="0.15">
      <c r="A20" s="9" t="s">
        <v>2043</v>
      </c>
      <c r="B20" s="9" t="s">
        <v>1890</v>
      </c>
      <c r="C20" s="9" t="s">
        <v>1760</v>
      </c>
      <c r="D20" s="9" t="s">
        <v>1489</v>
      </c>
      <c r="E20" s="10">
        <f t="shared" si="0"/>
        <v>2001</v>
      </c>
      <c r="F20" s="10">
        <v>2200</v>
      </c>
    </row>
    <row r="21" spans="1:6" x14ac:dyDescent="0.15">
      <c r="A21" s="9" t="s">
        <v>2043</v>
      </c>
      <c r="B21" s="9" t="s">
        <v>1890</v>
      </c>
      <c r="C21" s="9" t="s">
        <v>1760</v>
      </c>
      <c r="D21" s="9" t="s">
        <v>1490</v>
      </c>
      <c r="E21" s="10">
        <f t="shared" si="0"/>
        <v>2201</v>
      </c>
      <c r="F21" s="10">
        <v>2400</v>
      </c>
    </row>
    <row r="22" spans="1:6" x14ac:dyDescent="0.15">
      <c r="A22" s="9" t="s">
        <v>2043</v>
      </c>
      <c r="B22" s="9" t="s">
        <v>1890</v>
      </c>
      <c r="C22" s="9" t="s">
        <v>1760</v>
      </c>
      <c r="D22" s="9" t="s">
        <v>1491</v>
      </c>
      <c r="E22" s="10">
        <f t="shared" si="0"/>
        <v>2401</v>
      </c>
      <c r="F22" s="10">
        <v>2550</v>
      </c>
    </row>
    <row r="23" spans="1:6" x14ac:dyDescent="0.15">
      <c r="A23" s="9" t="s">
        <v>2043</v>
      </c>
      <c r="B23" s="9" t="s">
        <v>1890</v>
      </c>
      <c r="C23" s="9" t="s">
        <v>1760</v>
      </c>
      <c r="D23" s="9" t="s">
        <v>1492</v>
      </c>
      <c r="E23" s="10">
        <f t="shared" si="0"/>
        <v>2551</v>
      </c>
      <c r="F23" s="10">
        <v>2600</v>
      </c>
    </row>
    <row r="24" spans="1:6" s="32" customFormat="1" x14ac:dyDescent="0.15">
      <c r="A24" s="32" t="s">
        <v>2043</v>
      </c>
      <c r="B24" s="32" t="s">
        <v>2044</v>
      </c>
      <c r="C24" s="32" t="s">
        <v>1760</v>
      </c>
      <c r="D24" s="32" t="s">
        <v>1493</v>
      </c>
      <c r="E24" s="11">
        <f t="shared" si="0"/>
        <v>2601</v>
      </c>
      <c r="F24" s="11">
        <v>2800</v>
      </c>
    </row>
    <row r="25" spans="1:6" x14ac:dyDescent="0.15">
      <c r="A25" s="9" t="s">
        <v>2043</v>
      </c>
      <c r="B25" s="9" t="s">
        <v>2044</v>
      </c>
      <c r="C25" s="9" t="s">
        <v>1760</v>
      </c>
      <c r="D25" s="9" t="s">
        <v>1494</v>
      </c>
      <c r="E25" s="10">
        <f t="shared" si="0"/>
        <v>2801</v>
      </c>
      <c r="F25" s="10">
        <v>3000</v>
      </c>
    </row>
    <row r="26" spans="1:6" x14ac:dyDescent="0.15">
      <c r="A26" s="9" t="s">
        <v>2043</v>
      </c>
      <c r="B26" s="9" t="s">
        <v>2044</v>
      </c>
      <c r="C26" s="9" t="s">
        <v>1760</v>
      </c>
      <c r="D26" s="9" t="s">
        <v>1495</v>
      </c>
      <c r="E26" s="10">
        <f t="shared" si="0"/>
        <v>3001</v>
      </c>
      <c r="F26" s="10">
        <v>3100</v>
      </c>
    </row>
    <row r="27" spans="1:6" x14ac:dyDescent="0.15">
      <c r="A27" s="9" t="s">
        <v>2043</v>
      </c>
      <c r="B27" s="9" t="s">
        <v>2044</v>
      </c>
      <c r="C27" s="9" t="s">
        <v>1760</v>
      </c>
      <c r="D27" s="9" t="s">
        <v>1496</v>
      </c>
      <c r="E27" s="10">
        <f t="shared" si="0"/>
        <v>3101</v>
      </c>
      <c r="F27" s="10">
        <v>3150</v>
      </c>
    </row>
    <row r="28" spans="1:6" x14ac:dyDescent="0.15">
      <c r="A28" s="9" t="s">
        <v>2043</v>
      </c>
      <c r="B28" s="9" t="s">
        <v>2044</v>
      </c>
      <c r="C28" s="9" t="s">
        <v>1760</v>
      </c>
      <c r="D28" s="9" t="s">
        <v>1497</v>
      </c>
      <c r="E28" s="10">
        <f t="shared" si="0"/>
        <v>3151</v>
      </c>
      <c r="F28" s="10">
        <v>3200</v>
      </c>
    </row>
    <row r="29" spans="1:6" s="32" customFormat="1" x14ac:dyDescent="0.15">
      <c r="A29" s="32" t="s">
        <v>2043</v>
      </c>
      <c r="B29" s="32" t="s">
        <v>1858</v>
      </c>
      <c r="C29" s="32" t="s">
        <v>1761</v>
      </c>
      <c r="D29" s="32" t="s">
        <v>1498</v>
      </c>
      <c r="E29" s="11">
        <f t="shared" si="0"/>
        <v>3201</v>
      </c>
      <c r="F29" s="11">
        <v>3250</v>
      </c>
    </row>
    <row r="30" spans="1:6" x14ac:dyDescent="0.15">
      <c r="A30" s="9" t="s">
        <v>2043</v>
      </c>
      <c r="B30" s="9" t="s">
        <v>1858</v>
      </c>
      <c r="C30" s="9" t="s">
        <v>1761</v>
      </c>
      <c r="D30" s="9" t="s">
        <v>1499</v>
      </c>
      <c r="E30" s="10">
        <f t="shared" si="0"/>
        <v>3251</v>
      </c>
      <c r="F30" s="10">
        <v>3300</v>
      </c>
    </row>
    <row r="31" spans="1:6" x14ac:dyDescent="0.15">
      <c r="A31" s="9" t="s">
        <v>2043</v>
      </c>
      <c r="B31" s="9" t="s">
        <v>1858</v>
      </c>
      <c r="C31" s="9" t="s">
        <v>1761</v>
      </c>
      <c r="D31" s="9" t="s">
        <v>1500</v>
      </c>
      <c r="E31" s="10">
        <f t="shared" si="0"/>
        <v>3301</v>
      </c>
      <c r="F31" s="10">
        <v>3350</v>
      </c>
    </row>
    <row r="32" spans="1:6" s="32" customFormat="1" x14ac:dyDescent="0.15">
      <c r="A32" s="32" t="s">
        <v>2043</v>
      </c>
      <c r="B32" s="32" t="s">
        <v>1859</v>
      </c>
      <c r="C32" s="32" t="s">
        <v>1761</v>
      </c>
      <c r="D32" s="32" t="s">
        <v>1501</v>
      </c>
      <c r="E32" s="11">
        <f t="shared" si="0"/>
        <v>3351</v>
      </c>
      <c r="F32" s="11">
        <v>3380</v>
      </c>
    </row>
    <row r="33" spans="1:6" x14ac:dyDescent="0.15">
      <c r="A33" s="9" t="s">
        <v>2043</v>
      </c>
      <c r="B33" s="9" t="s">
        <v>1859</v>
      </c>
      <c r="C33" s="9" t="s">
        <v>1761</v>
      </c>
      <c r="D33" s="9" t="s">
        <v>961</v>
      </c>
      <c r="E33" s="10">
        <f t="shared" si="0"/>
        <v>3381</v>
      </c>
      <c r="F33" s="10">
        <v>3400</v>
      </c>
    </row>
    <row r="34" spans="1:6" x14ac:dyDescent="0.15">
      <c r="A34" s="9" t="s">
        <v>2043</v>
      </c>
      <c r="B34" s="9" t="s">
        <v>1859</v>
      </c>
      <c r="C34" s="9" t="s">
        <v>1761</v>
      </c>
      <c r="D34" s="9" t="s">
        <v>1502</v>
      </c>
      <c r="E34" s="10">
        <f t="shared" si="0"/>
        <v>3401</v>
      </c>
      <c r="F34" s="10">
        <v>3420</v>
      </c>
    </row>
    <row r="35" spans="1:6" s="32" customFormat="1" x14ac:dyDescent="0.15">
      <c r="A35" s="32" t="s">
        <v>2043</v>
      </c>
      <c r="B35" s="32" t="s">
        <v>1762</v>
      </c>
      <c r="C35" s="32" t="s">
        <v>1762</v>
      </c>
      <c r="D35" s="32" t="s">
        <v>1503</v>
      </c>
      <c r="E35" s="11">
        <f t="shared" si="0"/>
        <v>3421</v>
      </c>
      <c r="F35" s="11">
        <v>3460</v>
      </c>
    </row>
    <row r="36" spans="1:6" x14ac:dyDescent="0.15">
      <c r="A36" s="9" t="s">
        <v>2043</v>
      </c>
      <c r="B36" s="9" t="s">
        <v>1762</v>
      </c>
      <c r="C36" s="9" t="s">
        <v>1762</v>
      </c>
      <c r="D36" s="9" t="s">
        <v>1504</v>
      </c>
      <c r="E36" s="10">
        <f t="shared" si="0"/>
        <v>3461</v>
      </c>
      <c r="F36" s="10">
        <v>3480</v>
      </c>
    </row>
    <row r="37" spans="1:6" x14ac:dyDescent="0.15">
      <c r="A37" s="9" t="s">
        <v>2043</v>
      </c>
      <c r="B37" s="9" t="s">
        <v>1762</v>
      </c>
      <c r="C37" s="9" t="s">
        <v>1762</v>
      </c>
      <c r="D37" s="9" t="s">
        <v>1505</v>
      </c>
      <c r="E37" s="10">
        <f t="shared" si="0"/>
        <v>3481</v>
      </c>
      <c r="F37" s="10">
        <v>3490</v>
      </c>
    </row>
    <row r="38" spans="1:6" x14ac:dyDescent="0.15">
      <c r="A38" s="9" t="s">
        <v>2043</v>
      </c>
      <c r="B38" s="9" t="s">
        <v>1762</v>
      </c>
      <c r="C38" s="9" t="s">
        <v>1762</v>
      </c>
      <c r="D38" s="9" t="s">
        <v>1506</v>
      </c>
      <c r="E38" s="10">
        <f t="shared" si="0"/>
        <v>3491</v>
      </c>
      <c r="F38" s="10">
        <v>3500</v>
      </c>
    </row>
    <row r="39" spans="1:6" x14ac:dyDescent="0.15">
      <c r="A39" s="9" t="s">
        <v>2043</v>
      </c>
      <c r="B39" s="9" t="s">
        <v>1762</v>
      </c>
      <c r="C39" s="9" t="s">
        <v>1762</v>
      </c>
      <c r="D39" s="9" t="s">
        <v>1507</v>
      </c>
      <c r="E39" s="10">
        <f t="shared" si="0"/>
        <v>3501</v>
      </c>
      <c r="F39" s="10">
        <v>3525</v>
      </c>
    </row>
    <row r="40" spans="1:6" x14ac:dyDescent="0.15">
      <c r="A40" s="9" t="s">
        <v>2043</v>
      </c>
      <c r="B40" s="9" t="s">
        <v>1762</v>
      </c>
      <c r="C40" s="9" t="s">
        <v>1762</v>
      </c>
      <c r="D40" s="9" t="s">
        <v>1508</v>
      </c>
      <c r="E40" s="10">
        <f t="shared" si="0"/>
        <v>3526</v>
      </c>
      <c r="F40" s="10">
        <v>3550</v>
      </c>
    </row>
    <row r="41" spans="1:6" x14ac:dyDescent="0.15">
      <c r="A41" s="9" t="s">
        <v>2043</v>
      </c>
      <c r="B41" s="9" t="s">
        <v>1762</v>
      </c>
      <c r="C41" s="9" t="s">
        <v>1762</v>
      </c>
      <c r="D41" s="9" t="s">
        <v>1509</v>
      </c>
      <c r="E41" s="10">
        <f t="shared" si="0"/>
        <v>3551</v>
      </c>
      <c r="F41" s="10">
        <v>3600</v>
      </c>
    </row>
    <row r="42" spans="1:6" s="32" customFormat="1" x14ac:dyDescent="0.15">
      <c r="A42" s="32" t="s">
        <v>2043</v>
      </c>
      <c r="B42" s="32" t="s">
        <v>1855</v>
      </c>
      <c r="C42" s="32" t="s">
        <v>1855</v>
      </c>
      <c r="D42" s="32" t="s">
        <v>1510</v>
      </c>
      <c r="E42" s="11">
        <f t="shared" si="0"/>
        <v>3601</v>
      </c>
      <c r="F42" s="11">
        <v>3620</v>
      </c>
    </row>
    <row r="43" spans="1:6" x14ac:dyDescent="0.15">
      <c r="A43" s="9" t="s">
        <v>2043</v>
      </c>
      <c r="B43" s="9" t="s">
        <v>1855</v>
      </c>
      <c r="C43" s="9" t="s">
        <v>1855</v>
      </c>
      <c r="D43" s="9" t="s">
        <v>1511</v>
      </c>
      <c r="E43" s="10">
        <f t="shared" si="0"/>
        <v>3621</v>
      </c>
      <c r="F43" s="10">
        <v>3640</v>
      </c>
    </row>
    <row r="44" spans="1:6" x14ac:dyDescent="0.15">
      <c r="A44" s="9" t="s">
        <v>2043</v>
      </c>
      <c r="B44" s="9" t="s">
        <v>1855</v>
      </c>
      <c r="C44" s="9" t="s">
        <v>1855</v>
      </c>
      <c r="D44" s="9" t="s">
        <v>1512</v>
      </c>
      <c r="E44" s="10">
        <f t="shared" si="0"/>
        <v>3641</v>
      </c>
      <c r="F44" s="10">
        <v>3650</v>
      </c>
    </row>
    <row r="45" spans="1:6" x14ac:dyDescent="0.15">
      <c r="A45" s="9" t="s">
        <v>2043</v>
      </c>
      <c r="B45" s="9" t="s">
        <v>1855</v>
      </c>
      <c r="C45" s="9" t="s">
        <v>1855</v>
      </c>
      <c r="D45" s="9" t="s">
        <v>1513</v>
      </c>
      <c r="E45" s="10">
        <f t="shared" si="0"/>
        <v>3651</v>
      </c>
      <c r="F45" s="10">
        <v>3700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D626-6FFA-4E63-97CB-A0205CA9B710}">
  <dimension ref="A1:K41"/>
  <sheetViews>
    <sheetView workbookViewId="0">
      <selection activeCell="D10" sqref="D10"/>
    </sheetView>
  </sheetViews>
  <sheetFormatPr defaultColWidth="10.42578125" defaultRowHeight="10.5" x14ac:dyDescent="0.15"/>
  <cols>
    <col min="1" max="1" width="11.7109375" style="9" bestFit="1" customWidth="1"/>
    <col min="2" max="2" width="22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0.425781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6" t="s">
        <v>586</v>
      </c>
      <c r="J1" s="115" t="s">
        <v>587</v>
      </c>
      <c r="K1" s="117" t="s">
        <v>588</v>
      </c>
    </row>
    <row r="2" spans="1:11" s="32" customFormat="1" x14ac:dyDescent="0.15">
      <c r="A2" s="32" t="s">
        <v>2045</v>
      </c>
      <c r="B2" s="32" t="s">
        <v>2016</v>
      </c>
      <c r="C2" s="32" t="s">
        <v>1759</v>
      </c>
      <c r="D2" s="32" t="s">
        <v>1515</v>
      </c>
      <c r="E2" s="11">
        <v>0</v>
      </c>
      <c r="F2" s="11">
        <v>10</v>
      </c>
    </row>
    <row r="3" spans="1:11" x14ac:dyDescent="0.15">
      <c r="A3" s="9" t="s">
        <v>2045</v>
      </c>
      <c r="B3" s="9" t="s">
        <v>2016</v>
      </c>
      <c r="C3" s="9" t="s">
        <v>1759</v>
      </c>
      <c r="D3" s="9" t="s">
        <v>1516</v>
      </c>
      <c r="E3" s="10">
        <f>F2+1</f>
        <v>11</v>
      </c>
      <c r="F3" s="10">
        <v>50</v>
      </c>
    </row>
    <row r="4" spans="1:11" x14ac:dyDescent="0.15">
      <c r="A4" s="9" t="s">
        <v>2045</v>
      </c>
      <c r="B4" s="9" t="s">
        <v>2016</v>
      </c>
      <c r="C4" s="9" t="s">
        <v>1759</v>
      </c>
      <c r="D4" s="9" t="s">
        <v>1517</v>
      </c>
      <c r="E4" s="10">
        <f t="shared" ref="E4:E41" si="0">F3+1</f>
        <v>51</v>
      </c>
      <c r="F4" s="10">
        <v>100</v>
      </c>
    </row>
    <row r="5" spans="1:11" x14ac:dyDescent="0.15">
      <c r="A5" s="9" t="s">
        <v>2045</v>
      </c>
      <c r="B5" s="9" t="s">
        <v>2016</v>
      </c>
      <c r="C5" s="9" t="s">
        <v>1759</v>
      </c>
      <c r="D5" s="9" t="s">
        <v>2050</v>
      </c>
      <c r="E5" s="10">
        <f t="shared" si="0"/>
        <v>101</v>
      </c>
      <c r="F5" s="10">
        <v>150</v>
      </c>
    </row>
    <row r="6" spans="1:11" x14ac:dyDescent="0.15">
      <c r="A6" s="9" t="s">
        <v>2045</v>
      </c>
      <c r="B6" s="9" t="s">
        <v>2016</v>
      </c>
      <c r="C6" s="9" t="s">
        <v>1759</v>
      </c>
      <c r="D6" s="9" t="s">
        <v>1518</v>
      </c>
      <c r="E6" s="10">
        <f t="shared" si="0"/>
        <v>151</v>
      </c>
      <c r="F6" s="10">
        <v>180</v>
      </c>
    </row>
    <row r="7" spans="1:11" x14ac:dyDescent="0.15">
      <c r="A7" s="9" t="s">
        <v>2045</v>
      </c>
      <c r="B7" s="9" t="s">
        <v>2016</v>
      </c>
      <c r="C7" s="9" t="s">
        <v>1759</v>
      </c>
      <c r="D7" s="9" t="s">
        <v>1519</v>
      </c>
      <c r="E7" s="10">
        <f t="shared" si="0"/>
        <v>181</v>
      </c>
      <c r="F7" s="10">
        <v>200</v>
      </c>
    </row>
    <row r="8" spans="1:11" s="32" customFormat="1" x14ac:dyDescent="0.15">
      <c r="A8" s="32" t="s">
        <v>2045</v>
      </c>
      <c r="B8" s="32" t="s">
        <v>1861</v>
      </c>
      <c r="C8" s="32" t="s">
        <v>1760</v>
      </c>
      <c r="D8" s="32" t="s">
        <v>1520</v>
      </c>
      <c r="E8" s="11">
        <f t="shared" si="0"/>
        <v>201</v>
      </c>
      <c r="F8" s="11">
        <v>250</v>
      </c>
    </row>
    <row r="9" spans="1:11" x14ac:dyDescent="0.15">
      <c r="A9" s="9" t="s">
        <v>2045</v>
      </c>
      <c r="B9" s="9" t="s">
        <v>1861</v>
      </c>
      <c r="C9" s="9" t="s">
        <v>1760</v>
      </c>
      <c r="D9" s="9" t="s">
        <v>1435</v>
      </c>
      <c r="E9" s="10">
        <f t="shared" si="0"/>
        <v>251</v>
      </c>
      <c r="F9" s="10">
        <v>290</v>
      </c>
    </row>
    <row r="10" spans="1:11" x14ac:dyDescent="0.15">
      <c r="A10" s="9" t="s">
        <v>2045</v>
      </c>
      <c r="B10" s="9" t="s">
        <v>1861</v>
      </c>
      <c r="C10" s="9" t="s">
        <v>1760</v>
      </c>
      <c r="D10" s="9" t="s">
        <v>647</v>
      </c>
      <c r="E10" s="10">
        <f t="shared" si="0"/>
        <v>291</v>
      </c>
      <c r="F10" s="10">
        <v>330</v>
      </c>
    </row>
    <row r="11" spans="1:11" x14ac:dyDescent="0.15">
      <c r="A11" s="9" t="s">
        <v>2045</v>
      </c>
      <c r="B11" s="9" t="s">
        <v>1861</v>
      </c>
      <c r="C11" s="9" t="s">
        <v>1760</v>
      </c>
      <c r="D11" s="9" t="s">
        <v>648</v>
      </c>
      <c r="E11" s="10">
        <f t="shared" si="0"/>
        <v>331</v>
      </c>
      <c r="F11" s="10">
        <v>370</v>
      </c>
    </row>
    <row r="12" spans="1:11" x14ac:dyDescent="0.15">
      <c r="A12" s="9" t="s">
        <v>2045</v>
      </c>
      <c r="B12" s="9" t="s">
        <v>1861</v>
      </c>
      <c r="C12" s="9" t="s">
        <v>1760</v>
      </c>
      <c r="D12" s="9" t="s">
        <v>1521</v>
      </c>
      <c r="E12" s="10">
        <f t="shared" si="0"/>
        <v>371</v>
      </c>
      <c r="F12" s="10">
        <v>450</v>
      </c>
    </row>
    <row r="13" spans="1:11" s="32" customFormat="1" x14ac:dyDescent="0.15">
      <c r="A13" s="32" t="s">
        <v>2045</v>
      </c>
      <c r="B13" s="32" t="s">
        <v>2071</v>
      </c>
      <c r="C13" s="32" t="s">
        <v>1760</v>
      </c>
      <c r="D13" s="32" t="s">
        <v>1522</v>
      </c>
      <c r="E13" s="11">
        <f t="shared" si="0"/>
        <v>451</v>
      </c>
      <c r="F13" s="11">
        <v>500</v>
      </c>
    </row>
    <row r="14" spans="1:11" x14ac:dyDescent="0.15">
      <c r="A14" s="9" t="s">
        <v>2045</v>
      </c>
      <c r="B14" s="9" t="s">
        <v>2071</v>
      </c>
      <c r="C14" s="9" t="s">
        <v>1760</v>
      </c>
      <c r="D14" s="9" t="s">
        <v>2046</v>
      </c>
      <c r="E14" s="10">
        <f t="shared" si="0"/>
        <v>501</v>
      </c>
      <c r="F14" s="10">
        <v>550</v>
      </c>
    </row>
    <row r="15" spans="1:11" x14ac:dyDescent="0.15">
      <c r="A15" s="9" t="s">
        <v>2045</v>
      </c>
      <c r="B15" s="9" t="s">
        <v>2071</v>
      </c>
      <c r="C15" s="9" t="s">
        <v>1760</v>
      </c>
      <c r="D15" s="9" t="s">
        <v>2047</v>
      </c>
      <c r="E15" s="10">
        <f t="shared" si="0"/>
        <v>551</v>
      </c>
      <c r="F15" s="10">
        <v>600</v>
      </c>
    </row>
    <row r="16" spans="1:11" x14ac:dyDescent="0.15">
      <c r="A16" s="9" t="s">
        <v>2045</v>
      </c>
      <c r="B16" s="9" t="s">
        <v>2071</v>
      </c>
      <c r="C16" s="9" t="s">
        <v>1760</v>
      </c>
      <c r="D16" s="9" t="s">
        <v>2048</v>
      </c>
      <c r="E16" s="10">
        <f t="shared" si="0"/>
        <v>601</v>
      </c>
      <c r="F16" s="10">
        <v>650</v>
      </c>
    </row>
    <row r="17" spans="1:6" x14ac:dyDescent="0.15">
      <c r="A17" s="9" t="s">
        <v>2045</v>
      </c>
      <c r="B17" s="9" t="s">
        <v>2071</v>
      </c>
      <c r="C17" s="9" t="s">
        <v>1760</v>
      </c>
      <c r="D17" s="9" t="s">
        <v>2049</v>
      </c>
      <c r="E17" s="10">
        <f t="shared" si="0"/>
        <v>651</v>
      </c>
      <c r="F17" s="10">
        <v>700</v>
      </c>
    </row>
    <row r="18" spans="1:6" x14ac:dyDescent="0.15">
      <c r="A18" s="9" t="s">
        <v>2045</v>
      </c>
      <c r="B18" s="9" t="s">
        <v>2071</v>
      </c>
      <c r="C18" s="9" t="s">
        <v>1760</v>
      </c>
      <c r="D18" s="9" t="s">
        <v>1523</v>
      </c>
      <c r="E18" s="10">
        <f t="shared" si="0"/>
        <v>701</v>
      </c>
      <c r="F18" s="10">
        <v>750</v>
      </c>
    </row>
    <row r="19" spans="1:6" s="32" customFormat="1" x14ac:dyDescent="0.15">
      <c r="A19" s="32" t="s">
        <v>2045</v>
      </c>
      <c r="B19" s="32" t="s">
        <v>1857</v>
      </c>
      <c r="C19" s="32" t="s">
        <v>1760</v>
      </c>
      <c r="D19" s="32" t="s">
        <v>1524</v>
      </c>
      <c r="E19" s="11">
        <f t="shared" si="0"/>
        <v>751</v>
      </c>
      <c r="F19" s="11">
        <v>820</v>
      </c>
    </row>
    <row r="20" spans="1:6" x14ac:dyDescent="0.15">
      <c r="A20" s="9" t="s">
        <v>2045</v>
      </c>
      <c r="B20" s="9" t="s">
        <v>1857</v>
      </c>
      <c r="C20" s="9" t="s">
        <v>1760</v>
      </c>
      <c r="D20" s="9" t="s">
        <v>1525</v>
      </c>
      <c r="E20" s="10">
        <f t="shared" si="0"/>
        <v>821</v>
      </c>
      <c r="F20" s="10">
        <v>940</v>
      </c>
    </row>
    <row r="21" spans="1:6" x14ac:dyDescent="0.15">
      <c r="A21" s="9" t="s">
        <v>2045</v>
      </c>
      <c r="B21" s="9" t="s">
        <v>1857</v>
      </c>
      <c r="C21" s="9" t="s">
        <v>1760</v>
      </c>
      <c r="D21" s="9" t="s">
        <v>1526</v>
      </c>
      <c r="E21" s="10">
        <f t="shared" si="0"/>
        <v>941</v>
      </c>
      <c r="F21" s="10">
        <v>1100</v>
      </c>
    </row>
    <row r="22" spans="1:6" x14ac:dyDescent="0.15">
      <c r="A22" s="9" t="s">
        <v>2045</v>
      </c>
      <c r="B22" s="9" t="s">
        <v>2053</v>
      </c>
      <c r="C22" s="9" t="s">
        <v>1760</v>
      </c>
      <c r="D22" s="9" t="s">
        <v>1528</v>
      </c>
      <c r="E22" s="10">
        <f t="shared" si="0"/>
        <v>1101</v>
      </c>
      <c r="F22" s="10">
        <v>1200</v>
      </c>
    </row>
    <row r="23" spans="1:6" x14ac:dyDescent="0.15">
      <c r="A23" s="9" t="s">
        <v>2045</v>
      </c>
      <c r="B23" s="9" t="s">
        <v>2053</v>
      </c>
      <c r="C23" s="9" t="s">
        <v>1760</v>
      </c>
      <c r="D23" s="9" t="s">
        <v>1529</v>
      </c>
      <c r="E23" s="10">
        <f t="shared" si="0"/>
        <v>1201</v>
      </c>
      <c r="F23" s="10">
        <v>1300</v>
      </c>
    </row>
    <row r="24" spans="1:6" x14ac:dyDescent="0.15">
      <c r="A24" s="9" t="s">
        <v>2045</v>
      </c>
      <c r="B24" s="9" t="s">
        <v>2053</v>
      </c>
      <c r="C24" s="9" t="s">
        <v>1760</v>
      </c>
      <c r="D24" s="9" t="s">
        <v>1530</v>
      </c>
      <c r="E24" s="10">
        <f t="shared" si="0"/>
        <v>1301</v>
      </c>
      <c r="F24" s="10">
        <v>1400</v>
      </c>
    </row>
    <row r="25" spans="1:6" x14ac:dyDescent="0.15">
      <c r="A25" s="9" t="s">
        <v>2045</v>
      </c>
      <c r="B25" s="9" t="s">
        <v>2053</v>
      </c>
      <c r="C25" s="9" t="s">
        <v>1760</v>
      </c>
      <c r="D25" s="9" t="s">
        <v>1531</v>
      </c>
      <c r="E25" s="10">
        <f t="shared" si="0"/>
        <v>1401</v>
      </c>
      <c r="F25" s="10">
        <v>1475</v>
      </c>
    </row>
    <row r="26" spans="1:6" x14ac:dyDescent="0.15">
      <c r="A26" s="9" t="s">
        <v>2045</v>
      </c>
      <c r="B26" s="9" t="s">
        <v>2053</v>
      </c>
      <c r="C26" s="9" t="s">
        <v>1760</v>
      </c>
      <c r="D26" s="9" t="s">
        <v>1532</v>
      </c>
      <c r="E26" s="10">
        <f t="shared" si="0"/>
        <v>1476</v>
      </c>
      <c r="F26" s="10">
        <v>1500</v>
      </c>
    </row>
    <row r="27" spans="1:6" s="32" customFormat="1" x14ac:dyDescent="0.15">
      <c r="A27" s="32" t="s">
        <v>2045</v>
      </c>
      <c r="B27" s="32" t="s">
        <v>1858</v>
      </c>
      <c r="C27" s="32" t="s">
        <v>1761</v>
      </c>
      <c r="D27" s="32" t="s">
        <v>425</v>
      </c>
      <c r="E27" s="11">
        <f t="shared" si="0"/>
        <v>1501</v>
      </c>
      <c r="F27" s="11">
        <v>1550</v>
      </c>
    </row>
    <row r="28" spans="1:6" x14ac:dyDescent="0.15">
      <c r="A28" s="9" t="s">
        <v>2045</v>
      </c>
      <c r="B28" s="9" t="s">
        <v>1858</v>
      </c>
      <c r="C28" s="9" t="s">
        <v>1761</v>
      </c>
      <c r="D28" s="9" t="s">
        <v>1533</v>
      </c>
      <c r="E28" s="10">
        <f t="shared" si="0"/>
        <v>1551</v>
      </c>
      <c r="F28" s="10">
        <v>1600</v>
      </c>
    </row>
    <row r="29" spans="1:6" x14ac:dyDescent="0.15">
      <c r="A29" s="9" t="s">
        <v>2045</v>
      </c>
      <c r="B29" s="9" t="s">
        <v>1859</v>
      </c>
      <c r="C29" s="9" t="s">
        <v>1761</v>
      </c>
      <c r="D29" s="9" t="s">
        <v>611</v>
      </c>
      <c r="E29" s="10">
        <f t="shared" si="0"/>
        <v>1601</v>
      </c>
      <c r="F29" s="10">
        <v>1625</v>
      </c>
    </row>
    <row r="30" spans="1:6" x14ac:dyDescent="0.15">
      <c r="A30" s="9" t="s">
        <v>2045</v>
      </c>
      <c r="B30" s="9" t="s">
        <v>1859</v>
      </c>
      <c r="C30" s="9" t="s">
        <v>1761</v>
      </c>
      <c r="D30" s="9" t="s">
        <v>1534</v>
      </c>
      <c r="E30" s="10">
        <f t="shared" si="0"/>
        <v>1626</v>
      </c>
      <c r="F30" s="10">
        <v>1650</v>
      </c>
    </row>
    <row r="31" spans="1:6" x14ac:dyDescent="0.15">
      <c r="A31" s="9" t="s">
        <v>2045</v>
      </c>
      <c r="B31" s="9" t="s">
        <v>1859</v>
      </c>
      <c r="C31" s="9" t="s">
        <v>1761</v>
      </c>
      <c r="D31" s="9" t="s">
        <v>1535</v>
      </c>
      <c r="E31" s="10">
        <f t="shared" si="0"/>
        <v>1651</v>
      </c>
      <c r="F31" s="10">
        <v>1700</v>
      </c>
    </row>
    <row r="32" spans="1:6" x14ac:dyDescent="0.15">
      <c r="A32" s="9" t="s">
        <v>2045</v>
      </c>
      <c r="B32" s="9" t="s">
        <v>1859</v>
      </c>
      <c r="C32" s="9" t="s">
        <v>1761</v>
      </c>
      <c r="D32" s="9" t="s">
        <v>521</v>
      </c>
      <c r="E32" s="10">
        <f t="shared" si="0"/>
        <v>1701</v>
      </c>
      <c r="F32" s="10">
        <v>1750</v>
      </c>
    </row>
    <row r="33" spans="1:6" x14ac:dyDescent="0.15">
      <c r="A33" s="9" t="s">
        <v>2045</v>
      </c>
      <c r="B33" s="9" t="s">
        <v>1886</v>
      </c>
      <c r="C33" s="9" t="s">
        <v>1761</v>
      </c>
      <c r="D33" s="9" t="s">
        <v>1536</v>
      </c>
      <c r="E33" s="10">
        <f t="shared" si="0"/>
        <v>1751</v>
      </c>
      <c r="F33" s="10">
        <v>1780</v>
      </c>
    </row>
    <row r="34" spans="1:6" x14ac:dyDescent="0.15">
      <c r="A34" s="9" t="s">
        <v>2045</v>
      </c>
      <c r="B34" s="9" t="s">
        <v>1886</v>
      </c>
      <c r="C34" s="9" t="s">
        <v>1761</v>
      </c>
      <c r="D34" s="9" t="s">
        <v>1537</v>
      </c>
      <c r="E34" s="10">
        <f t="shared" si="0"/>
        <v>1781</v>
      </c>
      <c r="F34" s="10">
        <v>1830</v>
      </c>
    </row>
    <row r="35" spans="1:6" x14ac:dyDescent="0.15">
      <c r="A35" s="9" t="s">
        <v>2045</v>
      </c>
      <c r="B35" s="9" t="s">
        <v>1886</v>
      </c>
      <c r="C35" s="9" t="s">
        <v>1761</v>
      </c>
      <c r="D35" s="9" t="s">
        <v>1538</v>
      </c>
      <c r="E35" s="10">
        <f t="shared" si="0"/>
        <v>1831</v>
      </c>
      <c r="F35" s="10">
        <v>1850</v>
      </c>
    </row>
    <row r="36" spans="1:6" s="32" customFormat="1" x14ac:dyDescent="0.15">
      <c r="A36" s="32" t="s">
        <v>2045</v>
      </c>
      <c r="B36" s="32" t="s">
        <v>1860</v>
      </c>
      <c r="C36" s="32" t="s">
        <v>1762</v>
      </c>
      <c r="D36" s="32" t="s">
        <v>1539</v>
      </c>
      <c r="E36" s="11">
        <f t="shared" si="0"/>
        <v>1851</v>
      </c>
      <c r="F36" s="11">
        <v>1900</v>
      </c>
    </row>
    <row r="37" spans="1:6" x14ac:dyDescent="0.15">
      <c r="A37" s="9" t="s">
        <v>2045</v>
      </c>
      <c r="B37" s="9" t="s">
        <v>1860</v>
      </c>
      <c r="C37" s="9" t="s">
        <v>1762</v>
      </c>
      <c r="D37" s="9" t="s">
        <v>1540</v>
      </c>
      <c r="E37" s="10">
        <f t="shared" si="0"/>
        <v>1901</v>
      </c>
      <c r="F37" s="10">
        <v>1950</v>
      </c>
    </row>
    <row r="38" spans="1:6" x14ac:dyDescent="0.15">
      <c r="A38" s="9" t="s">
        <v>2045</v>
      </c>
      <c r="B38" s="9" t="s">
        <v>1855</v>
      </c>
      <c r="C38" s="9" t="s">
        <v>1855</v>
      </c>
      <c r="D38" s="9" t="s">
        <v>1541</v>
      </c>
      <c r="E38" s="10">
        <f t="shared" si="0"/>
        <v>1951</v>
      </c>
      <c r="F38" s="10">
        <v>2000</v>
      </c>
    </row>
    <row r="39" spans="1:6" x14ac:dyDescent="0.15">
      <c r="A39" s="9" t="s">
        <v>2045</v>
      </c>
      <c r="B39" s="9" t="s">
        <v>1855</v>
      </c>
      <c r="C39" s="9" t="s">
        <v>1855</v>
      </c>
      <c r="D39" s="9" t="s">
        <v>1542</v>
      </c>
      <c r="E39" s="10">
        <f t="shared" si="0"/>
        <v>2001</v>
      </c>
      <c r="F39" s="10">
        <v>2050</v>
      </c>
    </row>
    <row r="40" spans="1:6" x14ac:dyDescent="0.15">
      <c r="A40" s="9" t="s">
        <v>2045</v>
      </c>
      <c r="B40" s="9" t="s">
        <v>1855</v>
      </c>
      <c r="C40" s="9" t="s">
        <v>1855</v>
      </c>
      <c r="D40" s="9" t="s">
        <v>1543</v>
      </c>
      <c r="E40" s="10">
        <f t="shared" si="0"/>
        <v>2051</v>
      </c>
      <c r="F40" s="10">
        <v>2100</v>
      </c>
    </row>
    <row r="41" spans="1:6" x14ac:dyDescent="0.15">
      <c r="A41" s="9" t="s">
        <v>2045</v>
      </c>
      <c r="B41" s="9" t="s">
        <v>1855</v>
      </c>
      <c r="C41" s="9" t="s">
        <v>1855</v>
      </c>
      <c r="D41" s="9" t="s">
        <v>456</v>
      </c>
      <c r="E41" s="10">
        <f t="shared" si="0"/>
        <v>2101</v>
      </c>
      <c r="F41" s="10">
        <v>2200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63C5-738B-460A-8DEC-DAF3AF6A4F82}">
  <dimension ref="A1:K40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0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06" t="s">
        <v>1753</v>
      </c>
      <c r="B1" s="107" t="s">
        <v>1846</v>
      </c>
      <c r="C1" s="107" t="s">
        <v>1758</v>
      </c>
      <c r="D1" s="106" t="s">
        <v>1847</v>
      </c>
      <c r="E1" s="108" t="s">
        <v>1802</v>
      </c>
      <c r="F1" s="108" t="s">
        <v>1803</v>
      </c>
      <c r="G1" s="109" t="s">
        <v>584</v>
      </c>
      <c r="H1" s="109" t="s">
        <v>585</v>
      </c>
      <c r="I1" s="109" t="s">
        <v>586</v>
      </c>
      <c r="J1" s="109" t="s">
        <v>587</v>
      </c>
      <c r="K1" s="109" t="s">
        <v>588</v>
      </c>
    </row>
    <row r="2" spans="1:11" s="32" customFormat="1" x14ac:dyDescent="0.15">
      <c r="A2" s="32" t="s">
        <v>2051</v>
      </c>
      <c r="B2" s="32" t="s">
        <v>2052</v>
      </c>
      <c r="C2" s="32" t="s">
        <v>1759</v>
      </c>
      <c r="D2" s="32" t="s">
        <v>1545</v>
      </c>
      <c r="E2" s="11">
        <v>0</v>
      </c>
      <c r="F2" s="11">
        <v>50</v>
      </c>
    </row>
    <row r="3" spans="1:11" x14ac:dyDescent="0.15">
      <c r="A3" s="9" t="s">
        <v>2051</v>
      </c>
      <c r="B3" s="9" t="s">
        <v>2052</v>
      </c>
      <c r="C3" s="9" t="s">
        <v>1759</v>
      </c>
      <c r="D3" s="9" t="s">
        <v>1546</v>
      </c>
      <c r="E3" s="10">
        <f>F2+1</f>
        <v>51</v>
      </c>
      <c r="F3" s="10">
        <v>100</v>
      </c>
    </row>
    <row r="4" spans="1:11" x14ac:dyDescent="0.15">
      <c r="A4" s="9" t="s">
        <v>2051</v>
      </c>
      <c r="B4" s="9" t="s">
        <v>2052</v>
      </c>
      <c r="C4" s="9" t="s">
        <v>1759</v>
      </c>
      <c r="D4" s="9" t="s">
        <v>1547</v>
      </c>
      <c r="E4" s="10">
        <f t="shared" ref="E4:E40" si="0">F3+1</f>
        <v>101</v>
      </c>
      <c r="F4" s="10">
        <v>150</v>
      </c>
    </row>
    <row r="5" spans="1:11" x14ac:dyDescent="0.15">
      <c r="A5" s="9" t="s">
        <v>2051</v>
      </c>
      <c r="B5" s="9" t="s">
        <v>2052</v>
      </c>
      <c r="C5" s="9" t="s">
        <v>1759</v>
      </c>
      <c r="D5" s="9" t="s">
        <v>1548</v>
      </c>
      <c r="E5" s="10">
        <f t="shared" si="0"/>
        <v>151</v>
      </c>
      <c r="F5" s="10">
        <v>200</v>
      </c>
    </row>
    <row r="6" spans="1:11" x14ac:dyDescent="0.15">
      <c r="A6" s="9" t="s">
        <v>2051</v>
      </c>
      <c r="B6" s="9" t="s">
        <v>2052</v>
      </c>
      <c r="C6" s="9" t="s">
        <v>1759</v>
      </c>
      <c r="D6" s="9" t="s">
        <v>1549</v>
      </c>
      <c r="E6" s="10">
        <f t="shared" si="0"/>
        <v>201</v>
      </c>
      <c r="F6" s="10">
        <v>250</v>
      </c>
    </row>
    <row r="7" spans="1:11" s="32" customFormat="1" x14ac:dyDescent="0.15">
      <c r="A7" s="32" t="s">
        <v>2051</v>
      </c>
      <c r="B7" s="32" t="s">
        <v>1861</v>
      </c>
      <c r="C7" s="32" t="s">
        <v>1760</v>
      </c>
      <c r="D7" s="32" t="s">
        <v>1550</v>
      </c>
      <c r="E7" s="11">
        <f t="shared" si="0"/>
        <v>251</v>
      </c>
      <c r="F7" s="11">
        <v>300</v>
      </c>
    </row>
    <row r="8" spans="1:11" x14ac:dyDescent="0.15">
      <c r="A8" s="9" t="s">
        <v>2051</v>
      </c>
      <c r="B8" s="9" t="s">
        <v>1861</v>
      </c>
      <c r="C8" s="9" t="s">
        <v>1760</v>
      </c>
      <c r="D8" s="9" t="s">
        <v>1551</v>
      </c>
      <c r="E8" s="10">
        <f t="shared" si="0"/>
        <v>301</v>
      </c>
      <c r="F8" s="10">
        <v>350</v>
      </c>
    </row>
    <row r="9" spans="1:11" x14ac:dyDescent="0.15">
      <c r="A9" s="9" t="s">
        <v>2051</v>
      </c>
      <c r="B9" s="9" t="s">
        <v>1861</v>
      </c>
      <c r="C9" s="9" t="s">
        <v>1760</v>
      </c>
      <c r="D9" s="9" t="s">
        <v>1552</v>
      </c>
      <c r="E9" s="10">
        <f t="shared" si="0"/>
        <v>351</v>
      </c>
      <c r="F9" s="10">
        <v>400</v>
      </c>
    </row>
    <row r="10" spans="1:11" x14ac:dyDescent="0.15">
      <c r="A10" s="9" t="s">
        <v>2051</v>
      </c>
      <c r="B10" s="9" t="s">
        <v>1861</v>
      </c>
      <c r="C10" s="9" t="s">
        <v>1760</v>
      </c>
      <c r="D10" s="9" t="s">
        <v>1553</v>
      </c>
      <c r="E10" s="10">
        <f t="shared" si="0"/>
        <v>401</v>
      </c>
      <c r="F10" s="10">
        <v>500</v>
      </c>
    </row>
    <row r="11" spans="1:11" s="32" customFormat="1" x14ac:dyDescent="0.15">
      <c r="A11" s="32" t="s">
        <v>2051</v>
      </c>
      <c r="B11" s="32" t="s">
        <v>1857</v>
      </c>
      <c r="C11" s="32" t="s">
        <v>1760</v>
      </c>
      <c r="D11" s="32" t="s">
        <v>1345</v>
      </c>
      <c r="E11" s="11">
        <f t="shared" si="0"/>
        <v>501</v>
      </c>
      <c r="F11" s="11">
        <v>550</v>
      </c>
    </row>
    <row r="12" spans="1:11" x14ac:dyDescent="0.15">
      <c r="A12" s="9" t="s">
        <v>2051</v>
      </c>
      <c r="B12" s="9" t="s">
        <v>1857</v>
      </c>
      <c r="C12" s="9" t="s">
        <v>1760</v>
      </c>
      <c r="D12" s="9" t="s">
        <v>1554</v>
      </c>
      <c r="E12" s="10">
        <f t="shared" si="0"/>
        <v>551</v>
      </c>
      <c r="F12" s="10">
        <v>600</v>
      </c>
    </row>
    <row r="13" spans="1:11" x14ac:dyDescent="0.15">
      <c r="A13" s="9" t="s">
        <v>2051</v>
      </c>
      <c r="B13" s="9" t="s">
        <v>1857</v>
      </c>
      <c r="C13" s="9" t="s">
        <v>1760</v>
      </c>
      <c r="D13" s="9" t="s">
        <v>1555</v>
      </c>
      <c r="E13" s="10">
        <f t="shared" si="0"/>
        <v>601</v>
      </c>
      <c r="F13" s="10">
        <v>650</v>
      </c>
    </row>
    <row r="14" spans="1:11" x14ac:dyDescent="0.15">
      <c r="A14" s="9" t="s">
        <v>2051</v>
      </c>
      <c r="B14" s="9" t="s">
        <v>1857</v>
      </c>
      <c r="C14" s="9" t="s">
        <v>1760</v>
      </c>
      <c r="D14" s="9" t="s">
        <v>1556</v>
      </c>
      <c r="E14" s="10">
        <f t="shared" si="0"/>
        <v>651</v>
      </c>
      <c r="F14" s="10">
        <v>750</v>
      </c>
    </row>
    <row r="15" spans="1:11" s="32" customFormat="1" x14ac:dyDescent="0.15">
      <c r="A15" s="32" t="s">
        <v>2051</v>
      </c>
      <c r="B15" s="32" t="s">
        <v>1850</v>
      </c>
      <c r="C15" s="32" t="s">
        <v>1760</v>
      </c>
      <c r="D15" s="32" t="s">
        <v>1557</v>
      </c>
      <c r="E15" s="11">
        <f t="shared" si="0"/>
        <v>751</v>
      </c>
      <c r="F15" s="11">
        <v>850</v>
      </c>
    </row>
    <row r="16" spans="1:11" x14ac:dyDescent="0.15">
      <c r="A16" s="9" t="s">
        <v>2051</v>
      </c>
      <c r="B16" s="9" t="s">
        <v>1850</v>
      </c>
      <c r="C16" s="9" t="s">
        <v>1760</v>
      </c>
      <c r="D16" s="9" t="s">
        <v>1558</v>
      </c>
      <c r="E16" s="10">
        <f t="shared" si="0"/>
        <v>851</v>
      </c>
      <c r="F16" s="10">
        <v>1000</v>
      </c>
    </row>
    <row r="17" spans="1:6" x14ac:dyDescent="0.15">
      <c r="A17" s="9" t="s">
        <v>2051</v>
      </c>
      <c r="B17" s="9" t="s">
        <v>1850</v>
      </c>
      <c r="C17" s="9" t="s">
        <v>1760</v>
      </c>
      <c r="D17" s="9" t="s">
        <v>1559</v>
      </c>
      <c r="E17" s="10">
        <f t="shared" si="0"/>
        <v>1001</v>
      </c>
      <c r="F17" s="10">
        <v>1100</v>
      </c>
    </row>
    <row r="18" spans="1:6" x14ac:dyDescent="0.15">
      <c r="A18" s="9" t="s">
        <v>2051</v>
      </c>
      <c r="B18" s="9" t="s">
        <v>2053</v>
      </c>
      <c r="C18" s="9" t="s">
        <v>1760</v>
      </c>
      <c r="D18" s="32" t="s">
        <v>1527</v>
      </c>
      <c r="E18" s="11">
        <f t="shared" si="0"/>
        <v>1101</v>
      </c>
      <c r="F18" s="11">
        <v>1600</v>
      </c>
    </row>
    <row r="19" spans="1:6" x14ac:dyDescent="0.15">
      <c r="A19" s="9" t="s">
        <v>2051</v>
      </c>
      <c r="B19" s="9" t="s">
        <v>2053</v>
      </c>
      <c r="C19" s="9" t="s">
        <v>1760</v>
      </c>
      <c r="D19" s="9" t="s">
        <v>1560</v>
      </c>
      <c r="E19" s="10">
        <f t="shared" si="0"/>
        <v>1601</v>
      </c>
      <c r="F19" s="10">
        <v>1200</v>
      </c>
    </row>
    <row r="20" spans="1:6" x14ac:dyDescent="0.15">
      <c r="A20" s="9" t="s">
        <v>2051</v>
      </c>
      <c r="B20" s="9" t="s">
        <v>2053</v>
      </c>
      <c r="C20" s="9" t="s">
        <v>1760</v>
      </c>
      <c r="D20" s="9" t="s">
        <v>1561</v>
      </c>
      <c r="E20" s="10">
        <f t="shared" si="0"/>
        <v>1201</v>
      </c>
      <c r="F20" s="10">
        <v>1300</v>
      </c>
    </row>
    <row r="21" spans="1:6" x14ac:dyDescent="0.15">
      <c r="A21" s="9" t="s">
        <v>2051</v>
      </c>
      <c r="B21" s="9" t="s">
        <v>2053</v>
      </c>
      <c r="C21" s="9" t="s">
        <v>1760</v>
      </c>
      <c r="D21" s="9" t="s">
        <v>1562</v>
      </c>
      <c r="E21" s="10">
        <f t="shared" si="0"/>
        <v>1301</v>
      </c>
      <c r="F21" s="10">
        <v>1500</v>
      </c>
    </row>
    <row r="22" spans="1:6" x14ac:dyDescent="0.15">
      <c r="A22" s="9" t="s">
        <v>2051</v>
      </c>
      <c r="B22" s="9" t="s">
        <v>2053</v>
      </c>
      <c r="C22" s="9" t="s">
        <v>1760</v>
      </c>
      <c r="D22" s="9" t="s">
        <v>1563</v>
      </c>
      <c r="E22" s="10">
        <f t="shared" si="0"/>
        <v>1501</v>
      </c>
      <c r="F22" s="10">
        <v>1700</v>
      </c>
    </row>
    <row r="23" spans="1:6" x14ac:dyDescent="0.15">
      <c r="A23" s="9" t="s">
        <v>2051</v>
      </c>
      <c r="B23" s="9" t="s">
        <v>2053</v>
      </c>
      <c r="C23" s="9" t="s">
        <v>1760</v>
      </c>
      <c r="D23" s="9" t="s">
        <v>1564</v>
      </c>
      <c r="E23" s="10">
        <f t="shared" si="0"/>
        <v>1701</v>
      </c>
      <c r="F23" s="10">
        <v>1850</v>
      </c>
    </row>
    <row r="24" spans="1:6" s="32" customFormat="1" x14ac:dyDescent="0.15">
      <c r="A24" s="32" t="s">
        <v>2051</v>
      </c>
      <c r="B24" s="32" t="s">
        <v>1858</v>
      </c>
      <c r="C24" s="32" t="s">
        <v>1761</v>
      </c>
      <c r="D24" s="32" t="s">
        <v>425</v>
      </c>
      <c r="E24" s="11">
        <f t="shared" si="0"/>
        <v>1851</v>
      </c>
      <c r="F24" s="11">
        <v>1250</v>
      </c>
    </row>
    <row r="25" spans="1:6" x14ac:dyDescent="0.15">
      <c r="A25" s="9" t="s">
        <v>2051</v>
      </c>
      <c r="B25" s="9" t="s">
        <v>1858</v>
      </c>
      <c r="C25" s="9" t="s">
        <v>1761</v>
      </c>
      <c r="D25" s="9" t="s">
        <v>1533</v>
      </c>
      <c r="E25" s="10">
        <f t="shared" si="0"/>
        <v>1251</v>
      </c>
      <c r="F25" s="10">
        <v>1300</v>
      </c>
    </row>
    <row r="26" spans="1:6" x14ac:dyDescent="0.15">
      <c r="A26" s="9" t="s">
        <v>2051</v>
      </c>
      <c r="B26" s="9" t="s">
        <v>1858</v>
      </c>
      <c r="C26" s="9" t="s">
        <v>1761</v>
      </c>
      <c r="D26" s="9" t="s">
        <v>1460</v>
      </c>
      <c r="E26" s="10">
        <f t="shared" si="0"/>
        <v>1301</v>
      </c>
      <c r="F26" s="10">
        <v>1350</v>
      </c>
    </row>
    <row r="27" spans="1:6" s="32" customFormat="1" x14ac:dyDescent="0.15">
      <c r="A27" s="32" t="s">
        <v>2051</v>
      </c>
      <c r="B27" s="32" t="s">
        <v>1859</v>
      </c>
      <c r="C27" s="32" t="s">
        <v>1761</v>
      </c>
      <c r="D27" s="32" t="s">
        <v>611</v>
      </c>
      <c r="E27" s="11">
        <f t="shared" si="0"/>
        <v>1351</v>
      </c>
      <c r="F27" s="11">
        <v>1380</v>
      </c>
    </row>
    <row r="28" spans="1:6" x14ac:dyDescent="0.15">
      <c r="A28" s="9" t="s">
        <v>2051</v>
      </c>
      <c r="B28" s="9" t="s">
        <v>1859</v>
      </c>
      <c r="C28" s="9" t="s">
        <v>1761</v>
      </c>
      <c r="D28" s="9" t="s">
        <v>1565</v>
      </c>
      <c r="E28" s="10">
        <f t="shared" si="0"/>
        <v>1381</v>
      </c>
      <c r="F28" s="10">
        <v>1450</v>
      </c>
    </row>
    <row r="29" spans="1:6" x14ac:dyDescent="0.15">
      <c r="A29" s="9" t="s">
        <v>2051</v>
      </c>
      <c r="B29" s="9" t="s">
        <v>1859</v>
      </c>
      <c r="C29" s="9" t="s">
        <v>1761</v>
      </c>
      <c r="D29" s="9" t="s">
        <v>521</v>
      </c>
      <c r="E29" s="10">
        <f t="shared" si="0"/>
        <v>1451</v>
      </c>
      <c r="F29" s="10">
        <v>1500</v>
      </c>
    </row>
    <row r="30" spans="1:6" s="32" customFormat="1" x14ac:dyDescent="0.15">
      <c r="A30" s="32" t="s">
        <v>2051</v>
      </c>
      <c r="B30" s="32" t="s">
        <v>1886</v>
      </c>
      <c r="C30" s="32" t="s">
        <v>1761</v>
      </c>
      <c r="D30" s="32" t="s">
        <v>1566</v>
      </c>
      <c r="E30" s="11">
        <f t="shared" si="0"/>
        <v>1501</v>
      </c>
      <c r="F30" s="11">
        <v>1550</v>
      </c>
    </row>
    <row r="31" spans="1:6" x14ac:dyDescent="0.15">
      <c r="A31" s="9" t="s">
        <v>2051</v>
      </c>
      <c r="B31" s="9" t="s">
        <v>1886</v>
      </c>
      <c r="C31" s="9" t="s">
        <v>1761</v>
      </c>
      <c r="D31" s="9" t="s">
        <v>1567</v>
      </c>
      <c r="E31" s="10">
        <f t="shared" si="0"/>
        <v>1551</v>
      </c>
      <c r="F31" s="10">
        <v>1650</v>
      </c>
    </row>
    <row r="32" spans="1:6" x14ac:dyDescent="0.15">
      <c r="A32" s="9" t="s">
        <v>2051</v>
      </c>
      <c r="B32" s="9" t="s">
        <v>1886</v>
      </c>
      <c r="C32" s="9" t="s">
        <v>1761</v>
      </c>
      <c r="D32" s="9" t="s">
        <v>1568</v>
      </c>
      <c r="E32" s="10">
        <f t="shared" si="0"/>
        <v>1651</v>
      </c>
      <c r="F32" s="10">
        <v>1750</v>
      </c>
    </row>
    <row r="33" spans="1:6" s="32" customFormat="1" x14ac:dyDescent="0.15">
      <c r="A33" s="32" t="s">
        <v>2051</v>
      </c>
      <c r="B33" s="32" t="s">
        <v>1860</v>
      </c>
      <c r="C33" s="32" t="s">
        <v>1762</v>
      </c>
      <c r="D33" s="32" t="s">
        <v>1569</v>
      </c>
      <c r="E33" s="11">
        <f t="shared" si="0"/>
        <v>1751</v>
      </c>
      <c r="F33" s="11">
        <v>1850</v>
      </c>
    </row>
    <row r="34" spans="1:6" x14ac:dyDescent="0.15">
      <c r="A34" s="9" t="s">
        <v>2051</v>
      </c>
      <c r="B34" s="9" t="s">
        <v>1860</v>
      </c>
      <c r="C34" s="9" t="s">
        <v>1762</v>
      </c>
      <c r="D34" s="9" t="s">
        <v>1570</v>
      </c>
      <c r="E34" s="10">
        <f t="shared" si="0"/>
        <v>1851</v>
      </c>
      <c r="F34" s="10">
        <v>1950</v>
      </c>
    </row>
    <row r="35" spans="1:6" x14ac:dyDescent="0.15">
      <c r="A35" s="9" t="s">
        <v>2051</v>
      </c>
      <c r="B35" s="9" t="s">
        <v>1860</v>
      </c>
      <c r="C35" s="9" t="s">
        <v>1762</v>
      </c>
      <c r="D35" s="9" t="s">
        <v>1571</v>
      </c>
      <c r="E35" s="10">
        <f t="shared" si="0"/>
        <v>1951</v>
      </c>
      <c r="F35" s="10">
        <v>2000</v>
      </c>
    </row>
    <row r="36" spans="1:6" x14ac:dyDescent="0.15">
      <c r="A36" s="9" t="s">
        <v>2051</v>
      </c>
      <c r="B36" s="9" t="s">
        <v>1860</v>
      </c>
      <c r="C36" s="9" t="s">
        <v>1762</v>
      </c>
      <c r="D36" s="9" t="s">
        <v>1572</v>
      </c>
      <c r="E36" s="10">
        <f t="shared" si="0"/>
        <v>2001</v>
      </c>
      <c r="F36" s="10">
        <v>2000</v>
      </c>
    </row>
    <row r="37" spans="1:6" s="32" customFormat="1" x14ac:dyDescent="0.15">
      <c r="A37" s="32" t="s">
        <v>2051</v>
      </c>
      <c r="B37" s="32" t="s">
        <v>1855</v>
      </c>
      <c r="C37" s="32" t="s">
        <v>1855</v>
      </c>
      <c r="D37" s="32" t="s">
        <v>1573</v>
      </c>
      <c r="E37" s="11">
        <f t="shared" si="0"/>
        <v>2001</v>
      </c>
      <c r="F37" s="11">
        <v>1900</v>
      </c>
    </row>
    <row r="38" spans="1:6" x14ac:dyDescent="0.15">
      <c r="A38" s="9" t="s">
        <v>2051</v>
      </c>
      <c r="B38" s="9" t="s">
        <v>1855</v>
      </c>
      <c r="C38" s="9" t="s">
        <v>1855</v>
      </c>
      <c r="D38" s="9" t="s">
        <v>1574</v>
      </c>
      <c r="E38" s="10">
        <f t="shared" si="0"/>
        <v>1901</v>
      </c>
      <c r="F38" s="10">
        <v>2000</v>
      </c>
    </row>
    <row r="39" spans="1:6" x14ac:dyDescent="0.15">
      <c r="A39" s="9" t="s">
        <v>2051</v>
      </c>
      <c r="B39" s="9" t="s">
        <v>1855</v>
      </c>
      <c r="C39" s="9" t="s">
        <v>1855</v>
      </c>
      <c r="D39" s="9" t="s">
        <v>1575</v>
      </c>
      <c r="E39" s="10">
        <f t="shared" si="0"/>
        <v>2001</v>
      </c>
      <c r="F39" s="10">
        <v>2050</v>
      </c>
    </row>
    <row r="40" spans="1:6" x14ac:dyDescent="0.15">
      <c r="A40" s="9" t="s">
        <v>2051</v>
      </c>
      <c r="B40" s="9" t="s">
        <v>1855</v>
      </c>
      <c r="C40" s="9" t="s">
        <v>1855</v>
      </c>
      <c r="D40" s="9" t="s">
        <v>1576</v>
      </c>
      <c r="E40" s="10">
        <f t="shared" si="0"/>
        <v>2051</v>
      </c>
      <c r="F40" s="10">
        <v>2100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04B0-6E0F-47A9-BA96-C09BA211D733}">
  <dimension ref="A1:K37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7.42578125" style="9" bestFit="1" customWidth="1"/>
    <col min="3" max="3" width="11.85546875" style="9" bestFit="1" customWidth="1"/>
    <col min="4" max="4" width="50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2054</v>
      </c>
      <c r="B2" s="32" t="s">
        <v>2055</v>
      </c>
      <c r="C2" s="32" t="s">
        <v>1759</v>
      </c>
      <c r="D2" s="32" t="s">
        <v>1578</v>
      </c>
      <c r="E2" s="11">
        <v>0</v>
      </c>
      <c r="F2" s="11">
        <v>50</v>
      </c>
    </row>
    <row r="3" spans="1:11" x14ac:dyDescent="0.15">
      <c r="A3" s="9" t="s">
        <v>2054</v>
      </c>
      <c r="B3" s="9" t="s">
        <v>2055</v>
      </c>
      <c r="C3" s="9" t="s">
        <v>1759</v>
      </c>
      <c r="D3" s="9" t="s">
        <v>1579</v>
      </c>
      <c r="E3" s="10">
        <f>F2+1</f>
        <v>51</v>
      </c>
      <c r="F3" s="10">
        <v>100</v>
      </c>
    </row>
    <row r="4" spans="1:11" x14ac:dyDescent="0.15">
      <c r="A4" s="9" t="s">
        <v>2054</v>
      </c>
      <c r="B4" s="9" t="s">
        <v>2055</v>
      </c>
      <c r="C4" s="9" t="s">
        <v>1759</v>
      </c>
      <c r="D4" s="9" t="s">
        <v>1580</v>
      </c>
      <c r="E4" s="10">
        <f t="shared" ref="E4:E37" si="0">F3+1</f>
        <v>101</v>
      </c>
      <c r="F4" s="10">
        <v>150</v>
      </c>
    </row>
    <row r="5" spans="1:11" x14ac:dyDescent="0.15">
      <c r="A5" s="9" t="s">
        <v>2054</v>
      </c>
      <c r="B5" s="9" t="s">
        <v>2055</v>
      </c>
      <c r="C5" s="9" t="s">
        <v>1759</v>
      </c>
      <c r="D5" s="9" t="s">
        <v>1581</v>
      </c>
      <c r="E5" s="10">
        <f t="shared" si="0"/>
        <v>151</v>
      </c>
      <c r="F5" s="10">
        <v>200</v>
      </c>
    </row>
    <row r="6" spans="1:11" x14ac:dyDescent="0.15">
      <c r="A6" s="9" t="s">
        <v>2054</v>
      </c>
      <c r="B6" s="9" t="s">
        <v>2055</v>
      </c>
      <c r="C6" s="9" t="s">
        <v>1759</v>
      </c>
      <c r="D6" s="9" t="s">
        <v>1582</v>
      </c>
      <c r="E6" s="10">
        <f t="shared" si="0"/>
        <v>201</v>
      </c>
      <c r="F6" s="10">
        <v>250</v>
      </c>
    </row>
    <row r="7" spans="1:11" s="32" customFormat="1" x14ac:dyDescent="0.15">
      <c r="A7" s="32" t="s">
        <v>2054</v>
      </c>
      <c r="B7" s="32" t="s">
        <v>2056</v>
      </c>
      <c r="C7" s="32" t="s">
        <v>1760</v>
      </c>
      <c r="D7" s="32" t="s">
        <v>535</v>
      </c>
      <c r="E7" s="11">
        <f t="shared" si="0"/>
        <v>251</v>
      </c>
      <c r="F7" s="11">
        <v>300</v>
      </c>
    </row>
    <row r="8" spans="1:11" x14ac:dyDescent="0.15">
      <c r="A8" s="9" t="s">
        <v>2054</v>
      </c>
      <c r="B8" s="9" t="s">
        <v>2056</v>
      </c>
      <c r="C8" s="9" t="s">
        <v>1760</v>
      </c>
      <c r="D8" s="9" t="s">
        <v>1583</v>
      </c>
      <c r="E8" s="10">
        <f t="shared" si="0"/>
        <v>301</v>
      </c>
      <c r="F8" s="10">
        <v>350</v>
      </c>
    </row>
    <row r="9" spans="1:11" x14ac:dyDescent="0.15">
      <c r="A9" s="9" t="s">
        <v>2054</v>
      </c>
      <c r="B9" s="9" t="s">
        <v>2056</v>
      </c>
      <c r="C9" s="9" t="s">
        <v>1760</v>
      </c>
      <c r="D9" s="9" t="s">
        <v>1584</v>
      </c>
      <c r="E9" s="10">
        <f t="shared" si="0"/>
        <v>351</v>
      </c>
      <c r="F9" s="10">
        <v>400</v>
      </c>
    </row>
    <row r="10" spans="1:11" x14ac:dyDescent="0.15">
      <c r="A10" s="9" t="s">
        <v>2054</v>
      </c>
      <c r="B10" s="9" t="s">
        <v>2056</v>
      </c>
      <c r="C10" s="9" t="s">
        <v>1760</v>
      </c>
      <c r="D10" s="9" t="s">
        <v>1220</v>
      </c>
      <c r="E10" s="10">
        <f t="shared" si="0"/>
        <v>401</v>
      </c>
      <c r="F10" s="10">
        <v>450</v>
      </c>
    </row>
    <row r="11" spans="1:11" x14ac:dyDescent="0.15">
      <c r="A11" s="9" t="s">
        <v>2054</v>
      </c>
      <c r="B11" s="9" t="s">
        <v>2056</v>
      </c>
      <c r="C11" s="9" t="s">
        <v>1760</v>
      </c>
      <c r="D11" s="9" t="s">
        <v>1585</v>
      </c>
      <c r="E11" s="10">
        <f t="shared" si="0"/>
        <v>451</v>
      </c>
      <c r="F11" s="10">
        <v>550</v>
      </c>
    </row>
    <row r="12" spans="1:11" s="32" customFormat="1" x14ac:dyDescent="0.15">
      <c r="A12" s="32" t="s">
        <v>2054</v>
      </c>
      <c r="B12" s="32" t="s">
        <v>1857</v>
      </c>
      <c r="C12" s="32" t="s">
        <v>1760</v>
      </c>
      <c r="D12" s="32" t="s">
        <v>1586</v>
      </c>
      <c r="E12" s="11">
        <f t="shared" si="0"/>
        <v>551</v>
      </c>
      <c r="F12" s="11">
        <v>600</v>
      </c>
    </row>
    <row r="13" spans="1:11" x14ac:dyDescent="0.15">
      <c r="A13" s="9" t="s">
        <v>2054</v>
      </c>
      <c r="B13" s="9" t="s">
        <v>1857</v>
      </c>
      <c r="C13" s="9" t="s">
        <v>1760</v>
      </c>
      <c r="D13" s="9" t="s">
        <v>1587</v>
      </c>
      <c r="E13" s="10">
        <f t="shared" si="0"/>
        <v>601</v>
      </c>
      <c r="F13" s="10">
        <v>650</v>
      </c>
    </row>
    <row r="14" spans="1:11" x14ac:dyDescent="0.15">
      <c r="A14" s="9" t="s">
        <v>2054</v>
      </c>
      <c r="B14" s="9" t="s">
        <v>1857</v>
      </c>
      <c r="C14" s="9" t="s">
        <v>1760</v>
      </c>
      <c r="D14" s="9" t="s">
        <v>1588</v>
      </c>
      <c r="E14" s="10">
        <f t="shared" si="0"/>
        <v>651</v>
      </c>
      <c r="F14" s="10">
        <v>700</v>
      </c>
    </row>
    <row r="15" spans="1:11" x14ac:dyDescent="0.15">
      <c r="A15" s="9" t="s">
        <v>2054</v>
      </c>
      <c r="B15" s="9" t="s">
        <v>1857</v>
      </c>
      <c r="C15" s="9" t="s">
        <v>1760</v>
      </c>
      <c r="D15" s="9" t="s">
        <v>1589</v>
      </c>
      <c r="E15" s="10">
        <f t="shared" si="0"/>
        <v>701</v>
      </c>
      <c r="F15" s="10">
        <v>800</v>
      </c>
    </row>
    <row r="16" spans="1:11" s="32" customFormat="1" x14ac:dyDescent="0.15">
      <c r="A16" s="32" t="s">
        <v>2054</v>
      </c>
      <c r="B16" s="32" t="s">
        <v>1890</v>
      </c>
      <c r="C16" s="32" t="s">
        <v>1760</v>
      </c>
      <c r="D16" s="32" t="s">
        <v>1590</v>
      </c>
      <c r="E16" s="11">
        <f t="shared" si="0"/>
        <v>801</v>
      </c>
      <c r="F16" s="11">
        <v>900</v>
      </c>
    </row>
    <row r="17" spans="1:6" x14ac:dyDescent="0.15">
      <c r="A17" s="9" t="s">
        <v>2054</v>
      </c>
      <c r="B17" s="9" t="s">
        <v>1890</v>
      </c>
      <c r="C17" s="9" t="s">
        <v>1760</v>
      </c>
      <c r="D17" s="9" t="s">
        <v>1591</v>
      </c>
      <c r="E17" s="10">
        <f t="shared" si="0"/>
        <v>901</v>
      </c>
      <c r="F17" s="10">
        <v>1100</v>
      </c>
    </row>
    <row r="18" spans="1:6" x14ac:dyDescent="0.15">
      <c r="A18" s="9" t="s">
        <v>2054</v>
      </c>
      <c r="B18" s="9" t="s">
        <v>1890</v>
      </c>
      <c r="C18" s="9" t="s">
        <v>1760</v>
      </c>
      <c r="D18" s="9" t="s">
        <v>1592</v>
      </c>
      <c r="E18" s="10">
        <f t="shared" si="0"/>
        <v>1101</v>
      </c>
      <c r="F18" s="10">
        <v>1300</v>
      </c>
    </row>
    <row r="19" spans="1:6" s="32" customFormat="1" x14ac:dyDescent="0.15">
      <c r="A19" s="32" t="s">
        <v>2054</v>
      </c>
      <c r="B19" s="32" t="s">
        <v>1858</v>
      </c>
      <c r="C19" s="32" t="s">
        <v>1761</v>
      </c>
      <c r="D19" s="32" t="s">
        <v>1593</v>
      </c>
      <c r="E19" s="11">
        <f t="shared" si="0"/>
        <v>1301</v>
      </c>
      <c r="F19" s="11">
        <v>1400</v>
      </c>
    </row>
    <row r="20" spans="1:6" x14ac:dyDescent="0.15">
      <c r="A20" s="9" t="s">
        <v>2054</v>
      </c>
      <c r="B20" s="9" t="s">
        <v>1858</v>
      </c>
      <c r="C20" s="9" t="s">
        <v>1761</v>
      </c>
      <c r="D20" s="9" t="s">
        <v>1533</v>
      </c>
      <c r="E20" s="10">
        <f t="shared" si="0"/>
        <v>1401</v>
      </c>
      <c r="F20" s="10">
        <v>1500</v>
      </c>
    </row>
    <row r="21" spans="1:6" x14ac:dyDescent="0.15">
      <c r="A21" s="9" t="s">
        <v>2054</v>
      </c>
      <c r="B21" s="9" t="s">
        <v>1858</v>
      </c>
      <c r="C21" s="9" t="s">
        <v>1761</v>
      </c>
      <c r="D21" s="9" t="s">
        <v>1594</v>
      </c>
      <c r="E21" s="10">
        <f t="shared" si="0"/>
        <v>1501</v>
      </c>
      <c r="F21" s="10">
        <v>1600</v>
      </c>
    </row>
    <row r="22" spans="1:6" s="32" customFormat="1" x14ac:dyDescent="0.15">
      <c r="A22" s="32" t="s">
        <v>2054</v>
      </c>
      <c r="B22" s="32" t="s">
        <v>1859</v>
      </c>
      <c r="C22" s="32" t="s">
        <v>1761</v>
      </c>
      <c r="D22" s="32" t="s">
        <v>611</v>
      </c>
      <c r="E22" s="11">
        <f t="shared" si="0"/>
        <v>1601</v>
      </c>
      <c r="F22" s="11">
        <v>1700</v>
      </c>
    </row>
    <row r="23" spans="1:6" x14ac:dyDescent="0.15">
      <c r="A23" s="9" t="s">
        <v>2054</v>
      </c>
      <c r="B23" s="9" t="s">
        <v>1859</v>
      </c>
      <c r="C23" s="9" t="s">
        <v>1761</v>
      </c>
      <c r="D23" s="9" t="s">
        <v>1595</v>
      </c>
      <c r="E23" s="10">
        <f t="shared" si="0"/>
        <v>1701</v>
      </c>
      <c r="F23" s="10">
        <v>1800</v>
      </c>
    </row>
    <row r="24" spans="1:6" x14ac:dyDescent="0.15">
      <c r="A24" s="9" t="s">
        <v>2054</v>
      </c>
      <c r="B24" s="9" t="s">
        <v>1859</v>
      </c>
      <c r="C24" s="9" t="s">
        <v>1761</v>
      </c>
      <c r="D24" s="9" t="s">
        <v>521</v>
      </c>
      <c r="E24" s="10">
        <f t="shared" si="0"/>
        <v>1801</v>
      </c>
      <c r="F24" s="10">
        <v>1900</v>
      </c>
    </row>
    <row r="25" spans="1:6" s="32" customFormat="1" x14ac:dyDescent="0.15">
      <c r="A25" s="32" t="s">
        <v>2054</v>
      </c>
      <c r="B25" s="32" t="s">
        <v>1886</v>
      </c>
      <c r="C25" s="32" t="s">
        <v>1761</v>
      </c>
      <c r="D25" s="32" t="s">
        <v>1596</v>
      </c>
      <c r="E25" s="11">
        <f t="shared" si="0"/>
        <v>1901</v>
      </c>
      <c r="F25" s="11">
        <v>2000</v>
      </c>
    </row>
    <row r="26" spans="1:6" x14ac:dyDescent="0.15">
      <c r="A26" s="9" t="s">
        <v>2054</v>
      </c>
      <c r="B26" s="9" t="s">
        <v>1886</v>
      </c>
      <c r="C26" s="9" t="s">
        <v>1761</v>
      </c>
      <c r="D26" s="9" t="s">
        <v>1597</v>
      </c>
      <c r="E26" s="10">
        <f t="shared" si="0"/>
        <v>2001</v>
      </c>
      <c r="F26" s="10">
        <v>2200</v>
      </c>
    </row>
    <row r="27" spans="1:6" x14ac:dyDescent="0.15">
      <c r="A27" s="9" t="s">
        <v>2054</v>
      </c>
      <c r="B27" s="9" t="s">
        <v>1886</v>
      </c>
      <c r="C27" s="9" t="s">
        <v>1761</v>
      </c>
      <c r="D27" s="9" t="s">
        <v>1598</v>
      </c>
      <c r="E27" s="10">
        <f t="shared" si="0"/>
        <v>2201</v>
      </c>
      <c r="F27" s="10">
        <v>2400</v>
      </c>
    </row>
    <row r="28" spans="1:6" s="32" customFormat="1" x14ac:dyDescent="0.15">
      <c r="A28" s="32" t="s">
        <v>2054</v>
      </c>
      <c r="B28" s="32" t="s">
        <v>1860</v>
      </c>
      <c r="C28" s="32" t="s">
        <v>1762</v>
      </c>
      <c r="D28" s="32" t="s">
        <v>1599</v>
      </c>
      <c r="E28" s="11">
        <f t="shared" si="0"/>
        <v>2401</v>
      </c>
      <c r="F28" s="11">
        <v>2500</v>
      </c>
    </row>
    <row r="29" spans="1:6" x14ac:dyDescent="0.15">
      <c r="A29" s="9" t="s">
        <v>2054</v>
      </c>
      <c r="B29" s="9" t="s">
        <v>1860</v>
      </c>
      <c r="C29" s="9" t="s">
        <v>1762</v>
      </c>
      <c r="D29" s="9" t="s">
        <v>1600</v>
      </c>
      <c r="E29" s="10">
        <f t="shared" si="0"/>
        <v>2501</v>
      </c>
      <c r="F29" s="10">
        <v>2600</v>
      </c>
    </row>
    <row r="30" spans="1:6" x14ac:dyDescent="0.15">
      <c r="A30" s="9" t="s">
        <v>2054</v>
      </c>
      <c r="B30" s="9" t="s">
        <v>1860</v>
      </c>
      <c r="C30" s="9" t="s">
        <v>1762</v>
      </c>
      <c r="D30" s="9" t="s">
        <v>1601</v>
      </c>
      <c r="E30" s="10">
        <f t="shared" si="0"/>
        <v>2601</v>
      </c>
      <c r="F30" s="10">
        <v>2800</v>
      </c>
    </row>
    <row r="31" spans="1:6" s="32" customFormat="1" x14ac:dyDescent="0.15">
      <c r="A31" s="32" t="s">
        <v>2054</v>
      </c>
      <c r="B31" s="32" t="s">
        <v>1855</v>
      </c>
      <c r="C31" s="32" t="s">
        <v>1855</v>
      </c>
      <c r="D31" s="32" t="s">
        <v>1602</v>
      </c>
      <c r="E31" s="11">
        <f t="shared" si="0"/>
        <v>2801</v>
      </c>
      <c r="F31" s="11">
        <v>2900</v>
      </c>
    </row>
    <row r="32" spans="1:6" x14ac:dyDescent="0.15">
      <c r="A32" s="9" t="s">
        <v>2054</v>
      </c>
      <c r="B32" s="9" t="s">
        <v>1855</v>
      </c>
      <c r="C32" s="9" t="s">
        <v>1855</v>
      </c>
      <c r="D32" s="9" t="s">
        <v>1603</v>
      </c>
      <c r="E32" s="10">
        <f t="shared" si="0"/>
        <v>2901</v>
      </c>
      <c r="F32" s="10">
        <v>3100</v>
      </c>
    </row>
    <row r="33" spans="1:6" x14ac:dyDescent="0.15">
      <c r="A33" s="9" t="s">
        <v>2054</v>
      </c>
      <c r="B33" s="9" t="s">
        <v>1855</v>
      </c>
      <c r="C33" s="9" t="s">
        <v>1855</v>
      </c>
      <c r="D33" s="9" t="s">
        <v>1604</v>
      </c>
      <c r="E33" s="10">
        <f t="shared" si="0"/>
        <v>3101</v>
      </c>
      <c r="F33" s="10">
        <v>3300</v>
      </c>
    </row>
    <row r="34" spans="1:6" x14ac:dyDescent="0.15">
      <c r="A34" s="9" t="s">
        <v>2054</v>
      </c>
      <c r="B34" s="9" t="s">
        <v>1855</v>
      </c>
      <c r="C34" s="9" t="s">
        <v>1855</v>
      </c>
      <c r="D34" s="9" t="s">
        <v>1605</v>
      </c>
      <c r="E34" s="10">
        <f t="shared" si="0"/>
        <v>3301</v>
      </c>
      <c r="F34" s="10">
        <f>F33+400</f>
        <v>3700</v>
      </c>
    </row>
    <row r="35" spans="1:6" x14ac:dyDescent="0.15">
      <c r="A35" s="9" t="s">
        <v>2054</v>
      </c>
      <c r="B35" s="9" t="s">
        <v>1855</v>
      </c>
      <c r="C35" s="9" t="s">
        <v>1855</v>
      </c>
      <c r="D35" s="9" t="s">
        <v>1606</v>
      </c>
      <c r="E35" s="10">
        <f t="shared" si="0"/>
        <v>3701</v>
      </c>
      <c r="F35" s="10">
        <f>F34+400</f>
        <v>4100</v>
      </c>
    </row>
    <row r="36" spans="1:6" x14ac:dyDescent="0.15">
      <c r="A36" s="9" t="s">
        <v>2054</v>
      </c>
      <c r="B36" s="9" t="s">
        <v>1855</v>
      </c>
      <c r="C36" s="9" t="s">
        <v>1855</v>
      </c>
      <c r="D36" s="9" t="s">
        <v>1607</v>
      </c>
      <c r="E36" s="10">
        <f t="shared" si="0"/>
        <v>4101</v>
      </c>
      <c r="F36" s="10">
        <f t="shared" ref="F36:F37" si="1">F35+400</f>
        <v>4500</v>
      </c>
    </row>
    <row r="37" spans="1:6" x14ac:dyDescent="0.15">
      <c r="A37" s="9" t="s">
        <v>2054</v>
      </c>
      <c r="B37" s="9" t="s">
        <v>1855</v>
      </c>
      <c r="C37" s="9" t="s">
        <v>1855</v>
      </c>
      <c r="D37" s="9" t="s">
        <v>1608</v>
      </c>
      <c r="E37" s="10">
        <f t="shared" si="0"/>
        <v>4501</v>
      </c>
      <c r="F37" s="10">
        <f t="shared" si="1"/>
        <v>4900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3A26-8138-41D8-8B0B-64F18E69C8A2}">
  <dimension ref="A1:K41"/>
  <sheetViews>
    <sheetView workbookViewId="0">
      <selection sqref="A1:K1"/>
    </sheetView>
  </sheetViews>
  <sheetFormatPr defaultRowHeight="10.5" x14ac:dyDescent="0.15"/>
  <cols>
    <col min="1" max="1" width="11" style="9" bestFit="1" customWidth="1"/>
    <col min="2" max="2" width="30.5703125" style="9" bestFit="1" customWidth="1"/>
    <col min="3" max="3" width="11.85546875" style="9" bestFit="1" customWidth="1"/>
    <col min="4" max="4" width="45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2057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20</v>
      </c>
    </row>
    <row r="3" spans="1:11" x14ac:dyDescent="0.15">
      <c r="A3" s="9" t="s">
        <v>2057</v>
      </c>
      <c r="B3" s="9" t="s">
        <v>1759</v>
      </c>
      <c r="C3" s="9" t="s">
        <v>1759</v>
      </c>
      <c r="D3" s="9" t="s">
        <v>374</v>
      </c>
      <c r="E3" s="10">
        <f>F2+1</f>
        <v>21</v>
      </c>
      <c r="F3" s="10">
        <v>60</v>
      </c>
    </row>
    <row r="4" spans="1:11" x14ac:dyDescent="0.15">
      <c r="A4" s="9" t="s">
        <v>2057</v>
      </c>
      <c r="B4" s="9" t="s">
        <v>1759</v>
      </c>
      <c r="C4" s="9" t="s">
        <v>1759</v>
      </c>
      <c r="D4" s="9" t="s">
        <v>2062</v>
      </c>
      <c r="E4" s="10">
        <f t="shared" ref="E4:E41" si="0">F3+1</f>
        <v>61</v>
      </c>
      <c r="F4" s="10">
        <v>100</v>
      </c>
    </row>
    <row r="5" spans="1:11" x14ac:dyDescent="0.15">
      <c r="A5" s="9" t="s">
        <v>2057</v>
      </c>
      <c r="B5" s="9" t="s">
        <v>1759</v>
      </c>
      <c r="C5" s="9" t="s">
        <v>1759</v>
      </c>
      <c r="D5" s="9" t="s">
        <v>1670</v>
      </c>
      <c r="E5" s="10">
        <f t="shared" si="0"/>
        <v>101</v>
      </c>
      <c r="F5" s="10">
        <v>130</v>
      </c>
    </row>
    <row r="6" spans="1:11" x14ac:dyDescent="0.15">
      <c r="A6" s="9" t="s">
        <v>2057</v>
      </c>
      <c r="B6" s="9" t="s">
        <v>1759</v>
      </c>
      <c r="C6" s="9" t="s">
        <v>1759</v>
      </c>
      <c r="D6" s="9" t="s">
        <v>2063</v>
      </c>
      <c r="E6" s="10">
        <f t="shared" si="0"/>
        <v>131</v>
      </c>
      <c r="F6" s="10">
        <v>150</v>
      </c>
    </row>
    <row r="7" spans="1:11" s="32" customFormat="1" x14ac:dyDescent="0.15">
      <c r="A7" s="32" t="s">
        <v>2057</v>
      </c>
      <c r="B7" s="32" t="s">
        <v>2056</v>
      </c>
      <c r="C7" s="32" t="s">
        <v>1760</v>
      </c>
      <c r="D7" s="32" t="s">
        <v>2059</v>
      </c>
      <c r="E7" s="11">
        <f t="shared" si="0"/>
        <v>151</v>
      </c>
      <c r="F7" s="11">
        <v>200</v>
      </c>
    </row>
    <row r="8" spans="1:11" x14ac:dyDescent="0.15">
      <c r="A8" s="9" t="s">
        <v>2057</v>
      </c>
      <c r="B8" s="9" t="s">
        <v>2056</v>
      </c>
      <c r="C8" s="9" t="s">
        <v>1760</v>
      </c>
      <c r="D8" s="9" t="s">
        <v>535</v>
      </c>
      <c r="E8" s="10">
        <f t="shared" si="0"/>
        <v>201</v>
      </c>
      <c r="F8" s="10">
        <v>250</v>
      </c>
    </row>
    <row r="9" spans="1:11" x14ac:dyDescent="0.15">
      <c r="A9" s="9" t="s">
        <v>2057</v>
      </c>
      <c r="B9" s="9" t="s">
        <v>2056</v>
      </c>
      <c r="C9" s="9" t="s">
        <v>1760</v>
      </c>
      <c r="D9" s="9" t="s">
        <v>1583</v>
      </c>
      <c r="E9" s="10">
        <f t="shared" si="0"/>
        <v>251</v>
      </c>
      <c r="F9" s="10">
        <v>300</v>
      </c>
    </row>
    <row r="10" spans="1:11" x14ac:dyDescent="0.15">
      <c r="A10" s="9" t="s">
        <v>2057</v>
      </c>
      <c r="B10" s="9" t="s">
        <v>2056</v>
      </c>
      <c r="C10" s="9" t="s">
        <v>1760</v>
      </c>
      <c r="D10" s="9" t="s">
        <v>1636</v>
      </c>
      <c r="E10" s="10">
        <f t="shared" si="0"/>
        <v>301</v>
      </c>
      <c r="F10" s="10">
        <v>350</v>
      </c>
    </row>
    <row r="11" spans="1:11" x14ac:dyDescent="0.15">
      <c r="A11" s="9" t="s">
        <v>2057</v>
      </c>
      <c r="B11" s="9" t="s">
        <v>2056</v>
      </c>
      <c r="C11" s="9" t="s">
        <v>1760</v>
      </c>
      <c r="D11" s="9" t="s">
        <v>1673</v>
      </c>
      <c r="E11" s="10">
        <f t="shared" si="0"/>
        <v>351</v>
      </c>
      <c r="F11" s="10">
        <v>420</v>
      </c>
    </row>
    <row r="12" spans="1:11" x14ac:dyDescent="0.15">
      <c r="A12" s="9" t="s">
        <v>2057</v>
      </c>
      <c r="B12" s="9" t="s">
        <v>2056</v>
      </c>
      <c r="C12" s="9" t="s">
        <v>1760</v>
      </c>
      <c r="D12" s="9" t="s">
        <v>2060</v>
      </c>
      <c r="E12" s="10">
        <f t="shared" si="0"/>
        <v>421</v>
      </c>
      <c r="F12" s="10">
        <v>500</v>
      </c>
    </row>
    <row r="13" spans="1:11" s="32" customFormat="1" x14ac:dyDescent="0.15">
      <c r="A13" s="32" t="s">
        <v>2057</v>
      </c>
      <c r="B13" s="32" t="s">
        <v>1857</v>
      </c>
      <c r="C13" s="32" t="s">
        <v>1760</v>
      </c>
      <c r="D13" s="32" t="s">
        <v>2061</v>
      </c>
      <c r="E13" s="11">
        <f t="shared" si="0"/>
        <v>501</v>
      </c>
      <c r="F13" s="11">
        <v>600</v>
      </c>
    </row>
    <row r="14" spans="1:11" x14ac:dyDescent="0.15">
      <c r="A14" s="9" t="s">
        <v>2057</v>
      </c>
      <c r="B14" s="9" t="s">
        <v>1857</v>
      </c>
      <c r="C14" s="9" t="s">
        <v>1760</v>
      </c>
      <c r="D14" s="9" t="s">
        <v>1676</v>
      </c>
      <c r="E14" s="10">
        <f t="shared" si="0"/>
        <v>601</v>
      </c>
      <c r="F14" s="10">
        <v>700</v>
      </c>
    </row>
    <row r="15" spans="1:11" x14ac:dyDescent="0.15">
      <c r="A15" s="9" t="s">
        <v>2057</v>
      </c>
      <c r="B15" s="9" t="s">
        <v>1857</v>
      </c>
      <c r="C15" s="9" t="s">
        <v>1760</v>
      </c>
      <c r="D15" s="9" t="s">
        <v>1677</v>
      </c>
      <c r="E15" s="10">
        <f t="shared" si="0"/>
        <v>701</v>
      </c>
      <c r="F15" s="10">
        <v>800</v>
      </c>
    </row>
    <row r="16" spans="1:11" x14ac:dyDescent="0.15">
      <c r="A16" s="9" t="s">
        <v>2057</v>
      </c>
      <c r="B16" s="9" t="s">
        <v>1857</v>
      </c>
      <c r="C16" s="9" t="s">
        <v>1760</v>
      </c>
      <c r="D16" s="9" t="s">
        <v>1610</v>
      </c>
      <c r="E16" s="10">
        <f t="shared" si="0"/>
        <v>801</v>
      </c>
      <c r="F16" s="10">
        <v>900</v>
      </c>
    </row>
    <row r="17" spans="1:6" s="32" customFormat="1" x14ac:dyDescent="0.15">
      <c r="A17" s="32" t="s">
        <v>2057</v>
      </c>
      <c r="B17" s="32" t="s">
        <v>2058</v>
      </c>
      <c r="C17" s="32" t="s">
        <v>1760</v>
      </c>
      <c r="D17" s="32" t="s">
        <v>1611</v>
      </c>
      <c r="E17" s="11">
        <f t="shared" si="0"/>
        <v>901</v>
      </c>
      <c r="F17" s="11">
        <v>1000</v>
      </c>
    </row>
    <row r="18" spans="1:6" x14ac:dyDescent="0.15">
      <c r="A18" s="9" t="s">
        <v>2057</v>
      </c>
      <c r="B18" s="9" t="s">
        <v>2058</v>
      </c>
      <c r="C18" s="9" t="s">
        <v>1760</v>
      </c>
      <c r="D18" s="9" t="s">
        <v>1612</v>
      </c>
      <c r="E18" s="10">
        <f t="shared" si="0"/>
        <v>1001</v>
      </c>
      <c r="F18" s="10">
        <v>1100</v>
      </c>
    </row>
    <row r="19" spans="1:6" x14ac:dyDescent="0.15">
      <c r="A19" s="9" t="s">
        <v>2057</v>
      </c>
      <c r="B19" s="9" t="s">
        <v>2058</v>
      </c>
      <c r="C19" s="9" t="s">
        <v>1760</v>
      </c>
      <c r="D19" s="9" t="s">
        <v>1613</v>
      </c>
      <c r="E19" s="10">
        <f t="shared" si="0"/>
        <v>1101</v>
      </c>
      <c r="F19" s="10">
        <v>1200</v>
      </c>
    </row>
    <row r="20" spans="1:6" x14ac:dyDescent="0.15">
      <c r="A20" s="9" t="s">
        <v>2057</v>
      </c>
      <c r="B20" s="9" t="s">
        <v>2058</v>
      </c>
      <c r="C20" s="9" t="s">
        <v>1760</v>
      </c>
      <c r="D20" s="9" t="s">
        <v>1614</v>
      </c>
      <c r="E20" s="10">
        <f t="shared" si="0"/>
        <v>1201</v>
      </c>
      <c r="F20" s="10">
        <v>1300</v>
      </c>
    </row>
    <row r="21" spans="1:6" x14ac:dyDescent="0.15">
      <c r="A21" s="9" t="s">
        <v>2057</v>
      </c>
      <c r="B21" s="9" t="s">
        <v>2058</v>
      </c>
      <c r="C21" s="9" t="s">
        <v>1760</v>
      </c>
      <c r="D21" s="9" t="s">
        <v>1615</v>
      </c>
      <c r="E21" s="10">
        <f t="shared" si="0"/>
        <v>1301</v>
      </c>
      <c r="F21" s="10">
        <v>1400</v>
      </c>
    </row>
    <row r="22" spans="1:6" s="32" customFormat="1" x14ac:dyDescent="0.15">
      <c r="A22" s="32" t="s">
        <v>2057</v>
      </c>
      <c r="B22" s="32" t="s">
        <v>1851</v>
      </c>
      <c r="C22" s="32" t="s">
        <v>1760</v>
      </c>
      <c r="D22" s="32" t="s">
        <v>1616</v>
      </c>
      <c r="E22" s="11">
        <f t="shared" si="0"/>
        <v>1401</v>
      </c>
      <c r="F22" s="11">
        <v>1600</v>
      </c>
    </row>
    <row r="23" spans="1:6" x14ac:dyDescent="0.15">
      <c r="A23" s="9" t="s">
        <v>2057</v>
      </c>
      <c r="B23" s="9" t="s">
        <v>1851</v>
      </c>
      <c r="C23" s="9" t="s">
        <v>1760</v>
      </c>
      <c r="D23" s="9" t="s">
        <v>1390</v>
      </c>
      <c r="E23" s="10">
        <f t="shared" si="0"/>
        <v>1601</v>
      </c>
      <c r="F23" s="10">
        <v>1700</v>
      </c>
    </row>
    <row r="24" spans="1:6" x14ac:dyDescent="0.15">
      <c r="A24" s="9" t="s">
        <v>2057</v>
      </c>
      <c r="B24" s="9" t="s">
        <v>1851</v>
      </c>
      <c r="C24" s="9" t="s">
        <v>1760</v>
      </c>
      <c r="D24" s="9" t="s">
        <v>1617</v>
      </c>
      <c r="E24" s="10">
        <f t="shared" si="0"/>
        <v>1701</v>
      </c>
      <c r="F24" s="10">
        <v>1800</v>
      </c>
    </row>
    <row r="25" spans="1:6" s="32" customFormat="1" x14ac:dyDescent="0.15">
      <c r="A25" s="32" t="s">
        <v>2057</v>
      </c>
      <c r="B25" s="32" t="s">
        <v>2011</v>
      </c>
      <c r="C25" s="32" t="s">
        <v>1761</v>
      </c>
      <c r="D25" s="32" t="s">
        <v>1618</v>
      </c>
      <c r="E25" s="11">
        <f t="shared" si="0"/>
        <v>1801</v>
      </c>
      <c r="F25" s="11">
        <v>1900</v>
      </c>
    </row>
    <row r="26" spans="1:6" x14ac:dyDescent="0.15">
      <c r="A26" s="9" t="s">
        <v>2057</v>
      </c>
      <c r="B26" s="9" t="s">
        <v>2011</v>
      </c>
      <c r="C26" s="9" t="s">
        <v>1761</v>
      </c>
      <c r="D26" s="9" t="s">
        <v>1619</v>
      </c>
      <c r="E26" s="10">
        <f t="shared" si="0"/>
        <v>1901</v>
      </c>
      <c r="F26" s="10">
        <v>2050</v>
      </c>
    </row>
    <row r="27" spans="1:6" x14ac:dyDescent="0.15">
      <c r="A27" s="9" t="s">
        <v>2057</v>
      </c>
      <c r="B27" s="9" t="s">
        <v>2011</v>
      </c>
      <c r="C27" s="9" t="s">
        <v>1761</v>
      </c>
      <c r="D27" s="9" t="s">
        <v>1620</v>
      </c>
      <c r="E27" s="10">
        <f t="shared" si="0"/>
        <v>2051</v>
      </c>
      <c r="F27" s="10">
        <v>2200</v>
      </c>
    </row>
    <row r="28" spans="1:6" s="32" customFormat="1" x14ac:dyDescent="0.15">
      <c r="A28" s="32" t="s">
        <v>2057</v>
      </c>
      <c r="B28" s="32" t="s">
        <v>2012</v>
      </c>
      <c r="C28" s="32" t="s">
        <v>1761</v>
      </c>
      <c r="D28" s="32" t="s">
        <v>1621</v>
      </c>
      <c r="E28" s="11">
        <f t="shared" si="0"/>
        <v>2201</v>
      </c>
      <c r="F28" s="11">
        <v>2300</v>
      </c>
    </row>
    <row r="29" spans="1:6" x14ac:dyDescent="0.15">
      <c r="A29" s="9" t="s">
        <v>2057</v>
      </c>
      <c r="B29" s="9" t="s">
        <v>2012</v>
      </c>
      <c r="C29" s="9" t="s">
        <v>1761</v>
      </c>
      <c r="D29" s="9" t="s">
        <v>1622</v>
      </c>
      <c r="E29" s="10">
        <f t="shared" si="0"/>
        <v>2301</v>
      </c>
      <c r="F29" s="10">
        <v>2400</v>
      </c>
    </row>
    <row r="30" spans="1:6" x14ac:dyDescent="0.15">
      <c r="A30" s="9" t="s">
        <v>2057</v>
      </c>
      <c r="B30" s="9" t="s">
        <v>2012</v>
      </c>
      <c r="C30" s="9" t="s">
        <v>1761</v>
      </c>
      <c r="D30" s="9" t="s">
        <v>1623</v>
      </c>
      <c r="E30" s="10">
        <f t="shared" si="0"/>
        <v>2401</v>
      </c>
      <c r="F30" s="10">
        <v>2500</v>
      </c>
    </row>
    <row r="31" spans="1:6" x14ac:dyDescent="0.15">
      <c r="A31" s="9" t="s">
        <v>2057</v>
      </c>
      <c r="B31" s="9" t="s">
        <v>2012</v>
      </c>
      <c r="C31" s="9" t="s">
        <v>1761</v>
      </c>
      <c r="D31" s="9" t="s">
        <v>521</v>
      </c>
      <c r="E31" s="10">
        <f t="shared" si="0"/>
        <v>2501</v>
      </c>
      <c r="F31" s="10">
        <v>2600</v>
      </c>
    </row>
    <row r="32" spans="1:6" s="32" customFormat="1" x14ac:dyDescent="0.15">
      <c r="A32" s="32" t="s">
        <v>2057</v>
      </c>
      <c r="B32" s="32" t="s">
        <v>1886</v>
      </c>
      <c r="C32" s="32" t="s">
        <v>1761</v>
      </c>
      <c r="D32" s="32" t="s">
        <v>1397</v>
      </c>
      <c r="E32" s="11">
        <f t="shared" si="0"/>
        <v>2601</v>
      </c>
      <c r="F32" s="11">
        <v>2650</v>
      </c>
    </row>
    <row r="33" spans="1:6" x14ac:dyDescent="0.15">
      <c r="A33" s="9" t="s">
        <v>2057</v>
      </c>
      <c r="B33" s="9" t="s">
        <v>1886</v>
      </c>
      <c r="C33" s="9" t="s">
        <v>1761</v>
      </c>
      <c r="D33" s="9" t="s">
        <v>1624</v>
      </c>
      <c r="E33" s="10">
        <f t="shared" si="0"/>
        <v>2651</v>
      </c>
      <c r="F33" s="10">
        <v>2700</v>
      </c>
    </row>
    <row r="34" spans="1:6" x14ac:dyDescent="0.15">
      <c r="A34" s="9" t="s">
        <v>2057</v>
      </c>
      <c r="B34" s="9" t="s">
        <v>1886</v>
      </c>
      <c r="C34" s="9" t="s">
        <v>1761</v>
      </c>
      <c r="D34" s="9" t="s">
        <v>1625</v>
      </c>
      <c r="E34" s="10">
        <f t="shared" si="0"/>
        <v>2701</v>
      </c>
      <c r="F34" s="10">
        <v>2750</v>
      </c>
    </row>
    <row r="35" spans="1:6" x14ac:dyDescent="0.15">
      <c r="A35" s="9" t="s">
        <v>2057</v>
      </c>
      <c r="B35" s="9" t="s">
        <v>1886</v>
      </c>
      <c r="C35" s="9" t="s">
        <v>1761</v>
      </c>
      <c r="D35" s="9" t="s">
        <v>1626</v>
      </c>
      <c r="E35" s="10">
        <f t="shared" si="0"/>
        <v>2751</v>
      </c>
      <c r="F35" s="10">
        <v>2800</v>
      </c>
    </row>
    <row r="36" spans="1:6" s="32" customFormat="1" x14ac:dyDescent="0.15">
      <c r="A36" s="32" t="s">
        <v>2057</v>
      </c>
      <c r="B36" s="32" t="s">
        <v>1762</v>
      </c>
      <c r="C36" s="32" t="s">
        <v>1762</v>
      </c>
      <c r="D36" s="32" t="s">
        <v>1627</v>
      </c>
      <c r="E36" s="11">
        <f t="shared" si="0"/>
        <v>2801</v>
      </c>
      <c r="F36" s="11">
        <v>2850</v>
      </c>
    </row>
    <row r="37" spans="1:6" x14ac:dyDescent="0.15">
      <c r="A37" s="9" t="s">
        <v>2057</v>
      </c>
      <c r="B37" s="9" t="s">
        <v>1762</v>
      </c>
      <c r="C37" s="9" t="s">
        <v>1762</v>
      </c>
      <c r="D37" s="9" t="s">
        <v>1628</v>
      </c>
      <c r="E37" s="10">
        <f t="shared" si="0"/>
        <v>2851</v>
      </c>
      <c r="F37" s="10">
        <v>2950</v>
      </c>
    </row>
    <row r="38" spans="1:6" x14ac:dyDescent="0.15">
      <c r="A38" s="9" t="s">
        <v>2057</v>
      </c>
      <c r="B38" s="9" t="s">
        <v>1762</v>
      </c>
      <c r="C38" s="9" t="s">
        <v>1762</v>
      </c>
      <c r="D38" s="9" t="s">
        <v>1629</v>
      </c>
      <c r="E38" s="10">
        <f t="shared" si="0"/>
        <v>2951</v>
      </c>
      <c r="F38" s="10">
        <v>3100</v>
      </c>
    </row>
    <row r="39" spans="1:6" s="32" customFormat="1" x14ac:dyDescent="0.15">
      <c r="A39" s="32" t="s">
        <v>2057</v>
      </c>
      <c r="B39" s="32" t="s">
        <v>1855</v>
      </c>
      <c r="C39" s="32" t="s">
        <v>1855</v>
      </c>
      <c r="D39" s="32" t="s">
        <v>1630</v>
      </c>
      <c r="E39" s="11">
        <f t="shared" si="0"/>
        <v>3101</v>
      </c>
      <c r="F39" s="11">
        <v>3200</v>
      </c>
    </row>
    <row r="40" spans="1:6" x14ac:dyDescent="0.15">
      <c r="A40" s="9" t="s">
        <v>2057</v>
      </c>
      <c r="B40" s="9" t="s">
        <v>1855</v>
      </c>
      <c r="C40" s="9" t="s">
        <v>1855</v>
      </c>
      <c r="D40" s="9" t="s">
        <v>1631</v>
      </c>
      <c r="E40" s="10">
        <f t="shared" si="0"/>
        <v>3201</v>
      </c>
      <c r="F40" s="10">
        <v>3300</v>
      </c>
    </row>
    <row r="41" spans="1:6" x14ac:dyDescent="0.15">
      <c r="A41" s="9" t="s">
        <v>2057</v>
      </c>
      <c r="B41" s="9" t="s">
        <v>1855</v>
      </c>
      <c r="C41" s="9" t="s">
        <v>1855</v>
      </c>
      <c r="D41" s="9" t="s">
        <v>1632</v>
      </c>
      <c r="E41" s="10">
        <f t="shared" si="0"/>
        <v>3301</v>
      </c>
      <c r="F41" s="10">
        <v>3400</v>
      </c>
    </row>
  </sheetData>
  <pageMargins left="0.7" right="0.7" top="0.75" bottom="0.75" header="0.3" footer="0.3"/>
  <ignoredErrors>
    <ignoredError sqref="E42" formula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3807-9BB3-4782-B0B4-4A45DAC3E38D}">
  <dimension ref="A1:K44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1.85546875" style="9" bestFit="1" customWidth="1"/>
    <col min="3" max="3" width="11.85546875" style="9" bestFit="1" customWidth="1"/>
    <col min="4" max="4" width="5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2064</v>
      </c>
      <c r="B2" s="32" t="s">
        <v>2065</v>
      </c>
      <c r="C2" s="32" t="s">
        <v>1759</v>
      </c>
      <c r="D2" s="32" t="s">
        <v>1634</v>
      </c>
      <c r="E2" s="11">
        <v>0</v>
      </c>
      <c r="F2" s="11">
        <v>50</v>
      </c>
    </row>
    <row r="3" spans="1:11" x14ac:dyDescent="0.15">
      <c r="A3" s="9" t="s">
        <v>2064</v>
      </c>
      <c r="B3" s="9" t="s">
        <v>2065</v>
      </c>
      <c r="C3" s="9" t="s">
        <v>1759</v>
      </c>
      <c r="D3" s="9" t="s">
        <v>1579</v>
      </c>
      <c r="E3" s="10">
        <f>F2+1</f>
        <v>51</v>
      </c>
      <c r="F3" s="10">
        <v>100</v>
      </c>
    </row>
    <row r="4" spans="1:11" x14ac:dyDescent="0.15">
      <c r="A4" s="9" t="s">
        <v>2064</v>
      </c>
      <c r="B4" s="9" t="s">
        <v>2065</v>
      </c>
      <c r="C4" s="9" t="s">
        <v>1759</v>
      </c>
      <c r="D4" s="9" t="s">
        <v>1635</v>
      </c>
      <c r="E4" s="10">
        <f t="shared" ref="E4:E44" si="0">F3+1</f>
        <v>101</v>
      </c>
      <c r="F4" s="10">
        <v>150</v>
      </c>
    </row>
    <row r="5" spans="1:11" x14ac:dyDescent="0.15">
      <c r="A5" s="9" t="s">
        <v>2064</v>
      </c>
      <c r="B5" s="9" t="s">
        <v>2065</v>
      </c>
      <c r="C5" s="9" t="s">
        <v>1759</v>
      </c>
      <c r="D5" s="9" t="s">
        <v>1162</v>
      </c>
      <c r="E5" s="10">
        <f t="shared" si="0"/>
        <v>151</v>
      </c>
      <c r="F5" s="10">
        <v>200</v>
      </c>
    </row>
    <row r="6" spans="1:11" s="32" customFormat="1" x14ac:dyDescent="0.15">
      <c r="A6" s="32" t="s">
        <v>2064</v>
      </c>
      <c r="B6" s="32" t="s">
        <v>1861</v>
      </c>
      <c r="C6" s="32" t="s">
        <v>1760</v>
      </c>
      <c r="D6" s="32" t="s">
        <v>535</v>
      </c>
      <c r="E6" s="11">
        <f t="shared" si="0"/>
        <v>201</v>
      </c>
      <c r="F6" s="11">
        <v>250</v>
      </c>
    </row>
    <row r="7" spans="1:11" x14ac:dyDescent="0.15">
      <c r="A7" s="9" t="s">
        <v>2064</v>
      </c>
      <c r="B7" s="9" t="s">
        <v>1861</v>
      </c>
      <c r="C7" s="9" t="s">
        <v>1760</v>
      </c>
      <c r="D7" s="9" t="s">
        <v>1583</v>
      </c>
      <c r="E7" s="10">
        <f t="shared" si="0"/>
        <v>251</v>
      </c>
      <c r="F7" s="10">
        <v>300</v>
      </c>
    </row>
    <row r="8" spans="1:11" x14ac:dyDescent="0.15">
      <c r="A8" s="9" t="s">
        <v>2064</v>
      </c>
      <c r="B8" s="9" t="s">
        <v>1861</v>
      </c>
      <c r="C8" s="9" t="s">
        <v>1760</v>
      </c>
      <c r="D8" s="9" t="s">
        <v>1636</v>
      </c>
      <c r="E8" s="10">
        <f t="shared" si="0"/>
        <v>301</v>
      </c>
      <c r="F8" s="10">
        <v>350</v>
      </c>
    </row>
    <row r="9" spans="1:11" x14ac:dyDescent="0.15">
      <c r="A9" s="9" t="s">
        <v>2064</v>
      </c>
      <c r="B9" s="9" t="s">
        <v>1861</v>
      </c>
      <c r="C9" s="9" t="s">
        <v>1760</v>
      </c>
      <c r="D9" s="9" t="s">
        <v>867</v>
      </c>
      <c r="E9" s="10">
        <f t="shared" si="0"/>
        <v>351</v>
      </c>
      <c r="F9" s="10">
        <v>450</v>
      </c>
    </row>
    <row r="10" spans="1:11" x14ac:dyDescent="0.15">
      <c r="A10" s="9" t="s">
        <v>2064</v>
      </c>
      <c r="B10" s="9" t="s">
        <v>1861</v>
      </c>
      <c r="C10" s="9" t="s">
        <v>1760</v>
      </c>
      <c r="D10" s="9" t="s">
        <v>1637</v>
      </c>
      <c r="E10" s="10">
        <f t="shared" si="0"/>
        <v>451</v>
      </c>
      <c r="F10" s="10">
        <v>600</v>
      </c>
    </row>
    <row r="11" spans="1:11" s="32" customFormat="1" x14ac:dyDescent="0.15">
      <c r="A11" s="32" t="s">
        <v>2064</v>
      </c>
      <c r="B11" s="32" t="s">
        <v>1849</v>
      </c>
      <c r="C11" s="32" t="s">
        <v>1760</v>
      </c>
      <c r="D11" s="32" t="s">
        <v>1289</v>
      </c>
      <c r="E11" s="11">
        <f t="shared" si="0"/>
        <v>601</v>
      </c>
      <c r="F11" s="11">
        <v>700</v>
      </c>
    </row>
    <row r="12" spans="1:11" x14ac:dyDescent="0.15">
      <c r="A12" s="9" t="s">
        <v>2064</v>
      </c>
      <c r="B12" s="9" t="s">
        <v>1849</v>
      </c>
      <c r="C12" s="9" t="s">
        <v>1760</v>
      </c>
      <c r="D12" s="9" t="s">
        <v>1483</v>
      </c>
      <c r="E12" s="10">
        <f t="shared" si="0"/>
        <v>701</v>
      </c>
      <c r="F12" s="10">
        <v>800</v>
      </c>
    </row>
    <row r="13" spans="1:11" x14ac:dyDescent="0.15">
      <c r="A13" s="9" t="s">
        <v>2064</v>
      </c>
      <c r="B13" s="9" t="s">
        <v>1849</v>
      </c>
      <c r="C13" s="9" t="s">
        <v>1760</v>
      </c>
      <c r="D13" s="9" t="s">
        <v>1638</v>
      </c>
      <c r="E13" s="10">
        <f t="shared" si="0"/>
        <v>801</v>
      </c>
      <c r="F13" s="10">
        <v>900</v>
      </c>
    </row>
    <row r="14" spans="1:11" x14ac:dyDescent="0.15">
      <c r="A14" s="9" t="s">
        <v>2064</v>
      </c>
      <c r="B14" s="9" t="s">
        <v>1849</v>
      </c>
      <c r="C14" s="9" t="s">
        <v>1760</v>
      </c>
      <c r="D14" s="9" t="s">
        <v>1639</v>
      </c>
      <c r="E14" s="10">
        <f t="shared" si="0"/>
        <v>901</v>
      </c>
      <c r="F14" s="10">
        <v>1100</v>
      </c>
    </row>
    <row r="15" spans="1:11" s="32" customFormat="1" x14ac:dyDescent="0.15">
      <c r="A15" s="32" t="s">
        <v>2064</v>
      </c>
      <c r="B15" s="32" t="s">
        <v>1850</v>
      </c>
      <c r="C15" s="32" t="s">
        <v>1760</v>
      </c>
      <c r="D15" s="32" t="s">
        <v>1611</v>
      </c>
      <c r="E15" s="11">
        <f t="shared" si="0"/>
        <v>1101</v>
      </c>
      <c r="F15" s="11">
        <v>1200</v>
      </c>
    </row>
    <row r="16" spans="1:11" x14ac:dyDescent="0.15">
      <c r="A16" s="9" t="s">
        <v>2064</v>
      </c>
      <c r="B16" s="9" t="s">
        <v>1850</v>
      </c>
      <c r="C16" s="9" t="s">
        <v>1760</v>
      </c>
      <c r="D16" s="9" t="s">
        <v>1640</v>
      </c>
      <c r="E16" s="10">
        <f t="shared" si="0"/>
        <v>1201</v>
      </c>
      <c r="F16" s="10">
        <v>1300</v>
      </c>
    </row>
    <row r="17" spans="1:6" x14ac:dyDescent="0.15">
      <c r="A17" s="9" t="s">
        <v>2064</v>
      </c>
      <c r="B17" s="9" t="s">
        <v>1850</v>
      </c>
      <c r="C17" s="9" t="s">
        <v>1760</v>
      </c>
      <c r="D17" s="9" t="s">
        <v>1641</v>
      </c>
      <c r="E17" s="10">
        <f t="shared" si="0"/>
        <v>1301</v>
      </c>
      <c r="F17" s="10">
        <v>1400</v>
      </c>
    </row>
    <row r="18" spans="1:6" x14ac:dyDescent="0.15">
      <c r="A18" s="9" t="s">
        <v>2064</v>
      </c>
      <c r="B18" s="9" t="s">
        <v>1850</v>
      </c>
      <c r="C18" s="9" t="s">
        <v>1760</v>
      </c>
      <c r="D18" s="9" t="s">
        <v>1615</v>
      </c>
      <c r="E18" s="10">
        <f t="shared" si="0"/>
        <v>1401</v>
      </c>
      <c r="F18" s="10">
        <v>1600</v>
      </c>
    </row>
    <row r="19" spans="1:6" s="32" customFormat="1" x14ac:dyDescent="0.15">
      <c r="A19" s="32" t="s">
        <v>2064</v>
      </c>
      <c r="B19" s="32" t="s">
        <v>1997</v>
      </c>
      <c r="C19" s="32" t="s">
        <v>1761</v>
      </c>
      <c r="D19" s="32" t="s">
        <v>1642</v>
      </c>
      <c r="E19" s="11">
        <f t="shared" si="0"/>
        <v>1601</v>
      </c>
      <c r="F19" s="11">
        <v>1700</v>
      </c>
    </row>
    <row r="20" spans="1:6" x14ac:dyDescent="0.15">
      <c r="A20" s="9" t="s">
        <v>2064</v>
      </c>
      <c r="B20" s="9" t="s">
        <v>1997</v>
      </c>
      <c r="C20" s="9" t="s">
        <v>1761</v>
      </c>
      <c r="D20" s="9" t="s">
        <v>1643</v>
      </c>
      <c r="E20" s="10">
        <f t="shared" si="0"/>
        <v>1701</v>
      </c>
      <c r="F20" s="10">
        <v>1800</v>
      </c>
    </row>
    <row r="21" spans="1:6" x14ac:dyDescent="0.15">
      <c r="A21" s="9" t="s">
        <v>2064</v>
      </c>
      <c r="B21" s="9" t="s">
        <v>1997</v>
      </c>
      <c r="C21" s="9" t="s">
        <v>1761</v>
      </c>
      <c r="D21" s="9" t="s">
        <v>1644</v>
      </c>
      <c r="E21" s="10">
        <f t="shared" si="0"/>
        <v>1801</v>
      </c>
      <c r="F21" s="10">
        <v>1850</v>
      </c>
    </row>
    <row r="22" spans="1:6" x14ac:dyDescent="0.15">
      <c r="A22" s="9" t="s">
        <v>2064</v>
      </c>
      <c r="B22" s="9" t="s">
        <v>1997</v>
      </c>
      <c r="C22" s="9" t="s">
        <v>1761</v>
      </c>
      <c r="D22" s="9" t="s">
        <v>1645</v>
      </c>
      <c r="E22" s="10">
        <f t="shared" si="0"/>
        <v>1851</v>
      </c>
      <c r="F22" s="10">
        <v>1950</v>
      </c>
    </row>
    <row r="23" spans="1:6" x14ac:dyDescent="0.15">
      <c r="A23" s="9" t="s">
        <v>2064</v>
      </c>
      <c r="B23" s="9" t="s">
        <v>1997</v>
      </c>
      <c r="C23" s="9" t="s">
        <v>1761</v>
      </c>
      <c r="D23" s="9" t="s">
        <v>1646</v>
      </c>
      <c r="E23" s="10">
        <f t="shared" si="0"/>
        <v>1951</v>
      </c>
      <c r="F23" s="10">
        <v>2050</v>
      </c>
    </row>
    <row r="24" spans="1:6" x14ac:dyDescent="0.15">
      <c r="A24" s="9" t="s">
        <v>2064</v>
      </c>
      <c r="B24" s="9" t="s">
        <v>1997</v>
      </c>
      <c r="C24" s="9" t="s">
        <v>1761</v>
      </c>
      <c r="D24" s="9" t="s">
        <v>1647</v>
      </c>
      <c r="E24" s="10">
        <f t="shared" si="0"/>
        <v>2051</v>
      </c>
      <c r="F24" s="10">
        <v>2200</v>
      </c>
    </row>
    <row r="25" spans="1:6" x14ac:dyDescent="0.15">
      <c r="A25" s="9" t="s">
        <v>2064</v>
      </c>
      <c r="B25" s="9" t="s">
        <v>1859</v>
      </c>
      <c r="C25" s="9" t="s">
        <v>1761</v>
      </c>
      <c r="D25" s="32" t="s">
        <v>428</v>
      </c>
      <c r="E25" s="11">
        <f t="shared" si="0"/>
        <v>2201</v>
      </c>
      <c r="F25" s="11">
        <v>2600</v>
      </c>
    </row>
    <row r="26" spans="1:6" x14ac:dyDescent="0.15">
      <c r="A26" s="9" t="s">
        <v>2064</v>
      </c>
      <c r="B26" s="9" t="s">
        <v>1859</v>
      </c>
      <c r="C26" s="9" t="s">
        <v>1761</v>
      </c>
      <c r="D26" s="9" t="s">
        <v>1621</v>
      </c>
      <c r="E26" s="10">
        <f t="shared" si="0"/>
        <v>2601</v>
      </c>
      <c r="F26" s="10">
        <v>2250</v>
      </c>
    </row>
    <row r="27" spans="1:6" x14ac:dyDescent="0.15">
      <c r="A27" s="9" t="s">
        <v>2064</v>
      </c>
      <c r="B27" s="9" t="s">
        <v>1859</v>
      </c>
      <c r="C27" s="9" t="s">
        <v>1761</v>
      </c>
      <c r="D27" s="9" t="s">
        <v>1622</v>
      </c>
      <c r="E27" s="10">
        <f t="shared" si="0"/>
        <v>2251</v>
      </c>
      <c r="F27" s="10">
        <v>2300</v>
      </c>
    </row>
    <row r="28" spans="1:6" x14ac:dyDescent="0.15">
      <c r="A28" s="9" t="s">
        <v>2064</v>
      </c>
      <c r="B28" s="9" t="s">
        <v>1859</v>
      </c>
      <c r="C28" s="9" t="s">
        <v>1761</v>
      </c>
      <c r="D28" s="9" t="s">
        <v>1648</v>
      </c>
      <c r="E28" s="10">
        <f t="shared" si="0"/>
        <v>2301</v>
      </c>
      <c r="F28" s="10">
        <v>2400</v>
      </c>
    </row>
    <row r="29" spans="1:6" x14ac:dyDescent="0.15">
      <c r="A29" s="9" t="s">
        <v>2064</v>
      </c>
      <c r="B29" s="9" t="s">
        <v>1859</v>
      </c>
      <c r="C29" s="9" t="s">
        <v>1761</v>
      </c>
      <c r="D29" s="9" t="s">
        <v>1649</v>
      </c>
      <c r="E29" s="10">
        <f t="shared" si="0"/>
        <v>2401</v>
      </c>
      <c r="F29" s="10">
        <v>2500</v>
      </c>
    </row>
    <row r="30" spans="1:6" x14ac:dyDescent="0.15">
      <c r="A30" s="9" t="s">
        <v>2064</v>
      </c>
      <c r="B30" s="9" t="s">
        <v>1859</v>
      </c>
      <c r="C30" s="9" t="s">
        <v>1761</v>
      </c>
      <c r="D30" s="9" t="s">
        <v>521</v>
      </c>
      <c r="E30" s="10">
        <f t="shared" si="0"/>
        <v>2501</v>
      </c>
      <c r="F30" s="10">
        <v>2600</v>
      </c>
    </row>
    <row r="31" spans="1:6" s="32" customFormat="1" x14ac:dyDescent="0.15">
      <c r="A31" s="32" t="s">
        <v>2064</v>
      </c>
      <c r="B31" s="32" t="s">
        <v>1886</v>
      </c>
      <c r="C31" s="32" t="s">
        <v>1761</v>
      </c>
      <c r="D31" s="32" t="s">
        <v>1650</v>
      </c>
      <c r="E31" s="11">
        <f t="shared" si="0"/>
        <v>2601</v>
      </c>
      <c r="F31" s="11">
        <v>2650</v>
      </c>
    </row>
    <row r="32" spans="1:6" x14ac:dyDescent="0.15">
      <c r="A32" s="9" t="s">
        <v>2064</v>
      </c>
      <c r="B32" s="9" t="s">
        <v>1886</v>
      </c>
      <c r="C32" s="9" t="s">
        <v>1761</v>
      </c>
      <c r="D32" s="9" t="s">
        <v>1624</v>
      </c>
      <c r="E32" s="10">
        <f t="shared" si="0"/>
        <v>2651</v>
      </c>
      <c r="F32" s="10">
        <v>2700</v>
      </c>
    </row>
    <row r="33" spans="1:6" x14ac:dyDescent="0.15">
      <c r="A33" s="9" t="s">
        <v>2064</v>
      </c>
      <c r="B33" s="9" t="s">
        <v>1886</v>
      </c>
      <c r="C33" s="9" t="s">
        <v>1761</v>
      </c>
      <c r="D33" s="9" t="s">
        <v>1651</v>
      </c>
      <c r="E33" s="10">
        <f t="shared" si="0"/>
        <v>2701</v>
      </c>
      <c r="F33" s="10">
        <v>2750</v>
      </c>
    </row>
    <row r="34" spans="1:6" x14ac:dyDescent="0.15">
      <c r="A34" s="9" t="s">
        <v>2064</v>
      </c>
      <c r="B34" s="9" t="s">
        <v>1886</v>
      </c>
      <c r="C34" s="9" t="s">
        <v>1761</v>
      </c>
      <c r="D34" s="9" t="s">
        <v>1652</v>
      </c>
      <c r="E34" s="10">
        <f t="shared" si="0"/>
        <v>2751</v>
      </c>
      <c r="F34" s="10">
        <v>2800</v>
      </c>
    </row>
    <row r="35" spans="1:6" x14ac:dyDescent="0.15">
      <c r="A35" s="9" t="s">
        <v>2064</v>
      </c>
      <c r="B35" s="9" t="s">
        <v>1886</v>
      </c>
      <c r="C35" s="9" t="s">
        <v>1761</v>
      </c>
      <c r="D35" s="9" t="s">
        <v>1626</v>
      </c>
      <c r="E35" s="10">
        <f t="shared" si="0"/>
        <v>2801</v>
      </c>
      <c r="F35" s="10">
        <v>2900</v>
      </c>
    </row>
    <row r="36" spans="1:6" s="32" customFormat="1" x14ac:dyDescent="0.15">
      <c r="A36" s="32" t="s">
        <v>2064</v>
      </c>
      <c r="B36" s="32" t="s">
        <v>1762</v>
      </c>
      <c r="C36" s="32" t="s">
        <v>1762</v>
      </c>
      <c r="D36" s="32" t="s">
        <v>1627</v>
      </c>
      <c r="E36" s="11">
        <f t="shared" si="0"/>
        <v>2901</v>
      </c>
      <c r="F36" s="11">
        <v>2950</v>
      </c>
    </row>
    <row r="37" spans="1:6" x14ac:dyDescent="0.15">
      <c r="A37" s="9" t="s">
        <v>2064</v>
      </c>
      <c r="B37" s="9" t="s">
        <v>1762</v>
      </c>
      <c r="C37" s="9" t="s">
        <v>1762</v>
      </c>
      <c r="D37" s="9" t="s">
        <v>1653</v>
      </c>
      <c r="E37" s="10">
        <f t="shared" si="0"/>
        <v>2951</v>
      </c>
      <c r="F37" s="10">
        <v>3000</v>
      </c>
    </row>
    <row r="38" spans="1:6" x14ac:dyDescent="0.15">
      <c r="A38" s="9" t="s">
        <v>2064</v>
      </c>
      <c r="B38" s="9" t="s">
        <v>1762</v>
      </c>
      <c r="C38" s="9" t="s">
        <v>1762</v>
      </c>
      <c r="D38" s="9" t="s">
        <v>1654</v>
      </c>
      <c r="E38" s="10">
        <f t="shared" si="0"/>
        <v>3001</v>
      </c>
      <c r="F38" s="10">
        <v>3100</v>
      </c>
    </row>
    <row r="39" spans="1:6" x14ac:dyDescent="0.15">
      <c r="A39" s="9" t="s">
        <v>2064</v>
      </c>
      <c r="B39" s="9" t="s">
        <v>1762</v>
      </c>
      <c r="C39" s="9" t="s">
        <v>1762</v>
      </c>
      <c r="D39" s="9" t="s">
        <v>1655</v>
      </c>
      <c r="E39" s="10">
        <f t="shared" si="0"/>
        <v>3101</v>
      </c>
      <c r="F39" s="10">
        <v>3200</v>
      </c>
    </row>
    <row r="40" spans="1:6" x14ac:dyDescent="0.15">
      <c r="A40" s="9" t="s">
        <v>2064</v>
      </c>
      <c r="B40" s="9" t="s">
        <v>1762</v>
      </c>
      <c r="C40" s="9" t="s">
        <v>1762</v>
      </c>
      <c r="D40" s="9" t="s">
        <v>1656</v>
      </c>
      <c r="E40" s="10">
        <f t="shared" si="0"/>
        <v>3201</v>
      </c>
      <c r="F40" s="10">
        <v>3400</v>
      </c>
    </row>
    <row r="41" spans="1:6" s="32" customFormat="1" x14ac:dyDescent="0.15">
      <c r="A41" s="32" t="s">
        <v>2064</v>
      </c>
      <c r="B41" s="32" t="s">
        <v>1855</v>
      </c>
      <c r="C41" s="32" t="s">
        <v>1855</v>
      </c>
      <c r="D41" s="32" t="s">
        <v>1657</v>
      </c>
      <c r="E41" s="11">
        <f t="shared" si="0"/>
        <v>3401</v>
      </c>
      <c r="F41" s="11">
        <v>3500</v>
      </c>
    </row>
    <row r="42" spans="1:6" x14ac:dyDescent="0.15">
      <c r="A42" s="9" t="s">
        <v>2064</v>
      </c>
      <c r="B42" s="9" t="s">
        <v>1855</v>
      </c>
      <c r="C42" s="9" t="s">
        <v>1855</v>
      </c>
      <c r="D42" s="9" t="s">
        <v>1658</v>
      </c>
      <c r="E42" s="10">
        <f t="shared" si="0"/>
        <v>3501</v>
      </c>
      <c r="F42" s="10">
        <v>3550</v>
      </c>
    </row>
    <row r="43" spans="1:6" x14ac:dyDescent="0.15">
      <c r="A43" s="9" t="s">
        <v>2064</v>
      </c>
      <c r="B43" s="9" t="s">
        <v>1855</v>
      </c>
      <c r="C43" s="9" t="s">
        <v>1855</v>
      </c>
      <c r="D43" s="9" t="s">
        <v>1659</v>
      </c>
      <c r="E43" s="10">
        <f t="shared" si="0"/>
        <v>3551</v>
      </c>
      <c r="F43" s="10">
        <v>3600</v>
      </c>
    </row>
    <row r="44" spans="1:6" x14ac:dyDescent="0.15">
      <c r="A44" s="9" t="s">
        <v>2064</v>
      </c>
      <c r="B44" s="9" t="s">
        <v>1855</v>
      </c>
      <c r="C44" s="9" t="s">
        <v>1855</v>
      </c>
      <c r="D44" s="9" t="s">
        <v>1660</v>
      </c>
      <c r="E44" s="10">
        <f t="shared" si="0"/>
        <v>3601</v>
      </c>
      <c r="F44" s="10">
        <v>3800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BA1F-42EE-4189-A54B-A012844C3BBC}">
  <dimension ref="A1:K4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56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2066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10</v>
      </c>
    </row>
    <row r="3" spans="1:11" x14ac:dyDescent="0.15">
      <c r="A3" s="9" t="s">
        <v>2066</v>
      </c>
      <c r="B3" s="9" t="s">
        <v>1759</v>
      </c>
      <c r="C3" s="9" t="s">
        <v>1759</v>
      </c>
      <c r="D3" s="9" t="s">
        <v>374</v>
      </c>
      <c r="E3" s="10">
        <f>F2+1</f>
        <v>11</v>
      </c>
      <c r="F3" s="10">
        <v>30</v>
      </c>
    </row>
    <row r="4" spans="1:11" x14ac:dyDescent="0.15">
      <c r="A4" s="9" t="s">
        <v>2066</v>
      </c>
      <c r="B4" s="9" t="s">
        <v>1759</v>
      </c>
      <c r="C4" s="9" t="s">
        <v>1759</v>
      </c>
      <c r="D4" s="9" t="s">
        <v>375</v>
      </c>
      <c r="E4" s="10">
        <f t="shared" ref="E4:E46" si="0">F3+1</f>
        <v>31</v>
      </c>
      <c r="F4" s="10">
        <v>50</v>
      </c>
    </row>
    <row r="5" spans="1:11" x14ac:dyDescent="0.15">
      <c r="A5" s="9" t="s">
        <v>2066</v>
      </c>
      <c r="B5" s="9" t="s">
        <v>1759</v>
      </c>
      <c r="C5" s="9" t="s">
        <v>1759</v>
      </c>
      <c r="D5" s="9" t="s">
        <v>414</v>
      </c>
      <c r="E5" s="10">
        <f t="shared" si="0"/>
        <v>51</v>
      </c>
      <c r="F5" s="10">
        <v>80</v>
      </c>
    </row>
    <row r="6" spans="1:11" x14ac:dyDescent="0.15">
      <c r="A6" s="9" t="s">
        <v>2066</v>
      </c>
      <c r="B6" s="9" t="s">
        <v>1759</v>
      </c>
      <c r="C6" s="9" t="s">
        <v>1759</v>
      </c>
      <c r="D6" s="9" t="s">
        <v>415</v>
      </c>
      <c r="E6" s="10">
        <f t="shared" si="0"/>
        <v>81</v>
      </c>
      <c r="F6" s="10">
        <v>100</v>
      </c>
    </row>
    <row r="7" spans="1:11" x14ac:dyDescent="0.15">
      <c r="A7" s="9" t="s">
        <v>2066</v>
      </c>
      <c r="B7" s="9" t="s">
        <v>1759</v>
      </c>
      <c r="C7" s="9" t="s">
        <v>1759</v>
      </c>
      <c r="D7" s="9" t="s">
        <v>416</v>
      </c>
      <c r="E7" s="10">
        <f t="shared" si="0"/>
        <v>101</v>
      </c>
      <c r="F7" s="10">
        <v>120</v>
      </c>
    </row>
    <row r="8" spans="1:11" x14ac:dyDescent="0.15">
      <c r="A8" s="9" t="s">
        <v>2066</v>
      </c>
      <c r="B8" s="9" t="s">
        <v>1759</v>
      </c>
      <c r="C8" s="9" t="s">
        <v>1759</v>
      </c>
      <c r="D8" s="9" t="s">
        <v>417</v>
      </c>
      <c r="E8" s="10">
        <f t="shared" si="0"/>
        <v>121</v>
      </c>
      <c r="F8" s="10">
        <v>150</v>
      </c>
    </row>
    <row r="9" spans="1:11" s="32" customFormat="1" x14ac:dyDescent="0.15">
      <c r="A9" s="32" t="s">
        <v>2066</v>
      </c>
      <c r="B9" s="32" t="s">
        <v>1861</v>
      </c>
      <c r="C9" s="32" t="s">
        <v>1760</v>
      </c>
      <c r="D9" s="32" t="s">
        <v>534</v>
      </c>
      <c r="E9" s="11">
        <f t="shared" si="0"/>
        <v>151</v>
      </c>
      <c r="F9" s="11">
        <v>170</v>
      </c>
    </row>
    <row r="10" spans="1:11" x14ac:dyDescent="0.15">
      <c r="A10" s="9" t="s">
        <v>2066</v>
      </c>
      <c r="B10" s="9" t="s">
        <v>1861</v>
      </c>
      <c r="C10" s="9" t="s">
        <v>1760</v>
      </c>
      <c r="D10" s="9" t="s">
        <v>535</v>
      </c>
      <c r="E10" s="10">
        <f t="shared" si="0"/>
        <v>171</v>
      </c>
      <c r="F10" s="10">
        <v>200</v>
      </c>
    </row>
    <row r="11" spans="1:11" x14ac:dyDescent="0.15">
      <c r="A11" s="9" t="s">
        <v>2066</v>
      </c>
      <c r="B11" s="9" t="s">
        <v>1861</v>
      </c>
      <c r="C11" s="9" t="s">
        <v>1760</v>
      </c>
      <c r="D11" s="9" t="s">
        <v>536</v>
      </c>
      <c r="E11" s="10">
        <f t="shared" si="0"/>
        <v>201</v>
      </c>
      <c r="F11" s="10">
        <v>230</v>
      </c>
    </row>
    <row r="12" spans="1:11" x14ac:dyDescent="0.15">
      <c r="A12" s="9" t="s">
        <v>2066</v>
      </c>
      <c r="B12" s="9" t="s">
        <v>1861</v>
      </c>
      <c r="C12" s="9" t="s">
        <v>1760</v>
      </c>
      <c r="D12" s="9" t="s">
        <v>1662</v>
      </c>
      <c r="E12" s="10">
        <f t="shared" si="0"/>
        <v>231</v>
      </c>
      <c r="F12" s="10">
        <v>270</v>
      </c>
    </row>
    <row r="13" spans="1:11" x14ac:dyDescent="0.15">
      <c r="A13" s="9" t="s">
        <v>2066</v>
      </c>
      <c r="B13" s="9" t="s">
        <v>1861</v>
      </c>
      <c r="C13" s="9" t="s">
        <v>1760</v>
      </c>
      <c r="D13" s="9" t="s">
        <v>538</v>
      </c>
      <c r="E13" s="10">
        <f t="shared" si="0"/>
        <v>271</v>
      </c>
      <c r="F13" s="10">
        <v>400</v>
      </c>
    </row>
    <row r="14" spans="1:11" s="32" customFormat="1" x14ac:dyDescent="0.15">
      <c r="A14" s="32" t="s">
        <v>2066</v>
      </c>
      <c r="B14" s="32" t="s">
        <v>1849</v>
      </c>
      <c r="C14" s="32" t="s">
        <v>1760</v>
      </c>
      <c r="D14" s="32" t="s">
        <v>539</v>
      </c>
      <c r="E14" s="11">
        <f t="shared" si="0"/>
        <v>401</v>
      </c>
      <c r="F14" s="11">
        <v>430</v>
      </c>
    </row>
    <row r="15" spans="1:11" x14ac:dyDescent="0.15">
      <c r="A15" s="9" t="s">
        <v>2066</v>
      </c>
      <c r="B15" s="9" t="s">
        <v>1849</v>
      </c>
      <c r="C15" s="9" t="s">
        <v>1760</v>
      </c>
      <c r="D15" s="9" t="s">
        <v>540</v>
      </c>
      <c r="E15" s="10">
        <f t="shared" si="0"/>
        <v>431</v>
      </c>
      <c r="F15" s="10">
        <v>500</v>
      </c>
    </row>
    <row r="16" spans="1:11" x14ac:dyDescent="0.15">
      <c r="A16" s="9" t="s">
        <v>2066</v>
      </c>
      <c r="B16" s="9" t="s">
        <v>1849</v>
      </c>
      <c r="C16" s="9" t="s">
        <v>1760</v>
      </c>
      <c r="D16" s="9" t="s">
        <v>576</v>
      </c>
      <c r="E16" s="10">
        <f t="shared" si="0"/>
        <v>501</v>
      </c>
      <c r="F16" s="10">
        <v>570</v>
      </c>
    </row>
    <row r="17" spans="1:6" x14ac:dyDescent="0.15">
      <c r="A17" s="9" t="s">
        <v>2066</v>
      </c>
      <c r="B17" s="9" t="s">
        <v>1849</v>
      </c>
      <c r="C17" s="9" t="s">
        <v>1760</v>
      </c>
      <c r="D17" s="9" t="s">
        <v>1663</v>
      </c>
      <c r="E17" s="10">
        <f t="shared" si="0"/>
        <v>571</v>
      </c>
      <c r="F17" s="10">
        <v>670</v>
      </c>
    </row>
    <row r="18" spans="1:6" s="32" customFormat="1" x14ac:dyDescent="0.15">
      <c r="A18" s="32" t="s">
        <v>2066</v>
      </c>
      <c r="B18" s="32" t="s">
        <v>1890</v>
      </c>
      <c r="C18" s="32" t="s">
        <v>1760</v>
      </c>
      <c r="D18" s="32" t="s">
        <v>512</v>
      </c>
      <c r="E18" s="11">
        <f t="shared" si="0"/>
        <v>671</v>
      </c>
      <c r="F18" s="11">
        <v>730</v>
      </c>
    </row>
    <row r="19" spans="1:6" x14ac:dyDescent="0.15">
      <c r="A19" s="9" t="s">
        <v>2066</v>
      </c>
      <c r="B19" s="9" t="s">
        <v>1890</v>
      </c>
      <c r="C19" s="9" t="s">
        <v>1760</v>
      </c>
      <c r="D19" s="9" t="s">
        <v>390</v>
      </c>
      <c r="E19" s="10">
        <f t="shared" si="0"/>
        <v>731</v>
      </c>
      <c r="F19" s="10">
        <v>800</v>
      </c>
    </row>
    <row r="20" spans="1:6" x14ac:dyDescent="0.15">
      <c r="A20" s="9" t="s">
        <v>2066</v>
      </c>
      <c r="B20" s="9" t="s">
        <v>1890</v>
      </c>
      <c r="C20" s="9" t="s">
        <v>1760</v>
      </c>
      <c r="D20" s="9" t="s">
        <v>1664</v>
      </c>
      <c r="E20" s="10">
        <f t="shared" si="0"/>
        <v>801</v>
      </c>
      <c r="F20" s="10">
        <v>870</v>
      </c>
    </row>
    <row r="21" spans="1:6" x14ac:dyDescent="0.15">
      <c r="A21" s="9" t="s">
        <v>2066</v>
      </c>
      <c r="B21" s="9" t="s">
        <v>1890</v>
      </c>
      <c r="C21" s="9" t="s">
        <v>1760</v>
      </c>
      <c r="D21" s="9" t="s">
        <v>1665</v>
      </c>
      <c r="E21" s="10">
        <f t="shared" si="0"/>
        <v>871</v>
      </c>
      <c r="F21" s="10">
        <v>930</v>
      </c>
    </row>
    <row r="22" spans="1:6" x14ac:dyDescent="0.15">
      <c r="A22" s="9" t="s">
        <v>2066</v>
      </c>
      <c r="B22" s="9" t="s">
        <v>1890</v>
      </c>
      <c r="C22" s="9" t="s">
        <v>1760</v>
      </c>
      <c r="D22" s="9" t="s">
        <v>1666</v>
      </c>
      <c r="E22" s="10">
        <f t="shared" si="0"/>
        <v>931</v>
      </c>
      <c r="F22" s="10">
        <v>1000</v>
      </c>
    </row>
    <row r="23" spans="1:6" x14ac:dyDescent="0.15">
      <c r="A23" s="9" t="s">
        <v>2066</v>
      </c>
      <c r="B23" s="9" t="s">
        <v>1890</v>
      </c>
      <c r="C23" s="9" t="s">
        <v>1760</v>
      </c>
      <c r="D23" s="9" t="s">
        <v>394</v>
      </c>
      <c r="E23" s="10">
        <f t="shared" si="0"/>
        <v>1001</v>
      </c>
      <c r="F23" s="10">
        <v>1070</v>
      </c>
    </row>
    <row r="24" spans="1:6" s="32" customFormat="1" x14ac:dyDescent="0.15">
      <c r="A24" s="32" t="s">
        <v>2066</v>
      </c>
      <c r="B24" s="32" t="s">
        <v>1851</v>
      </c>
      <c r="C24" s="32" t="s">
        <v>1760</v>
      </c>
      <c r="D24" s="32" t="s">
        <v>545</v>
      </c>
      <c r="E24" s="11">
        <f t="shared" si="0"/>
        <v>1071</v>
      </c>
      <c r="F24" s="11">
        <v>1100</v>
      </c>
    </row>
    <row r="25" spans="1:6" x14ac:dyDescent="0.15">
      <c r="A25" s="9" t="s">
        <v>2066</v>
      </c>
      <c r="B25" s="9" t="s">
        <v>1851</v>
      </c>
      <c r="C25" s="9" t="s">
        <v>1760</v>
      </c>
      <c r="D25" s="9" t="s">
        <v>546</v>
      </c>
      <c r="E25" s="10">
        <f t="shared" si="0"/>
        <v>1101</v>
      </c>
      <c r="F25" s="10">
        <v>1170</v>
      </c>
    </row>
    <row r="26" spans="1:6" x14ac:dyDescent="0.15">
      <c r="A26" s="9" t="s">
        <v>2066</v>
      </c>
      <c r="B26" s="9" t="s">
        <v>1851</v>
      </c>
      <c r="C26" s="9" t="s">
        <v>1760</v>
      </c>
      <c r="D26" s="9" t="s">
        <v>547</v>
      </c>
      <c r="E26" s="10">
        <f t="shared" si="0"/>
        <v>1171</v>
      </c>
      <c r="F26" s="10">
        <v>1230</v>
      </c>
    </row>
    <row r="27" spans="1:6" x14ac:dyDescent="0.15">
      <c r="A27" s="9" t="s">
        <v>2066</v>
      </c>
      <c r="B27" s="9" t="s">
        <v>1851</v>
      </c>
      <c r="C27" s="9" t="s">
        <v>1760</v>
      </c>
      <c r="D27" s="9" t="s">
        <v>1667</v>
      </c>
      <c r="E27" s="10">
        <f t="shared" si="0"/>
        <v>1231</v>
      </c>
      <c r="F27" s="10">
        <v>1270</v>
      </c>
    </row>
    <row r="28" spans="1:6" x14ac:dyDescent="0.15">
      <c r="A28" s="9" t="s">
        <v>2066</v>
      </c>
      <c r="B28" s="9" t="s">
        <v>1851</v>
      </c>
      <c r="C28" s="9" t="s">
        <v>1760</v>
      </c>
      <c r="D28" s="9" t="s">
        <v>549</v>
      </c>
      <c r="E28" s="10">
        <f t="shared" si="0"/>
        <v>1271</v>
      </c>
      <c r="F28" s="10">
        <v>1300</v>
      </c>
    </row>
    <row r="29" spans="1:6" s="32" customFormat="1" x14ac:dyDescent="0.15">
      <c r="A29" s="32" t="s">
        <v>2066</v>
      </c>
      <c r="B29" s="32" t="s">
        <v>1893</v>
      </c>
      <c r="C29" s="32" t="s">
        <v>1761</v>
      </c>
      <c r="D29" s="32" t="s">
        <v>1668</v>
      </c>
      <c r="E29" s="11">
        <f t="shared" si="0"/>
        <v>1301</v>
      </c>
      <c r="F29" s="11">
        <v>1330</v>
      </c>
    </row>
    <row r="30" spans="1:6" x14ac:dyDescent="0.15">
      <c r="A30" s="9" t="s">
        <v>2066</v>
      </c>
      <c r="B30" s="9" t="s">
        <v>1893</v>
      </c>
      <c r="C30" s="9" t="s">
        <v>1761</v>
      </c>
      <c r="D30" s="9" t="s">
        <v>554</v>
      </c>
      <c r="E30" s="10">
        <f t="shared" si="0"/>
        <v>1331</v>
      </c>
      <c r="F30" s="10">
        <v>1470</v>
      </c>
    </row>
    <row r="31" spans="1:6" x14ac:dyDescent="0.15">
      <c r="A31" s="9" t="s">
        <v>2066</v>
      </c>
      <c r="B31" s="9" t="s">
        <v>1893</v>
      </c>
      <c r="C31" s="9" t="s">
        <v>1761</v>
      </c>
      <c r="D31" s="9" t="s">
        <v>558</v>
      </c>
      <c r="E31" s="10">
        <f t="shared" si="0"/>
        <v>1471</v>
      </c>
      <c r="F31" s="10">
        <v>1600</v>
      </c>
    </row>
    <row r="32" spans="1:6" s="32" customFormat="1" x14ac:dyDescent="0.15">
      <c r="A32" s="32" t="s">
        <v>2066</v>
      </c>
      <c r="B32" s="32" t="s">
        <v>1894</v>
      </c>
      <c r="C32" s="32" t="s">
        <v>1761</v>
      </c>
      <c r="D32" s="32" t="s">
        <v>559</v>
      </c>
      <c r="E32" s="11">
        <f t="shared" si="0"/>
        <v>1601</v>
      </c>
      <c r="F32" s="11">
        <v>1630</v>
      </c>
    </row>
    <row r="33" spans="1:6" x14ac:dyDescent="0.15">
      <c r="A33" s="9" t="s">
        <v>2066</v>
      </c>
      <c r="B33" s="9" t="s">
        <v>1894</v>
      </c>
      <c r="C33" s="9" t="s">
        <v>1761</v>
      </c>
      <c r="D33" s="9" t="s">
        <v>560</v>
      </c>
      <c r="E33" s="10">
        <f t="shared" si="0"/>
        <v>1631</v>
      </c>
      <c r="F33" s="10">
        <v>1670</v>
      </c>
    </row>
    <row r="34" spans="1:6" x14ac:dyDescent="0.15">
      <c r="A34" s="9" t="s">
        <v>2066</v>
      </c>
      <c r="B34" s="9" t="s">
        <v>1894</v>
      </c>
      <c r="C34" s="9" t="s">
        <v>1761</v>
      </c>
      <c r="D34" s="9" t="s">
        <v>561</v>
      </c>
      <c r="E34" s="10">
        <f t="shared" si="0"/>
        <v>1671</v>
      </c>
      <c r="F34" s="10">
        <v>1730</v>
      </c>
    </row>
    <row r="35" spans="1:6" s="32" customFormat="1" x14ac:dyDescent="0.15">
      <c r="A35" s="32" t="s">
        <v>2066</v>
      </c>
      <c r="B35" s="32" t="s">
        <v>1886</v>
      </c>
      <c r="C35" s="32" t="s">
        <v>1761</v>
      </c>
      <c r="D35" s="32" t="s">
        <v>562</v>
      </c>
      <c r="E35" s="11">
        <f t="shared" si="0"/>
        <v>1731</v>
      </c>
      <c r="F35" s="11">
        <v>1800</v>
      </c>
    </row>
    <row r="36" spans="1:6" x14ac:dyDescent="0.15">
      <c r="A36" s="9" t="s">
        <v>2066</v>
      </c>
      <c r="B36" s="9" t="s">
        <v>1886</v>
      </c>
      <c r="C36" s="9" t="s">
        <v>1761</v>
      </c>
      <c r="D36" s="9" t="s">
        <v>563</v>
      </c>
      <c r="E36" s="10">
        <f t="shared" si="0"/>
        <v>1801</v>
      </c>
      <c r="F36" s="10">
        <v>1870</v>
      </c>
    </row>
    <row r="37" spans="1:6" x14ac:dyDescent="0.15">
      <c r="A37" s="9" t="s">
        <v>2066</v>
      </c>
      <c r="B37" s="9" t="s">
        <v>1886</v>
      </c>
      <c r="C37" s="9" t="s">
        <v>1761</v>
      </c>
      <c r="D37" s="9" t="s">
        <v>564</v>
      </c>
      <c r="E37" s="10">
        <f t="shared" si="0"/>
        <v>1871</v>
      </c>
      <c r="F37" s="10">
        <v>1930</v>
      </c>
    </row>
    <row r="38" spans="1:6" x14ac:dyDescent="0.15">
      <c r="A38" s="9" t="s">
        <v>2066</v>
      </c>
      <c r="B38" s="9" t="s">
        <v>1886</v>
      </c>
      <c r="C38" s="9" t="s">
        <v>1761</v>
      </c>
      <c r="D38" s="9" t="s">
        <v>565</v>
      </c>
      <c r="E38" s="10">
        <f t="shared" si="0"/>
        <v>1931</v>
      </c>
      <c r="F38" s="10">
        <v>2000</v>
      </c>
    </row>
    <row r="39" spans="1:6" s="32" customFormat="1" x14ac:dyDescent="0.15">
      <c r="A39" s="32" t="s">
        <v>2066</v>
      </c>
      <c r="B39" s="32" t="s">
        <v>1762</v>
      </c>
      <c r="C39" s="32" t="s">
        <v>1762</v>
      </c>
      <c r="D39" s="32" t="s">
        <v>593</v>
      </c>
      <c r="E39" s="11">
        <f t="shared" si="0"/>
        <v>2001</v>
      </c>
      <c r="F39" s="11">
        <v>2070</v>
      </c>
    </row>
    <row r="40" spans="1:6" x14ac:dyDescent="0.15">
      <c r="A40" s="9" t="s">
        <v>2066</v>
      </c>
      <c r="B40" s="9" t="s">
        <v>1762</v>
      </c>
      <c r="C40" s="9" t="s">
        <v>1762</v>
      </c>
      <c r="D40" s="9" t="s">
        <v>594</v>
      </c>
      <c r="E40" s="10">
        <f t="shared" si="0"/>
        <v>2071</v>
      </c>
      <c r="F40" s="10">
        <v>2130</v>
      </c>
    </row>
    <row r="41" spans="1:6" x14ac:dyDescent="0.15">
      <c r="A41" s="9" t="s">
        <v>2066</v>
      </c>
      <c r="B41" s="9" t="s">
        <v>1762</v>
      </c>
      <c r="C41" s="9" t="s">
        <v>1762</v>
      </c>
      <c r="D41" s="9" t="s">
        <v>569</v>
      </c>
      <c r="E41" s="10">
        <f t="shared" si="0"/>
        <v>2131</v>
      </c>
      <c r="F41" s="10">
        <v>2200</v>
      </c>
    </row>
    <row r="42" spans="1:6" x14ac:dyDescent="0.15">
      <c r="A42" s="9" t="s">
        <v>2066</v>
      </c>
      <c r="B42" s="9" t="s">
        <v>1762</v>
      </c>
      <c r="C42" s="9" t="s">
        <v>1762</v>
      </c>
      <c r="D42" s="9" t="s">
        <v>570</v>
      </c>
      <c r="E42" s="10">
        <f t="shared" si="0"/>
        <v>2201</v>
      </c>
      <c r="F42" s="10">
        <v>2330</v>
      </c>
    </row>
    <row r="43" spans="1:6" s="32" customFormat="1" x14ac:dyDescent="0.15">
      <c r="A43" s="32" t="s">
        <v>2066</v>
      </c>
      <c r="B43" s="32" t="s">
        <v>1903</v>
      </c>
      <c r="C43" s="32" t="s">
        <v>1903</v>
      </c>
      <c r="D43" s="32" t="s">
        <v>571</v>
      </c>
      <c r="E43" s="11">
        <f t="shared" si="0"/>
        <v>2331</v>
      </c>
      <c r="F43" s="11">
        <v>2400</v>
      </c>
    </row>
    <row r="44" spans="1:6" x14ac:dyDescent="0.15">
      <c r="A44" s="9" t="s">
        <v>2066</v>
      </c>
      <c r="B44" s="9" t="s">
        <v>1903</v>
      </c>
      <c r="C44" s="9" t="s">
        <v>1903</v>
      </c>
      <c r="D44" s="9" t="s">
        <v>572</v>
      </c>
      <c r="E44" s="10">
        <f t="shared" si="0"/>
        <v>2401</v>
      </c>
      <c r="F44" s="10">
        <v>2470</v>
      </c>
    </row>
    <row r="45" spans="1:6" x14ac:dyDescent="0.15">
      <c r="A45" s="9" t="s">
        <v>2066</v>
      </c>
      <c r="B45" s="9" t="s">
        <v>1903</v>
      </c>
      <c r="C45" s="9" t="s">
        <v>1903</v>
      </c>
      <c r="D45" s="9" t="s">
        <v>573</v>
      </c>
      <c r="E45" s="10">
        <f t="shared" si="0"/>
        <v>2471</v>
      </c>
      <c r="F45" s="10">
        <v>2530</v>
      </c>
    </row>
    <row r="46" spans="1:6" x14ac:dyDescent="0.15">
      <c r="A46" s="9" t="s">
        <v>2066</v>
      </c>
      <c r="B46" s="9" t="s">
        <v>1903</v>
      </c>
      <c r="C46" s="9" t="s">
        <v>1903</v>
      </c>
      <c r="D46" s="9" t="s">
        <v>574</v>
      </c>
      <c r="E46" s="10">
        <f t="shared" si="0"/>
        <v>2531</v>
      </c>
      <c r="F46" s="10">
        <v>2670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5436-3679-4F54-884D-948AC3355B30}">
  <dimension ref="A1:K49"/>
  <sheetViews>
    <sheetView workbookViewId="0">
      <selection sqref="A1:K1"/>
    </sheetView>
  </sheetViews>
  <sheetFormatPr defaultColWidth="11.42578125" defaultRowHeight="10.5" x14ac:dyDescent="0.15"/>
  <cols>
    <col min="1" max="1" width="11.140625" style="9" bestFit="1" customWidth="1"/>
    <col min="2" max="2" width="30.5703125" style="9" bestFit="1" customWidth="1"/>
    <col min="3" max="3" width="11.85546875" style="9" bestFit="1" customWidth="1"/>
    <col min="4" max="4" width="3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1.425781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2067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15</v>
      </c>
    </row>
    <row r="3" spans="1:11" x14ac:dyDescent="0.15">
      <c r="A3" s="9" t="s">
        <v>2067</v>
      </c>
      <c r="B3" s="9" t="s">
        <v>1759</v>
      </c>
      <c r="C3" s="9" t="s">
        <v>1759</v>
      </c>
      <c r="D3" s="9" t="s">
        <v>1336</v>
      </c>
      <c r="E3" s="10">
        <f>F2+1</f>
        <v>16</v>
      </c>
      <c r="F3" s="10">
        <v>40</v>
      </c>
    </row>
    <row r="4" spans="1:11" x14ac:dyDescent="0.15">
      <c r="A4" s="9" t="s">
        <v>2067</v>
      </c>
      <c r="B4" s="9" t="s">
        <v>1759</v>
      </c>
      <c r="C4" s="9" t="s">
        <v>1759</v>
      </c>
      <c r="D4" s="9" t="s">
        <v>1316</v>
      </c>
      <c r="E4" s="10">
        <f t="shared" ref="E4:E49" si="0">F3+1</f>
        <v>41</v>
      </c>
      <c r="F4" s="10">
        <v>60</v>
      </c>
    </row>
    <row r="5" spans="1:11" x14ac:dyDescent="0.15">
      <c r="A5" s="9" t="s">
        <v>2067</v>
      </c>
      <c r="B5" s="9" t="s">
        <v>1759</v>
      </c>
      <c r="C5" s="9" t="s">
        <v>1759</v>
      </c>
      <c r="D5" s="9" t="s">
        <v>1159</v>
      </c>
      <c r="E5" s="10">
        <f t="shared" si="0"/>
        <v>61</v>
      </c>
      <c r="F5" s="10">
        <v>85</v>
      </c>
    </row>
    <row r="6" spans="1:11" x14ac:dyDescent="0.15">
      <c r="A6" s="9" t="s">
        <v>2067</v>
      </c>
      <c r="B6" s="9" t="s">
        <v>1759</v>
      </c>
      <c r="C6" s="9" t="s">
        <v>1759</v>
      </c>
      <c r="D6" s="9" t="s">
        <v>1670</v>
      </c>
      <c r="E6" s="10">
        <f t="shared" si="0"/>
        <v>86</v>
      </c>
      <c r="F6" s="10">
        <v>105</v>
      </c>
    </row>
    <row r="7" spans="1:11" x14ac:dyDescent="0.15">
      <c r="A7" s="9" t="s">
        <v>2067</v>
      </c>
      <c r="B7" s="9" t="s">
        <v>1759</v>
      </c>
      <c r="C7" s="9" t="s">
        <v>1759</v>
      </c>
      <c r="D7" s="9" t="s">
        <v>1671</v>
      </c>
      <c r="E7" s="10">
        <f t="shared" si="0"/>
        <v>106</v>
      </c>
      <c r="F7" s="10">
        <v>120</v>
      </c>
    </row>
    <row r="8" spans="1:11" x14ac:dyDescent="0.15">
      <c r="A8" s="9" t="s">
        <v>2067</v>
      </c>
      <c r="B8" s="9" t="s">
        <v>1759</v>
      </c>
      <c r="C8" s="9" t="s">
        <v>1759</v>
      </c>
      <c r="D8" s="9" t="s">
        <v>1672</v>
      </c>
      <c r="E8" s="10">
        <f t="shared" si="0"/>
        <v>121</v>
      </c>
      <c r="F8" s="10">
        <v>140</v>
      </c>
    </row>
    <row r="9" spans="1:11" s="32" customFormat="1" x14ac:dyDescent="0.15">
      <c r="A9" s="32" t="s">
        <v>2067</v>
      </c>
      <c r="B9" s="32" t="s">
        <v>2056</v>
      </c>
      <c r="C9" s="32" t="s">
        <v>1760</v>
      </c>
      <c r="D9" s="32" t="s">
        <v>534</v>
      </c>
      <c r="E9" s="11">
        <f t="shared" si="0"/>
        <v>141</v>
      </c>
      <c r="F9" s="11">
        <v>170</v>
      </c>
    </row>
    <row r="10" spans="1:11" x14ac:dyDescent="0.15">
      <c r="A10" s="9" t="s">
        <v>2067</v>
      </c>
      <c r="B10" s="9" t="s">
        <v>2056</v>
      </c>
      <c r="C10" s="9" t="s">
        <v>1760</v>
      </c>
      <c r="D10" s="9" t="s">
        <v>535</v>
      </c>
      <c r="E10" s="10">
        <f t="shared" si="0"/>
        <v>171</v>
      </c>
      <c r="F10" s="10">
        <v>200</v>
      </c>
    </row>
    <row r="11" spans="1:11" x14ac:dyDescent="0.15">
      <c r="A11" s="9" t="s">
        <v>2067</v>
      </c>
      <c r="B11" s="9" t="s">
        <v>2056</v>
      </c>
      <c r="C11" s="9" t="s">
        <v>1760</v>
      </c>
      <c r="D11" s="9" t="s">
        <v>1583</v>
      </c>
      <c r="E11" s="10">
        <f t="shared" si="0"/>
        <v>201</v>
      </c>
      <c r="F11" s="10">
        <v>235</v>
      </c>
    </row>
    <row r="12" spans="1:11" x14ac:dyDescent="0.15">
      <c r="A12" s="9" t="s">
        <v>2067</v>
      </c>
      <c r="B12" s="9" t="s">
        <v>2056</v>
      </c>
      <c r="C12" s="9" t="s">
        <v>1760</v>
      </c>
      <c r="D12" s="9" t="s">
        <v>1636</v>
      </c>
      <c r="E12" s="10">
        <f t="shared" si="0"/>
        <v>236</v>
      </c>
      <c r="F12" s="10">
        <v>270</v>
      </c>
    </row>
    <row r="13" spans="1:11" x14ac:dyDescent="0.15">
      <c r="A13" s="9" t="s">
        <v>2067</v>
      </c>
      <c r="B13" s="9" t="s">
        <v>2056</v>
      </c>
      <c r="C13" s="9" t="s">
        <v>1760</v>
      </c>
      <c r="D13" s="9" t="s">
        <v>1673</v>
      </c>
      <c r="E13" s="10">
        <f t="shared" si="0"/>
        <v>271</v>
      </c>
      <c r="F13" s="10">
        <v>320</v>
      </c>
    </row>
    <row r="14" spans="1:11" x14ac:dyDescent="0.15">
      <c r="A14" s="9" t="s">
        <v>2067</v>
      </c>
      <c r="B14" s="9" t="s">
        <v>2056</v>
      </c>
      <c r="C14" s="9" t="s">
        <v>1760</v>
      </c>
      <c r="D14" s="9" t="s">
        <v>1674</v>
      </c>
      <c r="E14" s="10">
        <f t="shared" si="0"/>
        <v>321</v>
      </c>
      <c r="F14" s="10">
        <v>360</v>
      </c>
    </row>
    <row r="15" spans="1:11" s="32" customFormat="1" x14ac:dyDescent="0.15">
      <c r="A15" s="32" t="s">
        <v>2067</v>
      </c>
      <c r="B15" s="32" t="s">
        <v>1849</v>
      </c>
      <c r="C15" s="32" t="s">
        <v>1760</v>
      </c>
      <c r="D15" s="32" t="s">
        <v>385</v>
      </c>
      <c r="E15" s="11">
        <f t="shared" si="0"/>
        <v>361</v>
      </c>
      <c r="F15" s="11">
        <v>380</v>
      </c>
    </row>
    <row r="16" spans="1:11" x14ac:dyDescent="0.15">
      <c r="A16" s="9" t="s">
        <v>2067</v>
      </c>
      <c r="B16" s="9" t="s">
        <v>1849</v>
      </c>
      <c r="C16" s="9" t="s">
        <v>1760</v>
      </c>
      <c r="D16" s="9" t="s">
        <v>1675</v>
      </c>
      <c r="E16" s="10">
        <f t="shared" si="0"/>
        <v>381</v>
      </c>
      <c r="F16" s="10">
        <v>450</v>
      </c>
    </row>
    <row r="17" spans="1:6" x14ac:dyDescent="0.15">
      <c r="A17" s="9" t="s">
        <v>2067</v>
      </c>
      <c r="B17" s="9" t="s">
        <v>1849</v>
      </c>
      <c r="C17" s="9" t="s">
        <v>1760</v>
      </c>
      <c r="D17" s="9" t="s">
        <v>1676</v>
      </c>
      <c r="E17" s="10">
        <f t="shared" si="0"/>
        <v>451</v>
      </c>
      <c r="F17" s="10">
        <v>520</v>
      </c>
    </row>
    <row r="18" spans="1:6" x14ac:dyDescent="0.15">
      <c r="A18" s="9" t="s">
        <v>2067</v>
      </c>
      <c r="B18" s="9" t="s">
        <v>1849</v>
      </c>
      <c r="C18" s="9" t="s">
        <v>1760</v>
      </c>
      <c r="D18" s="9" t="s">
        <v>1677</v>
      </c>
      <c r="E18" s="10">
        <f t="shared" si="0"/>
        <v>521</v>
      </c>
      <c r="F18" s="10">
        <v>590</v>
      </c>
    </row>
    <row r="19" spans="1:6" x14ac:dyDescent="0.15">
      <c r="A19" s="9" t="s">
        <v>2067</v>
      </c>
      <c r="B19" s="9" t="s">
        <v>1849</v>
      </c>
      <c r="C19" s="9" t="s">
        <v>1760</v>
      </c>
      <c r="D19" s="9" t="s">
        <v>1678</v>
      </c>
      <c r="E19" s="10">
        <f t="shared" si="0"/>
        <v>591</v>
      </c>
      <c r="F19" s="10">
        <v>640</v>
      </c>
    </row>
    <row r="20" spans="1:6" s="32" customFormat="1" x14ac:dyDescent="0.15">
      <c r="A20" s="32" t="s">
        <v>2067</v>
      </c>
      <c r="B20" s="32" t="s">
        <v>1890</v>
      </c>
      <c r="C20" s="32" t="s">
        <v>1760</v>
      </c>
      <c r="D20" s="32" t="s">
        <v>1679</v>
      </c>
      <c r="E20" s="11">
        <f t="shared" si="0"/>
        <v>641</v>
      </c>
      <c r="F20" s="11">
        <v>700</v>
      </c>
    </row>
    <row r="21" spans="1:6" x14ac:dyDescent="0.15">
      <c r="A21" s="9" t="s">
        <v>2067</v>
      </c>
      <c r="B21" s="9" t="s">
        <v>1890</v>
      </c>
      <c r="C21" s="9" t="s">
        <v>1760</v>
      </c>
      <c r="D21" s="9" t="s">
        <v>1680</v>
      </c>
      <c r="E21" s="10">
        <f t="shared" si="0"/>
        <v>701</v>
      </c>
      <c r="F21" s="10">
        <v>760</v>
      </c>
    </row>
    <row r="22" spans="1:6" x14ac:dyDescent="0.15">
      <c r="A22" s="9" t="s">
        <v>2067</v>
      </c>
      <c r="B22" s="9" t="s">
        <v>1890</v>
      </c>
      <c r="C22" s="9" t="s">
        <v>1760</v>
      </c>
      <c r="D22" s="9" t="s">
        <v>1681</v>
      </c>
      <c r="E22" s="10">
        <f t="shared" si="0"/>
        <v>761</v>
      </c>
      <c r="F22" s="10">
        <v>820</v>
      </c>
    </row>
    <row r="23" spans="1:6" x14ac:dyDescent="0.15">
      <c r="A23" s="9" t="s">
        <v>2067</v>
      </c>
      <c r="B23" s="9" t="s">
        <v>1890</v>
      </c>
      <c r="C23" s="9" t="s">
        <v>1760</v>
      </c>
      <c r="D23" s="9" t="s">
        <v>1682</v>
      </c>
      <c r="E23" s="10">
        <f t="shared" si="0"/>
        <v>821</v>
      </c>
      <c r="F23" s="10">
        <v>880</v>
      </c>
    </row>
    <row r="24" spans="1:6" x14ac:dyDescent="0.15">
      <c r="A24" s="9" t="s">
        <v>2067</v>
      </c>
      <c r="B24" s="9" t="s">
        <v>1890</v>
      </c>
      <c r="C24" s="9" t="s">
        <v>1760</v>
      </c>
      <c r="D24" s="9" t="s">
        <v>1683</v>
      </c>
      <c r="E24" s="10">
        <f t="shared" si="0"/>
        <v>881</v>
      </c>
      <c r="F24" s="10">
        <v>940</v>
      </c>
    </row>
    <row r="25" spans="1:6" x14ac:dyDescent="0.15">
      <c r="A25" s="9" t="s">
        <v>2067</v>
      </c>
      <c r="B25" s="9" t="s">
        <v>1890</v>
      </c>
      <c r="C25" s="9" t="s">
        <v>1760</v>
      </c>
      <c r="D25" s="9" t="s">
        <v>1684</v>
      </c>
      <c r="E25" s="10">
        <f t="shared" si="0"/>
        <v>941</v>
      </c>
      <c r="F25" s="10">
        <v>1000</v>
      </c>
    </row>
    <row r="26" spans="1:6" s="32" customFormat="1" x14ac:dyDescent="0.15">
      <c r="A26" s="32" t="s">
        <v>2067</v>
      </c>
      <c r="B26" s="32" t="s">
        <v>1851</v>
      </c>
      <c r="C26" s="32" t="s">
        <v>1760</v>
      </c>
      <c r="D26" s="32" t="s">
        <v>1685</v>
      </c>
      <c r="E26" s="11">
        <f t="shared" si="0"/>
        <v>1001</v>
      </c>
      <c r="F26" s="11">
        <v>1050</v>
      </c>
    </row>
    <row r="27" spans="1:6" x14ac:dyDescent="0.15">
      <c r="A27" s="9" t="s">
        <v>2067</v>
      </c>
      <c r="B27" s="9" t="s">
        <v>1851</v>
      </c>
      <c r="C27" s="9" t="s">
        <v>1760</v>
      </c>
      <c r="D27" s="9" t="s">
        <v>1686</v>
      </c>
      <c r="E27" s="10">
        <f t="shared" si="0"/>
        <v>1051</v>
      </c>
      <c r="F27" s="10">
        <v>1100</v>
      </c>
    </row>
    <row r="28" spans="1:6" x14ac:dyDescent="0.15">
      <c r="A28" s="9" t="s">
        <v>2067</v>
      </c>
      <c r="B28" s="9" t="s">
        <v>1851</v>
      </c>
      <c r="C28" s="9" t="s">
        <v>1760</v>
      </c>
      <c r="D28" s="9" t="s">
        <v>1687</v>
      </c>
      <c r="E28" s="10">
        <f t="shared" si="0"/>
        <v>1101</v>
      </c>
      <c r="F28" s="10">
        <v>1140</v>
      </c>
    </row>
    <row r="29" spans="1:6" x14ac:dyDescent="0.15">
      <c r="A29" s="9" t="s">
        <v>2067</v>
      </c>
      <c r="B29" s="9" t="s">
        <v>1851</v>
      </c>
      <c r="C29" s="9" t="s">
        <v>1760</v>
      </c>
      <c r="D29" s="9" t="s">
        <v>1688</v>
      </c>
      <c r="E29" s="10">
        <f t="shared" si="0"/>
        <v>1141</v>
      </c>
      <c r="F29" s="10">
        <v>1170</v>
      </c>
    </row>
    <row r="30" spans="1:6" x14ac:dyDescent="0.15">
      <c r="A30" s="9" t="s">
        <v>2067</v>
      </c>
      <c r="B30" s="9" t="s">
        <v>1851</v>
      </c>
      <c r="C30" s="9" t="s">
        <v>1760</v>
      </c>
      <c r="D30" s="9" t="s">
        <v>1689</v>
      </c>
      <c r="E30" s="10">
        <f t="shared" si="0"/>
        <v>1171</v>
      </c>
      <c r="F30" s="10">
        <v>1190</v>
      </c>
    </row>
    <row r="31" spans="1:6" s="32" customFormat="1" x14ac:dyDescent="0.15">
      <c r="A31" s="32" t="s">
        <v>2067</v>
      </c>
      <c r="B31" s="32" t="s">
        <v>2011</v>
      </c>
      <c r="C31" s="32" t="s">
        <v>1761</v>
      </c>
      <c r="D31" s="32" t="s">
        <v>1690</v>
      </c>
      <c r="E31" s="11">
        <f t="shared" si="0"/>
        <v>1191</v>
      </c>
      <c r="F31" s="11">
        <v>1220</v>
      </c>
    </row>
    <row r="32" spans="1:6" x14ac:dyDescent="0.15">
      <c r="A32" s="9" t="s">
        <v>2067</v>
      </c>
      <c r="B32" s="9" t="s">
        <v>2011</v>
      </c>
      <c r="C32" s="9" t="s">
        <v>1761</v>
      </c>
      <c r="D32" s="9" t="s">
        <v>1691</v>
      </c>
      <c r="E32" s="10">
        <f t="shared" si="0"/>
        <v>1221</v>
      </c>
      <c r="F32" s="10">
        <v>1250</v>
      </c>
    </row>
    <row r="33" spans="1:6" x14ac:dyDescent="0.15">
      <c r="A33" s="9" t="s">
        <v>2067</v>
      </c>
      <c r="B33" s="9" t="s">
        <v>2011</v>
      </c>
      <c r="C33" s="9" t="s">
        <v>1761</v>
      </c>
      <c r="D33" s="9" t="s">
        <v>1692</v>
      </c>
      <c r="E33" s="10">
        <f t="shared" si="0"/>
        <v>1251</v>
      </c>
      <c r="F33" s="10">
        <v>1280</v>
      </c>
    </row>
    <row r="34" spans="1:6" x14ac:dyDescent="0.15">
      <c r="A34" s="9" t="s">
        <v>2067</v>
      </c>
      <c r="B34" s="9" t="s">
        <v>2011</v>
      </c>
      <c r="C34" s="9" t="s">
        <v>1761</v>
      </c>
      <c r="D34" s="9" t="s">
        <v>1693</v>
      </c>
      <c r="E34" s="10">
        <f t="shared" si="0"/>
        <v>1281</v>
      </c>
      <c r="F34" s="10">
        <v>1310</v>
      </c>
    </row>
    <row r="35" spans="1:6" x14ac:dyDescent="0.15">
      <c r="A35" s="9" t="s">
        <v>2067</v>
      </c>
      <c r="B35" s="9" t="s">
        <v>2011</v>
      </c>
      <c r="C35" s="9" t="s">
        <v>1761</v>
      </c>
      <c r="D35" s="9" t="s">
        <v>1694</v>
      </c>
      <c r="E35" s="10">
        <f t="shared" si="0"/>
        <v>1311</v>
      </c>
      <c r="F35" s="10">
        <v>1340</v>
      </c>
    </row>
    <row r="36" spans="1:6" s="32" customFormat="1" x14ac:dyDescent="0.15">
      <c r="A36" s="32" t="s">
        <v>2067</v>
      </c>
      <c r="B36" s="32" t="s">
        <v>2012</v>
      </c>
      <c r="C36" s="32" t="s">
        <v>1761</v>
      </c>
      <c r="D36" s="32" t="s">
        <v>1695</v>
      </c>
      <c r="E36" s="11">
        <f t="shared" si="0"/>
        <v>1341</v>
      </c>
      <c r="F36" s="11">
        <v>1380</v>
      </c>
    </row>
    <row r="37" spans="1:6" x14ac:dyDescent="0.15">
      <c r="A37" s="9" t="s">
        <v>2067</v>
      </c>
      <c r="B37" s="9" t="s">
        <v>2012</v>
      </c>
      <c r="C37" s="9" t="s">
        <v>1761</v>
      </c>
      <c r="D37" s="9" t="s">
        <v>1696</v>
      </c>
      <c r="E37" s="10">
        <f t="shared" si="0"/>
        <v>1381</v>
      </c>
      <c r="F37" s="10">
        <v>1430</v>
      </c>
    </row>
    <row r="38" spans="1:6" x14ac:dyDescent="0.15">
      <c r="A38" s="9" t="s">
        <v>2067</v>
      </c>
      <c r="B38" s="9" t="s">
        <v>2012</v>
      </c>
      <c r="C38" s="9" t="s">
        <v>1761</v>
      </c>
      <c r="D38" s="9" t="s">
        <v>521</v>
      </c>
      <c r="E38" s="10">
        <f t="shared" si="0"/>
        <v>1431</v>
      </c>
      <c r="F38" s="10">
        <v>1470</v>
      </c>
    </row>
    <row r="39" spans="1:6" s="32" customFormat="1" x14ac:dyDescent="0.15">
      <c r="A39" s="32" t="s">
        <v>2067</v>
      </c>
      <c r="B39" s="32" t="s">
        <v>1886</v>
      </c>
      <c r="C39" s="32" t="s">
        <v>1761</v>
      </c>
      <c r="D39" s="32" t="s">
        <v>2068</v>
      </c>
      <c r="E39" s="11">
        <f t="shared" si="0"/>
        <v>1471</v>
      </c>
      <c r="F39" s="11">
        <v>1520</v>
      </c>
    </row>
    <row r="40" spans="1:6" x14ac:dyDescent="0.15">
      <c r="A40" s="9" t="s">
        <v>2067</v>
      </c>
      <c r="B40" s="9" t="s">
        <v>1886</v>
      </c>
      <c r="C40" s="9" t="s">
        <v>1761</v>
      </c>
      <c r="D40" s="9" t="s">
        <v>1698</v>
      </c>
      <c r="E40" s="10">
        <f t="shared" si="0"/>
        <v>1521</v>
      </c>
      <c r="F40" s="10">
        <v>1560</v>
      </c>
    </row>
    <row r="41" spans="1:6" x14ac:dyDescent="0.15">
      <c r="A41" s="9" t="s">
        <v>2067</v>
      </c>
      <c r="B41" s="9" t="s">
        <v>1886</v>
      </c>
      <c r="C41" s="9" t="s">
        <v>1761</v>
      </c>
      <c r="D41" s="9" t="s">
        <v>1699</v>
      </c>
      <c r="E41" s="10">
        <f t="shared" si="0"/>
        <v>1561</v>
      </c>
      <c r="F41" s="10">
        <v>1600</v>
      </c>
    </row>
    <row r="42" spans="1:6" x14ac:dyDescent="0.15">
      <c r="A42" s="9" t="s">
        <v>2067</v>
      </c>
      <c r="B42" s="9" t="s">
        <v>1886</v>
      </c>
      <c r="C42" s="9" t="s">
        <v>1761</v>
      </c>
      <c r="D42" s="9" t="s">
        <v>1700</v>
      </c>
      <c r="E42" s="10">
        <f t="shared" si="0"/>
        <v>1601</v>
      </c>
      <c r="F42" s="10">
        <v>1640</v>
      </c>
    </row>
    <row r="43" spans="1:6" s="32" customFormat="1" x14ac:dyDescent="0.15">
      <c r="A43" s="32" t="s">
        <v>2067</v>
      </c>
      <c r="B43" s="32" t="s">
        <v>1762</v>
      </c>
      <c r="C43" s="32" t="s">
        <v>1762</v>
      </c>
      <c r="D43" s="32" t="s">
        <v>1701</v>
      </c>
      <c r="E43" s="11">
        <f t="shared" si="0"/>
        <v>1641</v>
      </c>
      <c r="F43" s="11">
        <v>1680</v>
      </c>
    </row>
    <row r="44" spans="1:6" x14ac:dyDescent="0.15">
      <c r="A44" s="9" t="s">
        <v>2067</v>
      </c>
      <c r="B44" s="9" t="s">
        <v>1762</v>
      </c>
      <c r="C44" s="9" t="s">
        <v>1762</v>
      </c>
      <c r="D44" s="9" t="s">
        <v>1702</v>
      </c>
      <c r="E44" s="10">
        <f t="shared" si="0"/>
        <v>1681</v>
      </c>
      <c r="F44" s="10">
        <v>1720</v>
      </c>
    </row>
    <row r="45" spans="1:6" x14ac:dyDescent="0.15">
      <c r="A45" s="9" t="s">
        <v>2067</v>
      </c>
      <c r="B45" s="9" t="s">
        <v>1762</v>
      </c>
      <c r="C45" s="9" t="s">
        <v>1762</v>
      </c>
      <c r="D45" s="9" t="s">
        <v>1703</v>
      </c>
      <c r="E45" s="10">
        <f t="shared" si="0"/>
        <v>1721</v>
      </c>
      <c r="F45" s="10">
        <v>1760</v>
      </c>
    </row>
    <row r="46" spans="1:6" x14ac:dyDescent="0.15">
      <c r="A46" s="9" t="s">
        <v>2067</v>
      </c>
      <c r="B46" s="9" t="s">
        <v>1762</v>
      </c>
      <c r="C46" s="9" t="s">
        <v>1762</v>
      </c>
      <c r="D46" s="9" t="s">
        <v>1704</v>
      </c>
      <c r="E46" s="10">
        <f t="shared" si="0"/>
        <v>1761</v>
      </c>
      <c r="F46" s="10">
        <v>1820</v>
      </c>
    </row>
    <row r="47" spans="1:6" s="32" customFormat="1" x14ac:dyDescent="0.15">
      <c r="A47" s="32" t="s">
        <v>2067</v>
      </c>
      <c r="B47" s="32" t="s">
        <v>1855</v>
      </c>
      <c r="C47" s="32" t="s">
        <v>1855</v>
      </c>
      <c r="D47" s="32" t="s">
        <v>1657</v>
      </c>
      <c r="E47" s="11">
        <f t="shared" si="0"/>
        <v>1821</v>
      </c>
      <c r="F47" s="11">
        <v>1860</v>
      </c>
    </row>
    <row r="48" spans="1:6" x14ac:dyDescent="0.15">
      <c r="A48" s="9" t="s">
        <v>2067</v>
      </c>
      <c r="B48" s="9" t="s">
        <v>1855</v>
      </c>
      <c r="C48" s="9" t="s">
        <v>1855</v>
      </c>
      <c r="D48" s="9" t="s">
        <v>1705</v>
      </c>
      <c r="E48" s="10">
        <f t="shared" si="0"/>
        <v>1861</v>
      </c>
      <c r="F48" s="10">
        <v>1920</v>
      </c>
    </row>
    <row r="49" spans="1:6" x14ac:dyDescent="0.15">
      <c r="A49" s="9" t="s">
        <v>2067</v>
      </c>
      <c r="B49" s="9" t="s">
        <v>1855</v>
      </c>
      <c r="C49" s="9" t="s">
        <v>1855</v>
      </c>
      <c r="D49" s="9" t="s">
        <v>1706</v>
      </c>
      <c r="E49" s="10">
        <f t="shared" si="0"/>
        <v>1921</v>
      </c>
      <c r="F49" s="10">
        <v>2000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EAA5-838B-4B2E-8CF3-ABBD63EC9EBD}">
  <dimension ref="A1:K49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5703125" style="9" bestFit="1" customWidth="1"/>
    <col min="3" max="3" width="11.85546875" style="9" bestFit="1" customWidth="1"/>
    <col min="4" max="4" width="3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2069</v>
      </c>
      <c r="B2" s="32" t="s">
        <v>1759</v>
      </c>
      <c r="C2" s="32" t="s">
        <v>1759</v>
      </c>
      <c r="D2" s="32" t="s">
        <v>373</v>
      </c>
      <c r="E2" s="11">
        <v>0</v>
      </c>
      <c r="F2" s="11">
        <v>15</v>
      </c>
    </row>
    <row r="3" spans="1:11" x14ac:dyDescent="0.15">
      <c r="A3" s="9" t="s">
        <v>2069</v>
      </c>
      <c r="B3" s="9" t="s">
        <v>1759</v>
      </c>
      <c r="C3" s="9" t="s">
        <v>1759</v>
      </c>
      <c r="D3" s="9" t="s">
        <v>1336</v>
      </c>
      <c r="E3" s="10">
        <f>F2+1</f>
        <v>16</v>
      </c>
      <c r="F3" s="10">
        <v>40</v>
      </c>
    </row>
    <row r="4" spans="1:11" x14ac:dyDescent="0.15">
      <c r="A4" s="9" t="s">
        <v>2069</v>
      </c>
      <c r="B4" s="9" t="s">
        <v>1759</v>
      </c>
      <c r="C4" s="9" t="s">
        <v>1759</v>
      </c>
      <c r="D4" s="9" t="s">
        <v>1316</v>
      </c>
      <c r="E4" s="10">
        <f t="shared" ref="E4:E49" si="0">F3+1</f>
        <v>41</v>
      </c>
      <c r="F4" s="10">
        <v>60</v>
      </c>
    </row>
    <row r="5" spans="1:11" x14ac:dyDescent="0.15">
      <c r="A5" s="9" t="s">
        <v>2069</v>
      </c>
      <c r="B5" s="9" t="s">
        <v>1759</v>
      </c>
      <c r="C5" s="9" t="s">
        <v>1759</v>
      </c>
      <c r="D5" s="9" t="s">
        <v>1159</v>
      </c>
      <c r="E5" s="10">
        <f t="shared" si="0"/>
        <v>61</v>
      </c>
      <c r="F5" s="10">
        <v>90</v>
      </c>
    </row>
    <row r="6" spans="1:11" x14ac:dyDescent="0.15">
      <c r="A6" s="9" t="s">
        <v>2069</v>
      </c>
      <c r="B6" s="9" t="s">
        <v>1759</v>
      </c>
      <c r="C6" s="9" t="s">
        <v>1759</v>
      </c>
      <c r="D6" s="9" t="s">
        <v>1670</v>
      </c>
      <c r="E6" s="10">
        <f t="shared" si="0"/>
        <v>91</v>
      </c>
      <c r="F6" s="10">
        <v>115</v>
      </c>
    </row>
    <row r="7" spans="1:11" x14ac:dyDescent="0.15">
      <c r="A7" s="9" t="s">
        <v>2069</v>
      </c>
      <c r="B7" s="9" t="s">
        <v>1759</v>
      </c>
      <c r="C7" s="9" t="s">
        <v>1759</v>
      </c>
      <c r="D7" s="9" t="s">
        <v>1708</v>
      </c>
      <c r="E7" s="10">
        <f t="shared" si="0"/>
        <v>116</v>
      </c>
      <c r="F7" s="10">
        <v>135</v>
      </c>
    </row>
    <row r="8" spans="1:11" x14ac:dyDescent="0.15">
      <c r="A8" s="9" t="s">
        <v>2069</v>
      </c>
      <c r="B8" s="9" t="s">
        <v>1759</v>
      </c>
      <c r="C8" s="9" t="s">
        <v>1759</v>
      </c>
      <c r="D8" s="9" t="s">
        <v>1672</v>
      </c>
      <c r="E8" s="10">
        <f t="shared" si="0"/>
        <v>136</v>
      </c>
      <c r="F8" s="10">
        <v>155</v>
      </c>
    </row>
    <row r="9" spans="1:11" s="32" customFormat="1" x14ac:dyDescent="0.15">
      <c r="A9" s="32" t="s">
        <v>2069</v>
      </c>
      <c r="B9" s="32" t="s">
        <v>2056</v>
      </c>
      <c r="C9" s="32" t="s">
        <v>1760</v>
      </c>
      <c r="D9" s="32" t="s">
        <v>534</v>
      </c>
      <c r="E9" s="11">
        <f t="shared" si="0"/>
        <v>156</v>
      </c>
      <c r="F9" s="11">
        <v>190</v>
      </c>
    </row>
    <row r="10" spans="1:11" x14ac:dyDescent="0.15">
      <c r="A10" s="9" t="s">
        <v>2069</v>
      </c>
      <c r="B10" s="9" t="s">
        <v>2056</v>
      </c>
      <c r="C10" s="9" t="s">
        <v>1760</v>
      </c>
      <c r="D10" s="9" t="s">
        <v>535</v>
      </c>
      <c r="E10" s="10">
        <f t="shared" si="0"/>
        <v>191</v>
      </c>
      <c r="F10" s="10">
        <v>225</v>
      </c>
    </row>
    <row r="11" spans="1:11" x14ac:dyDescent="0.15">
      <c r="A11" s="9" t="s">
        <v>2069</v>
      </c>
      <c r="B11" s="9" t="s">
        <v>2056</v>
      </c>
      <c r="C11" s="9" t="s">
        <v>1760</v>
      </c>
      <c r="D11" s="9" t="s">
        <v>1583</v>
      </c>
      <c r="E11" s="10">
        <f t="shared" si="0"/>
        <v>226</v>
      </c>
      <c r="F11" s="10">
        <v>265</v>
      </c>
    </row>
    <row r="12" spans="1:11" x14ac:dyDescent="0.15">
      <c r="A12" s="9" t="s">
        <v>2069</v>
      </c>
      <c r="B12" s="9" t="s">
        <v>2056</v>
      </c>
      <c r="C12" s="9" t="s">
        <v>1760</v>
      </c>
      <c r="D12" s="9" t="s">
        <v>1636</v>
      </c>
      <c r="E12" s="10">
        <f t="shared" si="0"/>
        <v>266</v>
      </c>
      <c r="F12" s="10">
        <v>305</v>
      </c>
    </row>
    <row r="13" spans="1:11" x14ac:dyDescent="0.15">
      <c r="A13" s="9" t="s">
        <v>2069</v>
      </c>
      <c r="B13" s="9" t="s">
        <v>2056</v>
      </c>
      <c r="C13" s="9" t="s">
        <v>1760</v>
      </c>
      <c r="D13" s="9" t="s">
        <v>1673</v>
      </c>
      <c r="E13" s="10">
        <f t="shared" si="0"/>
        <v>306</v>
      </c>
      <c r="F13" s="10">
        <v>360</v>
      </c>
    </row>
    <row r="14" spans="1:11" x14ac:dyDescent="0.15">
      <c r="A14" s="9" t="s">
        <v>2069</v>
      </c>
      <c r="B14" s="9" t="s">
        <v>2056</v>
      </c>
      <c r="C14" s="9" t="s">
        <v>1760</v>
      </c>
      <c r="D14" s="9" t="s">
        <v>1674</v>
      </c>
      <c r="E14" s="10">
        <f t="shared" si="0"/>
        <v>361</v>
      </c>
      <c r="F14" s="10">
        <v>410</v>
      </c>
    </row>
    <row r="15" spans="1:11" s="32" customFormat="1" x14ac:dyDescent="0.15">
      <c r="A15" s="32" t="s">
        <v>2069</v>
      </c>
      <c r="B15" s="32" t="s">
        <v>1849</v>
      </c>
      <c r="C15" s="32" t="s">
        <v>1760</v>
      </c>
      <c r="D15" s="32" t="s">
        <v>385</v>
      </c>
      <c r="E15" s="11">
        <f t="shared" si="0"/>
        <v>411</v>
      </c>
      <c r="F15" s="11">
        <v>440</v>
      </c>
    </row>
    <row r="16" spans="1:11" x14ac:dyDescent="0.15">
      <c r="A16" s="9" t="s">
        <v>2069</v>
      </c>
      <c r="B16" s="9" t="s">
        <v>1849</v>
      </c>
      <c r="C16" s="9" t="s">
        <v>1760</v>
      </c>
      <c r="D16" s="9" t="s">
        <v>1675</v>
      </c>
      <c r="E16" s="10">
        <f t="shared" si="0"/>
        <v>441</v>
      </c>
      <c r="F16" s="10">
        <v>510</v>
      </c>
    </row>
    <row r="17" spans="1:6" x14ac:dyDescent="0.15">
      <c r="A17" s="9" t="s">
        <v>2069</v>
      </c>
      <c r="B17" s="9" t="s">
        <v>1849</v>
      </c>
      <c r="C17" s="9" t="s">
        <v>1760</v>
      </c>
      <c r="D17" s="9" t="s">
        <v>1676</v>
      </c>
      <c r="E17" s="10">
        <f t="shared" si="0"/>
        <v>511</v>
      </c>
      <c r="F17" s="10">
        <v>580</v>
      </c>
    </row>
    <row r="18" spans="1:6" x14ac:dyDescent="0.15">
      <c r="A18" s="9" t="s">
        <v>2069</v>
      </c>
      <c r="B18" s="9" t="s">
        <v>1849</v>
      </c>
      <c r="C18" s="9" t="s">
        <v>1760</v>
      </c>
      <c r="D18" s="9" t="s">
        <v>1677</v>
      </c>
      <c r="E18" s="10">
        <f t="shared" si="0"/>
        <v>581</v>
      </c>
      <c r="F18" s="10">
        <v>650</v>
      </c>
    </row>
    <row r="19" spans="1:6" x14ac:dyDescent="0.15">
      <c r="A19" s="9" t="s">
        <v>2069</v>
      </c>
      <c r="B19" s="9" t="s">
        <v>1849</v>
      </c>
      <c r="C19" s="9" t="s">
        <v>1760</v>
      </c>
      <c r="D19" s="9" t="s">
        <v>1678</v>
      </c>
      <c r="E19" s="10">
        <f t="shared" si="0"/>
        <v>651</v>
      </c>
      <c r="F19" s="10">
        <v>710</v>
      </c>
    </row>
    <row r="20" spans="1:6" s="32" customFormat="1" x14ac:dyDescent="0.15">
      <c r="A20" s="32" t="s">
        <v>2069</v>
      </c>
      <c r="B20" s="32" t="s">
        <v>1890</v>
      </c>
      <c r="C20" s="32" t="s">
        <v>1760</v>
      </c>
      <c r="D20" s="32" t="s">
        <v>1679</v>
      </c>
      <c r="E20" s="11">
        <f t="shared" si="0"/>
        <v>711</v>
      </c>
      <c r="F20" s="11">
        <v>770</v>
      </c>
    </row>
    <row r="21" spans="1:6" x14ac:dyDescent="0.15">
      <c r="A21" s="9" t="s">
        <v>2069</v>
      </c>
      <c r="B21" s="9" t="s">
        <v>1890</v>
      </c>
      <c r="C21" s="9" t="s">
        <v>1760</v>
      </c>
      <c r="D21" s="9" t="s">
        <v>1680</v>
      </c>
      <c r="E21" s="10">
        <f t="shared" si="0"/>
        <v>771</v>
      </c>
      <c r="F21" s="10">
        <v>830</v>
      </c>
    </row>
    <row r="22" spans="1:6" x14ac:dyDescent="0.15">
      <c r="A22" s="9" t="s">
        <v>2069</v>
      </c>
      <c r="B22" s="9" t="s">
        <v>1890</v>
      </c>
      <c r="C22" s="9" t="s">
        <v>1760</v>
      </c>
      <c r="D22" s="9" t="s">
        <v>1681</v>
      </c>
      <c r="E22" s="10">
        <f t="shared" si="0"/>
        <v>831</v>
      </c>
      <c r="F22" s="10">
        <v>890</v>
      </c>
    </row>
    <row r="23" spans="1:6" x14ac:dyDescent="0.15">
      <c r="A23" s="9" t="s">
        <v>2069</v>
      </c>
      <c r="B23" s="9" t="s">
        <v>1890</v>
      </c>
      <c r="C23" s="9" t="s">
        <v>1760</v>
      </c>
      <c r="D23" s="9" t="s">
        <v>1682</v>
      </c>
      <c r="E23" s="10">
        <f t="shared" si="0"/>
        <v>891</v>
      </c>
      <c r="F23" s="10">
        <v>950</v>
      </c>
    </row>
    <row r="24" spans="1:6" x14ac:dyDescent="0.15">
      <c r="A24" s="9" t="s">
        <v>2069</v>
      </c>
      <c r="B24" s="9" t="s">
        <v>1890</v>
      </c>
      <c r="C24" s="9" t="s">
        <v>1760</v>
      </c>
      <c r="D24" s="9" t="s">
        <v>1683</v>
      </c>
      <c r="E24" s="10">
        <f t="shared" si="0"/>
        <v>951</v>
      </c>
      <c r="F24" s="10">
        <v>1020</v>
      </c>
    </row>
    <row r="25" spans="1:6" x14ac:dyDescent="0.15">
      <c r="A25" s="9" t="s">
        <v>2069</v>
      </c>
      <c r="B25" s="9" t="s">
        <v>1890</v>
      </c>
      <c r="C25" s="9" t="s">
        <v>1760</v>
      </c>
      <c r="D25" s="9" t="s">
        <v>1684</v>
      </c>
      <c r="E25" s="10">
        <f t="shared" si="0"/>
        <v>1021</v>
      </c>
      <c r="F25" s="10">
        <v>1080</v>
      </c>
    </row>
    <row r="26" spans="1:6" s="32" customFormat="1" x14ac:dyDescent="0.15">
      <c r="A26" s="32" t="s">
        <v>2069</v>
      </c>
      <c r="B26" s="32" t="s">
        <v>1851</v>
      </c>
      <c r="C26" s="32" t="s">
        <v>1760</v>
      </c>
      <c r="D26" s="32" t="s">
        <v>1685</v>
      </c>
      <c r="E26" s="11">
        <f t="shared" si="0"/>
        <v>1081</v>
      </c>
      <c r="F26" s="11">
        <v>1130</v>
      </c>
    </row>
    <row r="27" spans="1:6" x14ac:dyDescent="0.15">
      <c r="A27" s="9" t="s">
        <v>2069</v>
      </c>
      <c r="B27" s="9" t="s">
        <v>1851</v>
      </c>
      <c r="C27" s="9" t="s">
        <v>1760</v>
      </c>
      <c r="D27" s="9" t="s">
        <v>1686</v>
      </c>
      <c r="E27" s="10">
        <f t="shared" si="0"/>
        <v>1131</v>
      </c>
      <c r="F27" s="10">
        <v>1180</v>
      </c>
    </row>
    <row r="28" spans="1:6" x14ac:dyDescent="0.15">
      <c r="A28" s="9" t="s">
        <v>2069</v>
      </c>
      <c r="B28" s="9" t="s">
        <v>1851</v>
      </c>
      <c r="C28" s="9" t="s">
        <v>1760</v>
      </c>
      <c r="D28" s="9" t="s">
        <v>1687</v>
      </c>
      <c r="E28" s="10">
        <f t="shared" si="0"/>
        <v>1181</v>
      </c>
      <c r="F28" s="10">
        <v>1220</v>
      </c>
    </row>
    <row r="29" spans="1:6" x14ac:dyDescent="0.15">
      <c r="A29" s="9" t="s">
        <v>2069</v>
      </c>
      <c r="B29" s="9" t="s">
        <v>1851</v>
      </c>
      <c r="C29" s="9" t="s">
        <v>1760</v>
      </c>
      <c r="D29" s="9" t="s">
        <v>1688</v>
      </c>
      <c r="E29" s="10">
        <f t="shared" si="0"/>
        <v>1221</v>
      </c>
      <c r="F29" s="10">
        <v>1250</v>
      </c>
    </row>
    <row r="30" spans="1:6" x14ac:dyDescent="0.15">
      <c r="A30" s="9" t="s">
        <v>2069</v>
      </c>
      <c r="B30" s="9" t="s">
        <v>1851</v>
      </c>
      <c r="C30" s="9" t="s">
        <v>1760</v>
      </c>
      <c r="D30" s="9" t="s">
        <v>1689</v>
      </c>
      <c r="E30" s="10">
        <f t="shared" si="0"/>
        <v>1251</v>
      </c>
      <c r="F30" s="10">
        <v>1270</v>
      </c>
    </row>
    <row r="31" spans="1:6" s="32" customFormat="1" x14ac:dyDescent="0.15">
      <c r="A31" s="32" t="s">
        <v>2069</v>
      </c>
      <c r="B31" s="32" t="s">
        <v>2011</v>
      </c>
      <c r="C31" s="32" t="s">
        <v>1761</v>
      </c>
      <c r="D31" s="32" t="s">
        <v>1690</v>
      </c>
      <c r="E31" s="11">
        <f t="shared" si="0"/>
        <v>1271</v>
      </c>
      <c r="F31" s="11">
        <v>1300</v>
      </c>
    </row>
    <row r="32" spans="1:6" x14ac:dyDescent="0.15">
      <c r="A32" s="9" t="s">
        <v>2069</v>
      </c>
      <c r="B32" s="9" t="s">
        <v>2011</v>
      </c>
      <c r="C32" s="9" t="s">
        <v>1761</v>
      </c>
      <c r="D32" s="9" t="s">
        <v>1691</v>
      </c>
      <c r="E32" s="10">
        <f t="shared" si="0"/>
        <v>1301</v>
      </c>
      <c r="F32" s="10">
        <v>1330</v>
      </c>
    </row>
    <row r="33" spans="1:6" x14ac:dyDescent="0.15">
      <c r="A33" s="9" t="s">
        <v>2069</v>
      </c>
      <c r="B33" s="9" t="s">
        <v>2011</v>
      </c>
      <c r="C33" s="9" t="s">
        <v>1761</v>
      </c>
      <c r="D33" s="9" t="s">
        <v>1692</v>
      </c>
      <c r="E33" s="10">
        <f t="shared" si="0"/>
        <v>1331</v>
      </c>
      <c r="F33" s="10">
        <v>1360</v>
      </c>
    </row>
    <row r="34" spans="1:6" x14ac:dyDescent="0.15">
      <c r="A34" s="9" t="s">
        <v>2069</v>
      </c>
      <c r="B34" s="9" t="s">
        <v>2011</v>
      </c>
      <c r="C34" s="9" t="s">
        <v>1761</v>
      </c>
      <c r="D34" s="9" t="s">
        <v>1693</v>
      </c>
      <c r="E34" s="10">
        <f t="shared" si="0"/>
        <v>1361</v>
      </c>
      <c r="F34" s="10">
        <v>1390</v>
      </c>
    </row>
    <row r="35" spans="1:6" x14ac:dyDescent="0.15">
      <c r="A35" s="9" t="s">
        <v>2069</v>
      </c>
      <c r="B35" s="9" t="s">
        <v>2011</v>
      </c>
      <c r="C35" s="9" t="s">
        <v>1761</v>
      </c>
      <c r="D35" s="9" t="s">
        <v>1694</v>
      </c>
      <c r="E35" s="10">
        <f t="shared" si="0"/>
        <v>1391</v>
      </c>
      <c r="F35" s="10">
        <v>1420</v>
      </c>
    </row>
    <row r="36" spans="1:6" s="32" customFormat="1" x14ac:dyDescent="0.15">
      <c r="A36" s="32" t="s">
        <v>2069</v>
      </c>
      <c r="B36" s="32" t="s">
        <v>2012</v>
      </c>
      <c r="C36" s="32" t="s">
        <v>1761</v>
      </c>
      <c r="D36" s="32" t="s">
        <v>1695</v>
      </c>
      <c r="E36" s="11">
        <f t="shared" si="0"/>
        <v>1421</v>
      </c>
      <c r="F36" s="11">
        <v>1470</v>
      </c>
    </row>
    <row r="37" spans="1:6" x14ac:dyDescent="0.15">
      <c r="A37" s="9" t="s">
        <v>2069</v>
      </c>
      <c r="B37" s="9" t="s">
        <v>2012</v>
      </c>
      <c r="C37" s="9" t="s">
        <v>1761</v>
      </c>
      <c r="D37" s="9" t="s">
        <v>1696</v>
      </c>
      <c r="E37" s="10">
        <f t="shared" si="0"/>
        <v>1471</v>
      </c>
      <c r="F37" s="10">
        <v>1520</v>
      </c>
    </row>
    <row r="38" spans="1:6" x14ac:dyDescent="0.15">
      <c r="A38" s="9" t="s">
        <v>2069</v>
      </c>
      <c r="B38" s="9" t="s">
        <v>2012</v>
      </c>
      <c r="C38" s="9" t="s">
        <v>1761</v>
      </c>
      <c r="D38" s="9" t="s">
        <v>521</v>
      </c>
      <c r="E38" s="10">
        <f t="shared" si="0"/>
        <v>1521</v>
      </c>
      <c r="F38" s="10">
        <v>1560</v>
      </c>
    </row>
    <row r="39" spans="1:6" s="32" customFormat="1" x14ac:dyDescent="0.15">
      <c r="A39" s="32" t="s">
        <v>2069</v>
      </c>
      <c r="B39" s="32" t="s">
        <v>1886</v>
      </c>
      <c r="C39" s="32" t="s">
        <v>1761</v>
      </c>
      <c r="D39" s="32" t="s">
        <v>1697</v>
      </c>
      <c r="E39" s="11">
        <f t="shared" si="0"/>
        <v>1561</v>
      </c>
      <c r="F39" s="11">
        <v>1610</v>
      </c>
    </row>
    <row r="40" spans="1:6" x14ac:dyDescent="0.15">
      <c r="A40" s="9" t="s">
        <v>2069</v>
      </c>
      <c r="B40" s="9" t="s">
        <v>1886</v>
      </c>
      <c r="C40" s="9" t="s">
        <v>1761</v>
      </c>
      <c r="D40" s="9" t="s">
        <v>1709</v>
      </c>
      <c r="E40" s="10">
        <f t="shared" si="0"/>
        <v>1611</v>
      </c>
      <c r="F40" s="10">
        <v>1660</v>
      </c>
    </row>
    <row r="41" spans="1:6" x14ac:dyDescent="0.15">
      <c r="A41" s="9" t="s">
        <v>2069</v>
      </c>
      <c r="B41" s="9" t="s">
        <v>1886</v>
      </c>
      <c r="C41" s="9" t="s">
        <v>1761</v>
      </c>
      <c r="D41" s="9" t="s">
        <v>1699</v>
      </c>
      <c r="E41" s="10">
        <f t="shared" si="0"/>
        <v>1661</v>
      </c>
      <c r="F41" s="10">
        <v>1710</v>
      </c>
    </row>
    <row r="42" spans="1:6" x14ac:dyDescent="0.15">
      <c r="A42" s="9" t="s">
        <v>2069</v>
      </c>
      <c r="B42" s="9" t="s">
        <v>1886</v>
      </c>
      <c r="C42" s="9" t="s">
        <v>1761</v>
      </c>
      <c r="D42" s="9" t="s">
        <v>1700</v>
      </c>
      <c r="E42" s="10">
        <f t="shared" si="0"/>
        <v>1711</v>
      </c>
      <c r="F42" s="10">
        <v>1760</v>
      </c>
    </row>
    <row r="43" spans="1:6" s="32" customFormat="1" x14ac:dyDescent="0.15">
      <c r="A43" s="32" t="s">
        <v>2069</v>
      </c>
      <c r="B43" s="32" t="s">
        <v>1762</v>
      </c>
      <c r="C43" s="32" t="s">
        <v>1762</v>
      </c>
      <c r="D43" s="32" t="s">
        <v>1701</v>
      </c>
      <c r="E43" s="11">
        <f t="shared" si="0"/>
        <v>1761</v>
      </c>
      <c r="F43" s="11">
        <v>1800</v>
      </c>
    </row>
    <row r="44" spans="1:6" x14ac:dyDescent="0.15">
      <c r="A44" s="9" t="s">
        <v>2069</v>
      </c>
      <c r="B44" s="9" t="s">
        <v>1762</v>
      </c>
      <c r="C44" s="9" t="s">
        <v>1762</v>
      </c>
      <c r="D44" s="9" t="s">
        <v>1702</v>
      </c>
      <c r="E44" s="10">
        <f t="shared" si="0"/>
        <v>1801</v>
      </c>
      <c r="F44" s="10">
        <v>1850</v>
      </c>
    </row>
    <row r="45" spans="1:6" x14ac:dyDescent="0.15">
      <c r="A45" s="9" t="s">
        <v>2069</v>
      </c>
      <c r="B45" s="9" t="s">
        <v>1762</v>
      </c>
      <c r="C45" s="9" t="s">
        <v>1762</v>
      </c>
      <c r="D45" s="9" t="s">
        <v>1703</v>
      </c>
      <c r="E45" s="10">
        <f t="shared" si="0"/>
        <v>1851</v>
      </c>
      <c r="F45" s="10">
        <v>1900</v>
      </c>
    </row>
    <row r="46" spans="1:6" x14ac:dyDescent="0.15">
      <c r="A46" s="9" t="s">
        <v>2069</v>
      </c>
      <c r="B46" s="9" t="s">
        <v>1762</v>
      </c>
      <c r="C46" s="9" t="s">
        <v>1762</v>
      </c>
      <c r="D46" s="9" t="s">
        <v>1704</v>
      </c>
      <c r="E46" s="10">
        <f t="shared" si="0"/>
        <v>1901</v>
      </c>
      <c r="F46" s="10">
        <v>1980</v>
      </c>
    </row>
    <row r="47" spans="1:6" s="32" customFormat="1" x14ac:dyDescent="0.15">
      <c r="A47" s="32" t="s">
        <v>2069</v>
      </c>
      <c r="B47" s="32" t="s">
        <v>1855</v>
      </c>
      <c r="C47" s="32" t="s">
        <v>1855</v>
      </c>
      <c r="D47" s="32" t="s">
        <v>1657</v>
      </c>
      <c r="E47" s="11">
        <f t="shared" si="0"/>
        <v>1981</v>
      </c>
      <c r="F47" s="11">
        <v>2020</v>
      </c>
    </row>
    <row r="48" spans="1:6" x14ac:dyDescent="0.15">
      <c r="A48" s="9" t="s">
        <v>2069</v>
      </c>
      <c r="B48" s="9" t="s">
        <v>1855</v>
      </c>
      <c r="C48" s="9" t="s">
        <v>1855</v>
      </c>
      <c r="D48" s="9" t="s">
        <v>1705</v>
      </c>
      <c r="E48" s="10">
        <f t="shared" si="0"/>
        <v>2021</v>
      </c>
      <c r="F48" s="10">
        <v>2080</v>
      </c>
    </row>
    <row r="49" spans="1:6" x14ac:dyDescent="0.15">
      <c r="A49" s="9" t="s">
        <v>2069</v>
      </c>
      <c r="B49" s="9" t="s">
        <v>1855</v>
      </c>
      <c r="C49" s="9" t="s">
        <v>1855</v>
      </c>
      <c r="D49" s="9" t="s">
        <v>1706</v>
      </c>
      <c r="E49" s="10">
        <f t="shared" si="0"/>
        <v>2081</v>
      </c>
      <c r="F49" s="10">
        <v>2150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ECB8-2A01-4CAD-A694-70EEFC434C62}">
  <dimension ref="A1:K38"/>
  <sheetViews>
    <sheetView workbookViewId="0">
      <selection activeCell="G2" sqref="G2"/>
    </sheetView>
  </sheetViews>
  <sheetFormatPr defaultRowHeight="10.5" x14ac:dyDescent="0.15"/>
  <cols>
    <col min="1" max="1" width="11" style="9" bestFit="1" customWidth="1"/>
    <col min="2" max="2" width="29.42578125" style="9" bestFit="1" customWidth="1"/>
    <col min="3" max="3" width="11.85546875" style="9" bestFit="1" customWidth="1"/>
    <col min="4" max="4" width="75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12" t="s">
        <v>1753</v>
      </c>
      <c r="B1" s="113" t="s">
        <v>1846</v>
      </c>
      <c r="C1" s="113" t="s">
        <v>1758</v>
      </c>
      <c r="D1" s="112" t="s">
        <v>1847</v>
      </c>
      <c r="E1" s="114" t="s">
        <v>1802</v>
      </c>
      <c r="F1" s="114" t="s">
        <v>1803</v>
      </c>
      <c r="G1" s="115" t="s">
        <v>584</v>
      </c>
      <c r="H1" s="115" t="s">
        <v>585</v>
      </c>
      <c r="I1" s="115" t="s">
        <v>586</v>
      </c>
      <c r="J1" s="115" t="s">
        <v>587</v>
      </c>
      <c r="K1" s="115" t="s">
        <v>588</v>
      </c>
    </row>
    <row r="2" spans="1:11" s="32" customFormat="1" x14ac:dyDescent="0.15">
      <c r="A2" s="32" t="s">
        <v>2070</v>
      </c>
      <c r="B2" s="32" t="s">
        <v>1759</v>
      </c>
      <c r="C2" s="32" t="s">
        <v>1759</v>
      </c>
      <c r="D2" s="31" t="s">
        <v>850</v>
      </c>
      <c r="E2" s="11">
        <v>0</v>
      </c>
      <c r="F2" s="11">
        <v>15</v>
      </c>
    </row>
    <row r="3" spans="1:11" x14ac:dyDescent="0.15">
      <c r="A3" s="9" t="s">
        <v>2070</v>
      </c>
      <c r="B3" s="9" t="s">
        <v>1759</v>
      </c>
      <c r="C3" s="9" t="s">
        <v>1759</v>
      </c>
      <c r="D3" s="35" t="s">
        <v>374</v>
      </c>
      <c r="E3" s="10">
        <f>F2+1</f>
        <v>16</v>
      </c>
      <c r="F3" s="10">
        <v>40</v>
      </c>
    </row>
    <row r="4" spans="1:11" x14ac:dyDescent="0.15">
      <c r="A4" s="9" t="s">
        <v>2070</v>
      </c>
      <c r="B4" s="9" t="s">
        <v>1759</v>
      </c>
      <c r="C4" s="9" t="s">
        <v>1759</v>
      </c>
      <c r="D4" s="35" t="s">
        <v>375</v>
      </c>
      <c r="E4" s="10">
        <f t="shared" ref="E4:E38" si="0">F3+1</f>
        <v>41</v>
      </c>
      <c r="F4" s="10">
        <v>70</v>
      </c>
    </row>
    <row r="5" spans="1:11" x14ac:dyDescent="0.15">
      <c r="A5" s="9" t="s">
        <v>2070</v>
      </c>
      <c r="B5" s="9" t="s">
        <v>1759</v>
      </c>
      <c r="C5" s="9" t="s">
        <v>1759</v>
      </c>
      <c r="D5" s="35" t="s">
        <v>1047</v>
      </c>
      <c r="E5" s="10">
        <f t="shared" si="0"/>
        <v>71</v>
      </c>
      <c r="F5" s="10">
        <v>95</v>
      </c>
    </row>
    <row r="6" spans="1:11" x14ac:dyDescent="0.15">
      <c r="A6" s="9" t="s">
        <v>2070</v>
      </c>
      <c r="B6" s="9" t="s">
        <v>1759</v>
      </c>
      <c r="C6" s="9" t="s">
        <v>1759</v>
      </c>
      <c r="D6" s="35" t="s">
        <v>1048</v>
      </c>
      <c r="E6" s="10">
        <f t="shared" si="0"/>
        <v>96</v>
      </c>
      <c r="F6" s="10">
        <v>105</v>
      </c>
    </row>
    <row r="7" spans="1:11" x14ac:dyDescent="0.15">
      <c r="A7" s="9" t="s">
        <v>2070</v>
      </c>
      <c r="B7" s="9" t="s">
        <v>1759</v>
      </c>
      <c r="C7" s="9" t="s">
        <v>1759</v>
      </c>
      <c r="D7" s="35" t="s">
        <v>1711</v>
      </c>
      <c r="E7" s="10">
        <f t="shared" si="0"/>
        <v>106</v>
      </c>
      <c r="F7" s="10">
        <v>120</v>
      </c>
    </row>
    <row r="8" spans="1:11" x14ac:dyDescent="0.15">
      <c r="A8" s="9" t="s">
        <v>2070</v>
      </c>
      <c r="B8" s="9" t="s">
        <v>1759</v>
      </c>
      <c r="C8" s="9" t="s">
        <v>1759</v>
      </c>
      <c r="D8" s="35" t="s">
        <v>1712</v>
      </c>
      <c r="E8" s="10">
        <f t="shared" si="0"/>
        <v>121</v>
      </c>
      <c r="F8" s="10">
        <v>140</v>
      </c>
    </row>
    <row r="9" spans="1:11" s="32" customFormat="1" x14ac:dyDescent="0.15">
      <c r="A9" s="32" t="s">
        <v>2070</v>
      </c>
      <c r="B9" s="32" t="s">
        <v>1861</v>
      </c>
      <c r="C9" s="32" t="s">
        <v>1760</v>
      </c>
      <c r="D9" s="31" t="s">
        <v>534</v>
      </c>
      <c r="E9" s="11">
        <f t="shared" si="0"/>
        <v>141</v>
      </c>
      <c r="F9" s="11">
        <v>170</v>
      </c>
    </row>
    <row r="10" spans="1:11" x14ac:dyDescent="0.15">
      <c r="A10" s="9" t="s">
        <v>2070</v>
      </c>
      <c r="B10" s="9" t="s">
        <v>1861</v>
      </c>
      <c r="C10" s="9" t="s">
        <v>1760</v>
      </c>
      <c r="D10" s="35" t="s">
        <v>535</v>
      </c>
      <c r="E10" s="10">
        <f t="shared" si="0"/>
        <v>171</v>
      </c>
      <c r="F10" s="10">
        <v>210</v>
      </c>
    </row>
    <row r="11" spans="1:11" x14ac:dyDescent="0.15">
      <c r="A11" s="9" t="s">
        <v>2070</v>
      </c>
      <c r="B11" s="9" t="s">
        <v>1861</v>
      </c>
      <c r="C11" s="9" t="s">
        <v>1760</v>
      </c>
      <c r="D11" s="35" t="s">
        <v>536</v>
      </c>
      <c r="E11" s="10">
        <f t="shared" si="0"/>
        <v>211</v>
      </c>
      <c r="F11" s="10">
        <v>250</v>
      </c>
    </row>
    <row r="12" spans="1:11" x14ac:dyDescent="0.15">
      <c r="A12" s="9" t="s">
        <v>2070</v>
      </c>
      <c r="B12" s="9" t="s">
        <v>1861</v>
      </c>
      <c r="C12" s="9" t="s">
        <v>1760</v>
      </c>
      <c r="D12" s="35" t="s">
        <v>537</v>
      </c>
      <c r="E12" s="10">
        <f t="shared" si="0"/>
        <v>251</v>
      </c>
      <c r="F12" s="10">
        <v>300</v>
      </c>
    </row>
    <row r="13" spans="1:11" x14ac:dyDescent="0.15">
      <c r="A13" s="9" t="s">
        <v>2070</v>
      </c>
      <c r="B13" s="9" t="s">
        <v>1861</v>
      </c>
      <c r="C13" s="9" t="s">
        <v>1760</v>
      </c>
      <c r="D13" s="35" t="s">
        <v>538</v>
      </c>
      <c r="E13" s="10">
        <f t="shared" si="0"/>
        <v>301</v>
      </c>
      <c r="F13" s="10">
        <v>650</v>
      </c>
    </row>
    <row r="14" spans="1:11" s="32" customFormat="1" x14ac:dyDescent="0.15">
      <c r="A14" s="32" t="s">
        <v>2070</v>
      </c>
      <c r="B14" s="32" t="s">
        <v>1890</v>
      </c>
      <c r="C14" s="32" t="s">
        <v>1760</v>
      </c>
      <c r="D14" s="32" t="s">
        <v>512</v>
      </c>
      <c r="E14" s="11">
        <f t="shared" si="0"/>
        <v>651</v>
      </c>
      <c r="F14" s="11">
        <v>720</v>
      </c>
    </row>
    <row r="15" spans="1:11" x14ac:dyDescent="0.15">
      <c r="A15" s="9" t="s">
        <v>2070</v>
      </c>
      <c r="B15" s="9" t="s">
        <v>1890</v>
      </c>
      <c r="C15" s="9" t="s">
        <v>1760</v>
      </c>
      <c r="D15" s="35" t="s">
        <v>1713</v>
      </c>
      <c r="E15" s="10">
        <f t="shared" si="0"/>
        <v>721</v>
      </c>
      <c r="F15" s="10">
        <v>780</v>
      </c>
    </row>
    <row r="16" spans="1:11" x14ac:dyDescent="0.15">
      <c r="A16" s="9" t="s">
        <v>2070</v>
      </c>
      <c r="B16" s="9" t="s">
        <v>1890</v>
      </c>
      <c r="C16" s="9" t="s">
        <v>1760</v>
      </c>
      <c r="D16" s="35" t="s">
        <v>1714</v>
      </c>
      <c r="E16" s="10">
        <f t="shared" si="0"/>
        <v>781</v>
      </c>
      <c r="F16" s="10">
        <v>830</v>
      </c>
    </row>
    <row r="17" spans="1:6" x14ac:dyDescent="0.15">
      <c r="A17" s="9" t="s">
        <v>2070</v>
      </c>
      <c r="B17" s="9" t="s">
        <v>1890</v>
      </c>
      <c r="C17" s="9" t="s">
        <v>1760</v>
      </c>
      <c r="D17" s="35" t="s">
        <v>1715</v>
      </c>
      <c r="E17" s="10">
        <f t="shared" si="0"/>
        <v>831</v>
      </c>
      <c r="F17" s="10">
        <v>880</v>
      </c>
    </row>
    <row r="18" spans="1:6" x14ac:dyDescent="0.15">
      <c r="A18" s="9" t="s">
        <v>2070</v>
      </c>
      <c r="B18" s="9" t="s">
        <v>1890</v>
      </c>
      <c r="C18" s="9" t="s">
        <v>1760</v>
      </c>
      <c r="D18" s="35" t="s">
        <v>859</v>
      </c>
      <c r="E18" s="10">
        <f t="shared" si="0"/>
        <v>881</v>
      </c>
      <c r="F18" s="10">
        <v>910</v>
      </c>
    </row>
    <row r="19" spans="1:6" s="32" customFormat="1" x14ac:dyDescent="0.15">
      <c r="A19" s="32" t="s">
        <v>2070</v>
      </c>
      <c r="B19" s="32" t="s">
        <v>1893</v>
      </c>
      <c r="C19" s="32" t="s">
        <v>1761</v>
      </c>
      <c r="D19" s="31" t="s">
        <v>1716</v>
      </c>
      <c r="E19" s="11">
        <f t="shared" si="0"/>
        <v>911</v>
      </c>
      <c r="F19" s="11">
        <v>960</v>
      </c>
    </row>
    <row r="20" spans="1:6" x14ac:dyDescent="0.15">
      <c r="A20" s="9" t="s">
        <v>2070</v>
      </c>
      <c r="B20" s="9" t="s">
        <v>1893</v>
      </c>
      <c r="C20" s="9" t="s">
        <v>1761</v>
      </c>
      <c r="D20" s="35" t="s">
        <v>860</v>
      </c>
      <c r="E20" s="10">
        <f t="shared" si="0"/>
        <v>961</v>
      </c>
      <c r="F20" s="10">
        <v>990</v>
      </c>
    </row>
    <row r="21" spans="1:6" x14ac:dyDescent="0.15">
      <c r="A21" s="9" t="s">
        <v>2070</v>
      </c>
      <c r="B21" s="9" t="s">
        <v>1893</v>
      </c>
      <c r="C21" s="9" t="s">
        <v>1761</v>
      </c>
      <c r="D21" s="35" t="s">
        <v>1717</v>
      </c>
      <c r="E21" s="10">
        <f t="shared" si="0"/>
        <v>991</v>
      </c>
      <c r="F21" s="10">
        <v>1015</v>
      </c>
    </row>
    <row r="22" spans="1:6" x14ac:dyDescent="0.15">
      <c r="A22" s="9" t="s">
        <v>2070</v>
      </c>
      <c r="B22" s="9" t="s">
        <v>1893</v>
      </c>
      <c r="C22" s="9" t="s">
        <v>1761</v>
      </c>
      <c r="D22" s="35" t="s">
        <v>1718</v>
      </c>
      <c r="E22" s="10">
        <f t="shared" si="0"/>
        <v>1016</v>
      </c>
      <c r="F22" s="10">
        <v>1050</v>
      </c>
    </row>
    <row r="23" spans="1:6" s="32" customFormat="1" x14ac:dyDescent="0.15">
      <c r="A23" s="32" t="s">
        <v>2070</v>
      </c>
      <c r="B23" s="32" t="s">
        <v>1894</v>
      </c>
      <c r="C23" s="32" t="s">
        <v>1761</v>
      </c>
      <c r="D23" s="31" t="s">
        <v>1719</v>
      </c>
      <c r="E23" s="11">
        <f t="shared" si="0"/>
        <v>1051</v>
      </c>
      <c r="F23" s="11">
        <v>1100</v>
      </c>
    </row>
    <row r="24" spans="1:6" x14ac:dyDescent="0.15">
      <c r="A24" s="9" t="s">
        <v>2070</v>
      </c>
      <c r="B24" s="9" t="s">
        <v>1894</v>
      </c>
      <c r="C24" s="9" t="s">
        <v>1761</v>
      </c>
      <c r="D24" s="35" t="s">
        <v>1720</v>
      </c>
      <c r="E24" s="10">
        <f t="shared" si="0"/>
        <v>1101</v>
      </c>
      <c r="F24" s="10">
        <v>1140</v>
      </c>
    </row>
    <row r="25" spans="1:6" x14ac:dyDescent="0.15">
      <c r="A25" s="9" t="s">
        <v>2070</v>
      </c>
      <c r="B25" s="9" t="s">
        <v>1894</v>
      </c>
      <c r="C25" s="9" t="s">
        <v>1761</v>
      </c>
      <c r="D25" s="35" t="s">
        <v>1721</v>
      </c>
      <c r="E25" s="10">
        <f t="shared" si="0"/>
        <v>1141</v>
      </c>
      <c r="F25" s="10">
        <v>1180</v>
      </c>
    </row>
    <row r="26" spans="1:6" x14ac:dyDescent="0.15">
      <c r="A26" s="9" t="s">
        <v>2070</v>
      </c>
      <c r="B26" s="9" t="s">
        <v>1894</v>
      </c>
      <c r="C26" s="9" t="s">
        <v>1761</v>
      </c>
      <c r="D26" s="9" t="s">
        <v>1722</v>
      </c>
      <c r="E26" s="10">
        <f t="shared" si="0"/>
        <v>1181</v>
      </c>
      <c r="F26" s="10">
        <v>1210</v>
      </c>
    </row>
    <row r="27" spans="1:6" x14ac:dyDescent="0.15">
      <c r="A27" s="9" t="s">
        <v>2070</v>
      </c>
      <c r="B27" s="9" t="s">
        <v>1894</v>
      </c>
      <c r="C27" s="9" t="s">
        <v>1761</v>
      </c>
      <c r="D27" s="9" t="s">
        <v>1723</v>
      </c>
      <c r="E27" s="10">
        <f t="shared" si="0"/>
        <v>1211</v>
      </c>
      <c r="F27" s="10">
        <v>1250</v>
      </c>
    </row>
    <row r="28" spans="1:6" s="32" customFormat="1" x14ac:dyDescent="0.15">
      <c r="A28" s="32" t="s">
        <v>2070</v>
      </c>
      <c r="B28" s="32" t="s">
        <v>1886</v>
      </c>
      <c r="C28" s="32" t="s">
        <v>1761</v>
      </c>
      <c r="D28" s="31" t="s">
        <v>1724</v>
      </c>
      <c r="E28" s="11">
        <f t="shared" si="0"/>
        <v>1251</v>
      </c>
      <c r="F28" s="11">
        <v>1320</v>
      </c>
    </row>
    <row r="29" spans="1:6" x14ac:dyDescent="0.15">
      <c r="A29" s="9" t="s">
        <v>2070</v>
      </c>
      <c r="B29" s="9" t="s">
        <v>1886</v>
      </c>
      <c r="C29" s="9" t="s">
        <v>1761</v>
      </c>
      <c r="D29" s="35" t="s">
        <v>563</v>
      </c>
      <c r="E29" s="10">
        <f t="shared" si="0"/>
        <v>1321</v>
      </c>
      <c r="F29" s="10">
        <v>1400</v>
      </c>
    </row>
    <row r="30" spans="1:6" x14ac:dyDescent="0.15">
      <c r="A30" s="9" t="s">
        <v>2070</v>
      </c>
      <c r="B30" s="9" t="s">
        <v>1886</v>
      </c>
      <c r="C30" s="9" t="s">
        <v>1761</v>
      </c>
      <c r="D30" s="35" t="s">
        <v>861</v>
      </c>
      <c r="E30" s="10">
        <f t="shared" si="0"/>
        <v>1401</v>
      </c>
      <c r="F30" s="10">
        <v>1500</v>
      </c>
    </row>
    <row r="31" spans="1:6" x14ac:dyDescent="0.15">
      <c r="A31" s="9" t="s">
        <v>2070</v>
      </c>
      <c r="B31" s="9" t="s">
        <v>1886</v>
      </c>
      <c r="C31" s="9" t="s">
        <v>1761</v>
      </c>
      <c r="D31" s="35" t="s">
        <v>1725</v>
      </c>
      <c r="E31" s="10">
        <f t="shared" si="0"/>
        <v>1501</v>
      </c>
      <c r="F31" s="10">
        <v>1600</v>
      </c>
    </row>
    <row r="32" spans="1:6" s="32" customFormat="1" x14ac:dyDescent="0.15">
      <c r="A32" s="32" t="s">
        <v>2070</v>
      </c>
      <c r="B32" s="32" t="s">
        <v>1762</v>
      </c>
      <c r="C32" s="32" t="s">
        <v>1762</v>
      </c>
      <c r="D32" s="31" t="s">
        <v>1726</v>
      </c>
      <c r="E32" s="11">
        <f t="shared" si="0"/>
        <v>1601</v>
      </c>
      <c r="F32" s="11">
        <v>1700</v>
      </c>
    </row>
    <row r="33" spans="1:6" x14ac:dyDescent="0.15">
      <c r="A33" s="9" t="s">
        <v>2070</v>
      </c>
      <c r="B33" s="9" t="s">
        <v>1762</v>
      </c>
      <c r="C33" s="9" t="s">
        <v>1762</v>
      </c>
      <c r="D33" s="35" t="s">
        <v>1727</v>
      </c>
      <c r="E33" s="10">
        <f t="shared" si="0"/>
        <v>1701</v>
      </c>
      <c r="F33" s="10">
        <v>1800</v>
      </c>
    </row>
    <row r="34" spans="1:6" x14ac:dyDescent="0.15">
      <c r="A34" s="9" t="s">
        <v>2070</v>
      </c>
      <c r="B34" s="9" t="s">
        <v>1762</v>
      </c>
      <c r="C34" s="9" t="s">
        <v>1762</v>
      </c>
      <c r="D34" s="35" t="s">
        <v>1728</v>
      </c>
      <c r="E34" s="10">
        <f t="shared" si="0"/>
        <v>1801</v>
      </c>
      <c r="F34" s="10">
        <v>1950</v>
      </c>
    </row>
    <row r="35" spans="1:6" x14ac:dyDescent="0.15">
      <c r="A35" s="9" t="s">
        <v>2070</v>
      </c>
      <c r="B35" s="9" t="s">
        <v>1762</v>
      </c>
      <c r="C35" s="9" t="s">
        <v>1762</v>
      </c>
      <c r="D35" s="35" t="s">
        <v>862</v>
      </c>
      <c r="E35" s="10">
        <f t="shared" si="0"/>
        <v>1951</v>
      </c>
      <c r="F35" s="10">
        <v>2100</v>
      </c>
    </row>
    <row r="36" spans="1:6" s="32" customFormat="1" x14ac:dyDescent="0.15">
      <c r="A36" s="32" t="s">
        <v>2070</v>
      </c>
      <c r="B36" s="32" t="s">
        <v>1855</v>
      </c>
      <c r="C36" s="32" t="s">
        <v>1855</v>
      </c>
      <c r="D36" s="31" t="s">
        <v>1729</v>
      </c>
      <c r="E36" s="11">
        <f t="shared" si="0"/>
        <v>2101</v>
      </c>
      <c r="F36" s="11">
        <v>2150</v>
      </c>
    </row>
    <row r="37" spans="1:6" x14ac:dyDescent="0.15">
      <c r="A37" s="9" t="s">
        <v>2070</v>
      </c>
      <c r="B37" s="9" t="s">
        <v>1855</v>
      </c>
      <c r="C37" s="9" t="s">
        <v>1855</v>
      </c>
      <c r="D37" s="35" t="s">
        <v>1075</v>
      </c>
      <c r="E37" s="10">
        <f t="shared" si="0"/>
        <v>2151</v>
      </c>
      <c r="F37" s="10">
        <v>2200</v>
      </c>
    </row>
    <row r="38" spans="1:6" x14ac:dyDescent="0.15">
      <c r="A38" s="9" t="s">
        <v>2070</v>
      </c>
      <c r="B38" s="9" t="s">
        <v>1855</v>
      </c>
      <c r="C38" s="9" t="s">
        <v>1855</v>
      </c>
      <c r="D38" s="35" t="s">
        <v>456</v>
      </c>
      <c r="E38" s="10">
        <f t="shared" si="0"/>
        <v>2201</v>
      </c>
      <c r="F38" s="10">
        <v>2300</v>
      </c>
    </row>
  </sheetData>
  <pageMargins left="0.7" right="0.7" top="0.75" bottom="0.75" header="0.3" footer="0.3"/>
  <ignoredErrors>
    <ignoredError sqref="E3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1</vt:i4>
      </vt:variant>
    </vt:vector>
  </HeadingPairs>
  <TitlesOfParts>
    <vt:vector size="66" baseType="lpstr">
      <vt:lpstr>Crop_Norms</vt:lpstr>
      <vt:lpstr>Soil Suitability</vt:lpstr>
      <vt:lpstr>Alfalfa</vt:lpstr>
      <vt:lpstr>Barley</vt:lpstr>
      <vt:lpstr>Bottle Gourd</vt:lpstr>
      <vt:lpstr>Brinjal</vt:lpstr>
      <vt:lpstr>Broccoli</vt:lpstr>
      <vt:lpstr>Cabbage</vt:lpstr>
      <vt:lpstr>Canary Seed</vt:lpstr>
      <vt:lpstr>Canola</vt:lpstr>
      <vt:lpstr>Carrot</vt:lpstr>
      <vt:lpstr>Cauliflower</vt:lpstr>
      <vt:lpstr>Chickpea Kabuli</vt:lpstr>
      <vt:lpstr>Coriander (Seeds)</vt:lpstr>
      <vt:lpstr>Cotton</vt:lpstr>
      <vt:lpstr>Cucumber</vt:lpstr>
      <vt:lpstr>Flax Seed</vt:lpstr>
      <vt:lpstr>French Beans</vt:lpstr>
      <vt:lpstr>Kidney Beans</vt:lpstr>
      <vt:lpstr>Lentil</vt:lpstr>
      <vt:lpstr>Maize</vt:lpstr>
      <vt:lpstr>Mash</vt:lpstr>
      <vt:lpstr>Millet</vt:lpstr>
      <vt:lpstr>Mustard</vt:lpstr>
      <vt:lpstr>Oat</vt:lpstr>
      <vt:lpstr>Okra</vt:lpstr>
      <vt:lpstr>Onion</vt:lpstr>
      <vt:lpstr>Pea</vt:lpstr>
      <vt:lpstr>Peanut</vt:lpstr>
      <vt:lpstr>Potato</vt:lpstr>
      <vt:lpstr>Radish</vt:lpstr>
      <vt:lpstr>Rice</vt:lpstr>
      <vt:lpstr>Sesame</vt:lpstr>
      <vt:lpstr>Sorghum</vt:lpstr>
      <vt:lpstr>Sponge Gourd</vt:lpstr>
      <vt:lpstr>Sugar Beet</vt:lpstr>
      <vt:lpstr>Sunflower</vt:lpstr>
      <vt:lpstr>Tinda Gourd</vt:lpstr>
      <vt:lpstr>Tomato</vt:lpstr>
      <vt:lpstr>Turnip</vt:lpstr>
      <vt:lpstr>Vegetable Marrow</vt:lpstr>
      <vt:lpstr>Watermelon</vt:lpstr>
      <vt:lpstr>Wheat</vt:lpstr>
      <vt:lpstr>Banana</vt:lpstr>
      <vt:lpstr>Cassava</vt:lpstr>
      <vt:lpstr>Citrus</vt:lpstr>
      <vt:lpstr>CowPea</vt:lpstr>
      <vt:lpstr>Napier Grass</vt:lpstr>
      <vt:lpstr>Buckwheat</vt:lpstr>
      <vt:lpstr>Jatropha</vt:lpstr>
      <vt:lpstr>Rapseed</vt:lpstr>
      <vt:lpstr>Pigeon Pea</vt:lpstr>
      <vt:lpstr>Reed Canary Seed</vt:lpstr>
      <vt:lpstr>Olive</vt:lpstr>
      <vt:lpstr>Tobacco</vt:lpstr>
      <vt:lpstr>Sugarcane</vt:lpstr>
      <vt:lpstr>Sweet Potato</vt:lpstr>
      <vt:lpstr>Yam</vt:lpstr>
      <vt:lpstr>Tea</vt:lpstr>
      <vt:lpstr>Switch Grass</vt:lpstr>
      <vt:lpstr>Miscanthus</vt:lpstr>
      <vt:lpstr>Rye</vt:lpstr>
      <vt:lpstr>Foxtail Millet</vt:lpstr>
      <vt:lpstr>Pearl Millet</vt:lpstr>
      <vt:lpstr>Silage Maize</vt:lpstr>
      <vt:lpstr>Crop_Norms!Criteria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greenage</dc:creator>
  <cp:lastModifiedBy>Inam Shah</cp:lastModifiedBy>
  <dcterms:created xsi:type="dcterms:W3CDTF">2025-09-12T05:48:12Z</dcterms:created>
  <dcterms:modified xsi:type="dcterms:W3CDTF">2026-01-23T05:02:38Z</dcterms:modified>
</cp:coreProperties>
</file>